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08C9EEAB-506E-064E-9A56-EA3D169C49FD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7" i="1" l="1"/>
  <c r="AH57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58" i="1"/>
  <c r="AH58" i="1"/>
  <c r="AI142" i="1"/>
  <c r="AH142" i="1"/>
  <c r="AI97" i="1"/>
  <c r="AH97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H155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06" i="1"/>
  <c r="AH10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H143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56" i="1"/>
  <c r="AH56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32" i="1"/>
  <c r="AH32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116" i="1"/>
  <c r="AH116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4" i="1"/>
  <c r="AH4" i="1"/>
  <c r="AI141" i="1"/>
  <c r="AH141" i="1"/>
  <c r="AI133" i="1"/>
  <c r="AH133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27" i="1"/>
  <c r="AH27" i="1"/>
  <c r="AI26" i="1"/>
  <c r="AH26" i="1"/>
  <c r="AI25" i="1"/>
  <c r="AH25" i="1"/>
  <c r="AI24" i="1"/>
  <c r="AH24" i="1"/>
  <c r="AI23" i="1"/>
  <c r="AH23" i="1"/>
  <c r="AI44" i="1"/>
  <c r="AH44" i="1"/>
  <c r="AI43" i="1"/>
  <c r="AH43" i="1"/>
  <c r="AO37" i="1"/>
  <c r="AI42" i="1"/>
  <c r="AH42" i="1"/>
  <c r="AO36" i="1"/>
  <c r="AI41" i="1"/>
  <c r="AH41" i="1"/>
  <c r="AO35" i="1"/>
  <c r="AI40" i="1"/>
  <c r="AH40" i="1"/>
  <c r="AO34" i="1"/>
  <c r="AI39" i="1"/>
  <c r="AH39" i="1"/>
  <c r="AO33" i="1"/>
  <c r="AI38" i="1"/>
  <c r="AH38" i="1"/>
  <c r="AO32" i="1"/>
  <c r="AI37" i="1"/>
  <c r="AH37" i="1"/>
  <c r="AO31" i="1"/>
  <c r="AI36" i="1"/>
  <c r="AH36" i="1"/>
  <c r="AO30" i="1"/>
  <c r="AI35" i="1"/>
  <c r="AH35" i="1"/>
  <c r="AO29" i="1"/>
  <c r="AI34" i="1"/>
  <c r="AH34" i="1"/>
  <c r="AO28" i="1"/>
  <c r="AI33" i="1"/>
  <c r="AH33" i="1"/>
  <c r="AO27" i="1"/>
  <c r="AI8" i="1"/>
  <c r="AH8" i="1"/>
  <c r="AO26" i="1"/>
  <c r="AI31" i="1"/>
  <c r="AH31" i="1"/>
  <c r="AO25" i="1"/>
  <c r="AI30" i="1"/>
  <c r="AH30" i="1"/>
  <c r="AO24" i="1"/>
  <c r="AI29" i="1"/>
  <c r="AH29" i="1"/>
  <c r="AO23" i="1"/>
  <c r="AI28" i="1"/>
  <c r="AH28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O18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O11" i="1"/>
  <c r="AO14" i="1" s="1"/>
  <c r="AI11" i="1"/>
  <c r="AH11" i="1"/>
  <c r="AI10" i="1"/>
  <c r="AH10" i="1"/>
  <c r="AO9" i="1"/>
  <c r="AI9" i="1"/>
  <c r="AH9" i="1"/>
  <c r="AO8" i="1"/>
  <c r="AI71" i="1"/>
  <c r="AH71" i="1"/>
  <c r="AO7" i="1"/>
  <c r="AI7" i="1"/>
  <c r="AH7" i="1"/>
  <c r="AO6" i="1"/>
  <c r="AI6" i="1"/>
  <c r="AH6" i="1"/>
  <c r="AI5" i="1"/>
  <c r="AH5" i="1"/>
  <c r="AO4" i="1"/>
  <c r="AI86" i="1"/>
  <c r="AH86" i="1"/>
  <c r="AI3" i="1"/>
  <c r="AH3" i="1"/>
  <c r="AO2" i="1" s="1"/>
  <c r="AI2" i="1"/>
  <c r="AH2" i="1"/>
  <c r="AO16" i="1" l="1"/>
</calcChain>
</file>

<file path=xl/sharedStrings.xml><?xml version="1.0" encoding="utf-8"?>
<sst xmlns="http://schemas.openxmlformats.org/spreadsheetml/2006/main" count="839" uniqueCount="365">
  <si>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</si>
  <si>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</si>
  <si>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</si>
  <si>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</si>
  <si>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</si>
  <si>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</si>
  <si>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</si>
  <si>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</si>
  <si>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</si>
  <si>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</si>
  <si>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</si>
  <si>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</si>
  <si>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</si>
  <si>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</si>
  <si>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</si>
  <si>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</si>
  <si>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</si>
  <si>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</si>
  <si>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</si>
  <si>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</si>
  <si>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</si>
  <si>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</si>
  <si>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</si>
  <si>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</si>
  <si>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</si>
  <si>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</si>
  <si>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</si>
  <si>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</si>
  <si>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</si>
  <si>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</si>
  <si>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</si>
  <si>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</si>
  <si>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</si>
  <si>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</si>
  <si>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</si>
  <si>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</si>
  <si>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</si>
  <si>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</si>
  <si>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</si>
  <si>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</si>
  <si>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</si>
  <si>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</si>
  <si>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</si>
  <si>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</si>
  <si>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</si>
  <si>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</si>
  <si>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</si>
  <si>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</si>
  <si>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Fernando de Jesus</t>
  </si>
  <si>
    <t>G.Jesus</t>
  </si>
  <si>
    <t>Martinelli Silva</t>
  </si>
  <si>
    <t>Martinelli</t>
  </si>
  <si>
    <t>Martin</t>
  </si>
  <si>
    <t>Ødegaard</t>
  </si>
  <si>
    <t>Bukayo</t>
  </si>
  <si>
    <t>Saka</t>
  </si>
  <si>
    <t>William</t>
  </si>
  <si>
    <t>Saliba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</si>
  <si>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</si>
  <si>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</si>
  <si>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</si>
  <si>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</si>
  <si>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</si>
  <si>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</si>
  <si>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</si>
  <si>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</si>
  <si>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</si>
  <si>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</si>
  <si>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</si>
  <si>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Lucas</t>
  </si>
  <si>
    <t>Digne</t>
  </si>
  <si>
    <t>Douglas Luiz</t>
  </si>
  <si>
    <t>Soares de Paulo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</si>
  <si>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</si>
  <si>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</si>
  <si>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</si>
  <si>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</si>
  <si>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</si>
  <si>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</si>
  <si>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</si>
  <si>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</si>
  <si>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Youri</t>
  </si>
  <si>
    <t>Tielemans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</si>
  <si>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</si>
  <si>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</si>
  <si>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</si>
  <si>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</si>
  <si>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</si>
  <si>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</si>
  <si>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</si>
  <si>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</si>
  <si>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</si>
  <si>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</si>
  <si>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Lewis</t>
  </si>
  <si>
    <t>Cook</t>
  </si>
  <si>
    <t>L.Cook</t>
  </si>
  <si>
    <t>Justin</t>
  </si>
  <si>
    <t>Kluivert</t>
  </si>
  <si>
    <t>Norberto</t>
  </si>
  <si>
    <t>Murara Neto</t>
  </si>
  <si>
    <t>Neto</t>
  </si>
  <si>
    <t>Antoine</t>
  </si>
  <si>
    <t>Semenyo</t>
  </si>
  <si>
    <t>Marcos</t>
  </si>
  <si>
    <t>Senesi</t>
  </si>
  <si>
    <t>Dominic</t>
  </si>
  <si>
    <t>Solanke</t>
  </si>
  <si>
    <t>Marcus</t>
  </si>
  <si>
    <t>Tavernier</t>
  </si>
  <si>
    <t>Illia</t>
  </si>
  <si>
    <t>Zabarnyi</t>
  </si>
  <si>
    <t>Milos</t>
  </si>
  <si>
    <t>Kerkez</t>
  </si>
  <si>
    <t>Nathan</t>
  </si>
  <si>
    <t>Collins</t>
  </si>
  <si>
    <t>Vitaly</t>
  </si>
  <si>
    <t>Janelt</t>
  </si>
  <si>
    <t>Mathias</t>
  </si>
  <si>
    <t>Jensen</t>
  </si>
  <si>
    <t>Bryan</t>
  </si>
  <si>
    <t>Mbeumo</t>
  </si>
  <si>
    <t>Yoane</t>
  </si>
  <si>
    <t>Wissa</t>
  </si>
  <si>
    <t>Neal</t>
  </si>
  <si>
    <t>Maupay</t>
  </si>
  <si>
    <t>Simon</t>
  </si>
  <si>
    <t>Adingra</t>
  </si>
  <si>
    <t>Evan</t>
  </si>
  <si>
    <t>Ferguson</t>
  </si>
  <si>
    <t>Pascal</t>
  </si>
  <si>
    <t>Groß</t>
  </si>
  <si>
    <t>Gross</t>
  </si>
  <si>
    <t>João Pedro</t>
  </si>
  <si>
    <t>Junqueira de Jesus</t>
  </si>
  <si>
    <t>Kaoru</t>
  </si>
  <si>
    <t>Mitoma</t>
  </si>
  <si>
    <t>Josh</t>
  </si>
  <si>
    <t>Brownhill</t>
  </si>
  <si>
    <t>Charlie</t>
  </si>
  <si>
    <t>Taylor</t>
  </si>
  <si>
    <t>Sander</t>
  </si>
  <si>
    <t>Berge</t>
  </si>
  <si>
    <t>Zeki</t>
  </si>
  <si>
    <t>Amdouni</t>
  </si>
  <si>
    <t>James</t>
  </si>
  <si>
    <t>Trafford</t>
  </si>
  <si>
    <t>Luca</t>
  </si>
  <si>
    <t>Koleosho</t>
  </si>
  <si>
    <t>Robert</t>
  </si>
  <si>
    <t>Sánchez</t>
  </si>
  <si>
    <t>Sanchez</t>
  </si>
  <si>
    <t>Levi</t>
  </si>
  <si>
    <t>Colwill</t>
  </si>
  <si>
    <t>Enzo</t>
  </si>
  <si>
    <t>Fernández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</si>
  <si>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</si>
  <si>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</si>
  <si>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</si>
  <si>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</si>
  <si>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</si>
  <si>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</si>
  <si>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</si>
  <si>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</si>
  <si>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</si>
  <si>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</si>
  <si>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</si>
  <si>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</si>
  <si>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Axel</t>
  </si>
  <si>
    <t>Disasi</t>
  </si>
  <si>
    <t>Jordan</t>
  </si>
  <si>
    <t>Ayew</t>
  </si>
  <si>
    <t>J.Ayew</t>
  </si>
  <si>
    <t>Odsonne</t>
  </si>
  <si>
    <t>Edouard</t>
  </si>
  <si>
    <t>Eberechi</t>
  </si>
  <si>
    <t>Eze</t>
  </si>
  <si>
    <t>Jefferson</t>
  </si>
  <si>
    <t>Lerma Solís</t>
  </si>
  <si>
    <t>Lerma</t>
  </si>
  <si>
    <t>Jean-Philippe</t>
  </si>
  <si>
    <t>Mateta</t>
  </si>
  <si>
    <t>Jeffrey</t>
  </si>
  <si>
    <t>Schlupp</t>
  </si>
  <si>
    <t>Jarrad</t>
  </si>
  <si>
    <t>Branthwaite</t>
  </si>
  <si>
    <t>Calvert-Lewin</t>
  </si>
  <si>
    <t>Abdoulaye</t>
  </si>
  <si>
    <t>Doucouré</t>
  </si>
  <si>
    <t>A.Doucoure</t>
  </si>
  <si>
    <t>Garner</t>
  </si>
  <si>
    <t>Dwight</t>
  </si>
  <si>
    <t>McNeil</t>
  </si>
  <si>
    <t>Vitalii</t>
  </si>
  <si>
    <t>Mykolenko</t>
  </si>
  <si>
    <t>Amadou</t>
  </si>
  <si>
    <t>Onana</t>
  </si>
  <si>
    <t>Pickford</t>
  </si>
  <si>
    <t>Tarkowski</t>
  </si>
  <si>
    <t>Jack</t>
  </si>
  <si>
    <t>Harrison</t>
  </si>
  <si>
    <t>Alex</t>
  </si>
  <si>
    <t>Iwobi</t>
  </si>
  <si>
    <t>Andreas</t>
  </si>
  <si>
    <t>Hoelgebaum Pereira</t>
  </si>
  <si>
    <t>Tom</t>
  </si>
  <si>
    <t>Cairney</t>
  </si>
  <si>
    <t>Bernd</t>
  </si>
  <si>
    <t>Leno</t>
  </si>
  <si>
    <t>João</t>
  </si>
  <si>
    <t>Palhinha Gonçalves</t>
  </si>
  <si>
    <t>J.Palhinha</t>
  </si>
  <si>
    <t>Antonee</t>
  </si>
  <si>
    <t>Robinson</t>
  </si>
  <si>
    <t>Harry</t>
  </si>
  <si>
    <t>Wilson</t>
  </si>
  <si>
    <t>Raúl</t>
  </si>
  <si>
    <t>Jiménez</t>
  </si>
  <si>
    <t>Willian</t>
  </si>
  <si>
    <t>Borges da Silva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</si>
  <si>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</si>
  <si>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</si>
  <si>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</si>
  <si>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</si>
  <si>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</si>
  <si>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</si>
  <si>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</si>
  <si>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</si>
  <si>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</si>
  <si>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</si>
  <si>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</si>
  <si>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</si>
  <si>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</si>
  <si>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</si>
  <si>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Joe</t>
  </si>
  <si>
    <t>Gomez</t>
  </si>
  <si>
    <t>Ibrahima</t>
  </si>
  <si>
    <t>Konaté</t>
  </si>
  <si>
    <t>Luis</t>
  </si>
  <si>
    <t>Díaz</t>
  </si>
  <si>
    <t>Luis Díaz</t>
  </si>
  <si>
    <t>Alexis</t>
  </si>
  <si>
    <t>Mac Allister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</si>
  <si>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</si>
  <si>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</si>
  <si>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</si>
  <si>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</si>
  <si>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</si>
  <si>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</si>
  <si>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</si>
  <si>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</si>
  <si>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</si>
  <si>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</si>
  <si>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Thomas</t>
  </si>
  <si>
    <t>Kaminski</t>
  </si>
  <si>
    <t>Jacob</t>
  </si>
  <si>
    <t>Brown</t>
  </si>
  <si>
    <t>Aké</t>
  </si>
  <si>
    <t>Julián</t>
  </si>
  <si>
    <t>Álvarez</t>
  </si>
  <si>
    <t>J.Alvarez</t>
  </si>
  <si>
    <t>Bernardo</t>
  </si>
  <si>
    <t>Veiga de Carvalho e Silva</t>
  </si>
  <si>
    <t>Phil</t>
  </si>
  <si>
    <t>Foden</t>
  </si>
  <si>
    <t>Erling</t>
  </si>
  <si>
    <t>Haaland</t>
  </si>
  <si>
    <t>Alejandro</t>
  </si>
  <si>
    <t>Garnacho</t>
  </si>
  <si>
    <t>Victor</t>
  </si>
  <si>
    <t>Lindelöf</t>
  </si>
  <si>
    <t>Lindelof</t>
  </si>
  <si>
    <t>Anthony</t>
  </si>
  <si>
    <t>Martial</t>
  </si>
  <si>
    <t>Scott</t>
  </si>
  <si>
    <t>McTominay</t>
  </si>
  <si>
    <t>André</t>
  </si>
  <si>
    <t>Rasmus</t>
  </si>
  <si>
    <t>Højlund</t>
  </si>
  <si>
    <t>Miguel</t>
  </si>
  <si>
    <t>Almirón Rejala</t>
  </si>
  <si>
    <t>Almirón</t>
  </si>
  <si>
    <t>Bruno</t>
  </si>
  <si>
    <t>Guimarães Rodriguez Moura</t>
  </si>
  <si>
    <t>Bruno G.</t>
  </si>
  <si>
    <t>Dan</t>
  </si>
  <si>
    <t>Burn</t>
  </si>
  <si>
    <t>Gordon</t>
  </si>
  <si>
    <t>Alexander</t>
  </si>
  <si>
    <t>Isak</t>
  </si>
  <si>
    <t>Joelinton Cássio</t>
  </si>
  <si>
    <t>Apolinário de Lira</t>
  </si>
  <si>
    <t>Joelinton</t>
  </si>
  <si>
    <t>Sean</t>
  </si>
  <si>
    <t>Longstaff</t>
  </si>
  <si>
    <t>Nick</t>
  </si>
  <si>
    <t>Pope</t>
  </si>
  <si>
    <t>Kieran</t>
  </si>
  <si>
    <t>Trippier</t>
  </si>
  <si>
    <t>Callum</t>
  </si>
  <si>
    <t>Matt</t>
  </si>
  <si>
    <t>Turner</t>
  </si>
  <si>
    <t>Elanga</t>
  </si>
  <si>
    <t>Morgan</t>
  </si>
  <si>
    <t>Gibbs-White</t>
  </si>
  <si>
    <t>Toffolo</t>
  </si>
  <si>
    <t>Chris</t>
  </si>
  <si>
    <t>Wood</t>
  </si>
  <si>
    <t>Cameron</t>
  </si>
  <si>
    <t>Archer</t>
  </si>
  <si>
    <t>McAtee</t>
  </si>
  <si>
    <t>Wes</t>
  </si>
  <si>
    <t>Foderingham</t>
  </si>
  <si>
    <t>Gustavo</t>
  </si>
  <si>
    <t>Hamer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</si>
  <si>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</si>
  <si>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</si>
  <si>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</si>
  <si>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</si>
  <si>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</si>
  <si>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</si>
  <si>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</si>
  <si>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</si>
  <si>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</si>
  <si>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</si>
  <si>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</si>
  <si>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</si>
  <si>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</si>
  <si>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</si>
  <si>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</si>
  <si>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</si>
  <si>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</si>
  <si>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</si>
  <si>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</si>
  <si>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</si>
  <si>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Alphonse</t>
  </si>
  <si>
    <t>Areola</t>
  </si>
  <si>
    <t>Jarrod</t>
  </si>
  <si>
    <t>Bowen</t>
  </si>
  <si>
    <t>Vladimír</t>
  </si>
  <si>
    <t>Coufal</t>
  </si>
  <si>
    <t>Emerson</t>
  </si>
  <si>
    <t>Palmieri dos Santos</t>
  </si>
  <si>
    <t>Tolentino Coelho de Lima</t>
  </si>
  <si>
    <t>L.Paquetá</t>
  </si>
  <si>
    <t>Tomáš</t>
  </si>
  <si>
    <t>Souček</t>
  </si>
  <si>
    <t>Kurt</t>
  </si>
  <si>
    <t>Zouma</t>
  </si>
  <si>
    <t>Ward-Prowse</t>
  </si>
  <si>
    <t>Mohammed</t>
  </si>
  <si>
    <t>Kudus</t>
  </si>
  <si>
    <t>Hwang</t>
  </si>
  <si>
    <t>Hee-chan</t>
  </si>
  <si>
    <t>Hee Chan</t>
  </si>
  <si>
    <t>Mario</t>
  </si>
  <si>
    <t>Lemina</t>
  </si>
  <si>
    <t>José</t>
  </si>
  <si>
    <t>Malheiro de Sá</t>
  </si>
  <si>
    <t>José Sá</t>
  </si>
  <si>
    <t>Toti António</t>
  </si>
  <si>
    <t>Gomes</t>
  </si>
  <si>
    <t>Toti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</si>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</sst>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55" totalsRowShown="0">
  <autoFilter ref="A1:AL155" xr:uid="{00000000-0009-0000-0100-000001000000}">
    <filterColumn colId="36">
      <filters>
        <filter val="0"/>
      </filters>
    </filterColumn>
    <filterColumn colId="37">
      <filters>
        <filter val="1"/>
      </filters>
    </filterColumn>
  </autoFilter>
  <sortState xmlns:xlrd2="http://schemas.microsoft.com/office/spreadsheetml/2017/richdata2" ref="A4:AL155">
    <sortCondition descending="1" ref="AI1:AI155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5"/>
  <sheetViews>
    <sheetView tabSelected="1" workbookViewId="0">
      <selection activeCell="AK171" sqref="AK171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2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42" hidden="1" x14ac:dyDescent="0.2">
      <c r="A2" t="s">
        <v>44</v>
      </c>
      <c r="B2" t="s">
        <v>45</v>
      </c>
      <c r="C2" t="s">
        <v>44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4</v>
      </c>
      <c r="AF2">
        <v>18.113207547169811</v>
      </c>
      <c r="AG2">
        <v>15.93963375918168</v>
      </c>
      <c r="AH2">
        <f>15.3012422940481*1</f>
        <v>15.3012422940481</v>
      </c>
      <c r="AI2">
        <f>3.07591760539981*1</f>
        <v>3.0759176053998099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319.48798503115887</v>
      </c>
      <c r="AP2" t="s">
        <v>1</v>
      </c>
    </row>
    <row r="3" spans="1:42" hidden="1" x14ac:dyDescent="0.2">
      <c r="A3" t="s">
        <v>46</v>
      </c>
      <c r="B3" t="s">
        <v>47</v>
      </c>
      <c r="C3" t="s">
        <v>47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</v>
      </c>
      <c r="AE3">
        <v>5</v>
      </c>
      <c r="AF3">
        <v>16.009615384615369</v>
      </c>
      <c r="AG3">
        <v>16.99729538316253</v>
      </c>
      <c r="AH3">
        <f>15.5313919253857*1</f>
        <v>15.5313919253857</v>
      </c>
      <c r="AI3">
        <f>3.10627838507715*1</f>
        <v>3.1062783850771498</v>
      </c>
      <c r="AJ3">
        <v>1</v>
      </c>
      <c r="AK3">
        <v>0</v>
      </c>
      <c r="AL3">
        <v>0</v>
      </c>
    </row>
    <row r="4" spans="1:42" x14ac:dyDescent="0.2">
      <c r="A4" t="s">
        <v>165</v>
      </c>
      <c r="B4" t="s">
        <v>166</v>
      </c>
      <c r="C4" t="s">
        <v>166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5.6</v>
      </c>
      <c r="AE4">
        <v>262</v>
      </c>
      <c r="AF4">
        <v>32.297275213588563</v>
      </c>
      <c r="AG4">
        <v>11.5</v>
      </c>
      <c r="AH4">
        <f>36.1159805935411*1</f>
        <v>36.115980593541103</v>
      </c>
      <c r="AI4">
        <f>9.37703221809743*1</f>
        <v>9.3770322180974297</v>
      </c>
      <c r="AJ4">
        <v>1</v>
      </c>
      <c r="AK4">
        <v>0</v>
      </c>
      <c r="AL4">
        <v>1</v>
      </c>
      <c r="AN4" t="s">
        <v>2</v>
      </c>
      <c r="AO4">
        <f>SUMPRODUCT(Table1[Selected],Table1[Cost])</f>
        <v>101.4</v>
      </c>
      <c r="AP4">
        <v>101.8</v>
      </c>
    </row>
    <row r="5" spans="1:42" hidden="1" x14ac:dyDescent="0.2">
      <c r="A5" t="s">
        <v>44</v>
      </c>
      <c r="B5" t="s">
        <v>50</v>
      </c>
      <c r="C5" t="s">
        <v>51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7.7</v>
      </c>
      <c r="AE5">
        <v>10</v>
      </c>
      <c r="AF5">
        <v>16.420596988371251</v>
      </c>
      <c r="AG5">
        <v>24.99119418859404</v>
      </c>
      <c r="AH5">
        <f>21.145031773022*1</f>
        <v>21.145031773022001</v>
      </c>
      <c r="AI5">
        <f>4.229032946007*1</f>
        <v>4.229032946007</v>
      </c>
      <c r="AJ5">
        <v>1</v>
      </c>
      <c r="AK5">
        <v>0</v>
      </c>
      <c r="AL5">
        <v>0</v>
      </c>
    </row>
    <row r="6" spans="1:42" hidden="1" x14ac:dyDescent="0.2">
      <c r="A6" t="s">
        <v>52</v>
      </c>
      <c r="B6" t="s">
        <v>53</v>
      </c>
      <c r="C6" t="s">
        <v>53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8.4</v>
      </c>
      <c r="AE6">
        <v>12</v>
      </c>
      <c r="AF6">
        <v>25.827146212525459</v>
      </c>
      <c r="AG6">
        <v>23.302265536849379</v>
      </c>
      <c r="AH6">
        <f>22.2139644783929*1</f>
        <v>22.213964478392899</v>
      </c>
      <c r="AI6">
        <f>4.4427928954128*1</f>
        <v>4.4427928954127998</v>
      </c>
      <c r="AJ6">
        <v>1</v>
      </c>
      <c r="AK6">
        <v>0</v>
      </c>
      <c r="AL6">
        <v>0</v>
      </c>
      <c r="AN6" t="s">
        <v>3</v>
      </c>
      <c r="AO6">
        <f>SUMPRODUCT(Table1[Selected],Table1[GKP])</f>
        <v>2</v>
      </c>
      <c r="AP6">
        <v>2</v>
      </c>
    </row>
    <row r="7" spans="1:42" hidden="1" x14ac:dyDescent="0.2">
      <c r="A7" t="s">
        <v>54</v>
      </c>
      <c r="B7" t="s">
        <v>55</v>
      </c>
      <c r="C7" t="s">
        <v>55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17</v>
      </c>
      <c r="AF7">
        <v>25.395044642068601</v>
      </c>
      <c r="AG7">
        <v>20.80731511300829</v>
      </c>
      <c r="AH7">
        <f>20.3897399249213*1</f>
        <v>20.389739924921301</v>
      </c>
      <c r="AI7">
        <f>4.1045249309134*1</f>
        <v>4.1045249309134002</v>
      </c>
      <c r="AJ7">
        <v>1</v>
      </c>
      <c r="AK7">
        <v>0</v>
      </c>
      <c r="AL7">
        <v>0</v>
      </c>
      <c r="AN7" t="s">
        <v>4</v>
      </c>
      <c r="AO7">
        <f>SUMPRODUCT(Table1[Selected],Table1[DEF])</f>
        <v>5</v>
      </c>
      <c r="AP7">
        <v>5</v>
      </c>
    </row>
    <row r="8" spans="1:42" hidden="1" x14ac:dyDescent="0.2">
      <c r="A8" t="s">
        <v>98</v>
      </c>
      <c r="B8" t="s">
        <v>99</v>
      </c>
      <c r="C8" t="s">
        <v>100</v>
      </c>
      <c r="D8" t="s">
        <v>3</v>
      </c>
      <c r="E8">
        <v>1</v>
      </c>
      <c r="F8">
        <v>0</v>
      </c>
      <c r="G8">
        <v>0</v>
      </c>
      <c r="H8">
        <v>0</v>
      </c>
      <c r="I8" t="s">
        <v>13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4.5999999999999996</v>
      </c>
      <c r="AE8">
        <v>88</v>
      </c>
      <c r="AF8">
        <v>17.33583833681611</v>
      </c>
      <c r="AG8">
        <v>21.377733299271419</v>
      </c>
      <c r="AH8">
        <f>22.6845506338977*1</f>
        <v>22.6845506338977</v>
      </c>
      <c r="AI8">
        <f>6.84970292785643*1</f>
        <v>6.8497029278564296</v>
      </c>
      <c r="AJ8">
        <v>1</v>
      </c>
      <c r="AK8">
        <v>1</v>
      </c>
      <c r="AL8">
        <v>1</v>
      </c>
      <c r="AN8" t="s">
        <v>5</v>
      </c>
      <c r="AO8">
        <f>SUMPRODUCT(Table1[Selected],Table1[MID])</f>
        <v>5</v>
      </c>
      <c r="AP8">
        <v>5</v>
      </c>
    </row>
    <row r="9" spans="1:42" hidden="1" x14ac:dyDescent="0.2">
      <c r="A9" t="s">
        <v>58</v>
      </c>
      <c r="B9" t="s">
        <v>59</v>
      </c>
      <c r="C9" t="s">
        <v>59</v>
      </c>
      <c r="D9" t="s">
        <v>4</v>
      </c>
      <c r="E9">
        <v>0</v>
      </c>
      <c r="F9">
        <v>1</v>
      </c>
      <c r="G9">
        <v>0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5.6</v>
      </c>
      <c r="AE9">
        <v>23</v>
      </c>
      <c r="AF9">
        <v>19.907407407407408</v>
      </c>
      <c r="AG9">
        <v>17.338538810735891</v>
      </c>
      <c r="AH9">
        <f>16.6927039574217*1</f>
        <v>16.692703957421699</v>
      </c>
      <c r="AI9">
        <f>3.33963177324281*1</f>
        <v>3.33963177324281</v>
      </c>
      <c r="AJ9">
        <v>1</v>
      </c>
      <c r="AK9">
        <v>0</v>
      </c>
      <c r="AL9">
        <v>0</v>
      </c>
      <c r="AN9" t="s">
        <v>6</v>
      </c>
      <c r="AO9">
        <f>SUMPRODUCT(Table1[Selected],Table1[FWD])</f>
        <v>3</v>
      </c>
      <c r="AP9">
        <v>3</v>
      </c>
    </row>
    <row r="10" spans="1:42" hidden="1" x14ac:dyDescent="0.2">
      <c r="A10" t="s">
        <v>60</v>
      </c>
      <c r="B10" t="s">
        <v>61</v>
      </c>
      <c r="C10" t="s">
        <v>61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5.2</v>
      </c>
      <c r="AE10">
        <v>25</v>
      </c>
      <c r="AF10">
        <v>16.8867924528302</v>
      </c>
      <c r="AG10">
        <v>15.357142857142859</v>
      </c>
      <c r="AH10">
        <f>14.6079959548093*1</f>
        <v>14.607995954809301</v>
      </c>
      <c r="AI10">
        <f>2.92159919096187*1</f>
        <v>2.9215991909618699</v>
      </c>
      <c r="AJ10">
        <v>1</v>
      </c>
      <c r="AK10">
        <v>0</v>
      </c>
      <c r="AL10">
        <v>0</v>
      </c>
    </row>
    <row r="11" spans="1:42" hidden="1" x14ac:dyDescent="0.2">
      <c r="A11" t="s">
        <v>62</v>
      </c>
      <c r="B11" t="s">
        <v>63</v>
      </c>
      <c r="C11" t="s">
        <v>64</v>
      </c>
      <c r="D11" t="s">
        <v>3</v>
      </c>
      <c r="E11">
        <v>1</v>
      </c>
      <c r="F11">
        <v>0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4.9000000000000004</v>
      </c>
      <c r="AE11">
        <v>26</v>
      </c>
      <c r="AF11">
        <v>20.675675675675691</v>
      </c>
      <c r="AG11">
        <v>17.666745806554601</v>
      </c>
      <c r="AH11">
        <f>17.1016632946545*1</f>
        <v>17.1016632946545</v>
      </c>
      <c r="AI11">
        <f>3.42105733040761*1</f>
        <v>3.42105733040761</v>
      </c>
      <c r="AJ11">
        <v>1</v>
      </c>
      <c r="AK11">
        <v>0</v>
      </c>
      <c r="AL11">
        <v>0</v>
      </c>
      <c r="AN11" t="s">
        <v>7</v>
      </c>
      <c r="AO11">
        <f>SUMPRODUCT(Table1[Selected], -- (Table1[PREV] = 0))</f>
        <v>2</v>
      </c>
    </row>
    <row r="12" spans="1:42" hidden="1" x14ac:dyDescent="0.2">
      <c r="A12" t="s">
        <v>65</v>
      </c>
      <c r="B12" t="s">
        <v>66</v>
      </c>
      <c r="C12" t="s">
        <v>66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5.4</v>
      </c>
      <c r="AE12">
        <v>27</v>
      </c>
      <c r="AF12">
        <v>14.43550079846726</v>
      </c>
      <c r="AG12">
        <v>14.04605263157895</v>
      </c>
      <c r="AH12">
        <f>13.1210497282161*1</f>
        <v>13.1210497282161</v>
      </c>
      <c r="AI12">
        <f>2.65271958545415*1</f>
        <v>2.6527195854541499</v>
      </c>
      <c r="AJ12">
        <v>1</v>
      </c>
      <c r="AK12">
        <v>0</v>
      </c>
      <c r="AL12">
        <v>0</v>
      </c>
      <c r="AN12" t="s">
        <v>8</v>
      </c>
      <c r="AO12">
        <v>2</v>
      </c>
    </row>
    <row r="13" spans="1:42" hidden="1" x14ac:dyDescent="0.2">
      <c r="A13" t="s">
        <v>67</v>
      </c>
      <c r="B13" t="s">
        <v>68</v>
      </c>
      <c r="C13" t="s">
        <v>68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5.6</v>
      </c>
      <c r="AE13">
        <v>37</v>
      </c>
      <c r="AF13">
        <v>15.07462686567164</v>
      </c>
      <c r="AG13">
        <v>14.51923076923077</v>
      </c>
      <c r="AH13">
        <f>14.4084865401987*1</f>
        <v>14.4084865401987</v>
      </c>
      <c r="AI13">
        <f>2.88169730803975*1</f>
        <v>2.8816973080397501</v>
      </c>
      <c r="AJ13">
        <v>1</v>
      </c>
      <c r="AK13">
        <v>0</v>
      </c>
      <c r="AL13">
        <v>0</v>
      </c>
    </row>
    <row r="14" spans="1:42" hidden="1" x14ac:dyDescent="0.2">
      <c r="A14" t="s">
        <v>69</v>
      </c>
      <c r="B14" t="s">
        <v>70</v>
      </c>
      <c r="C14" t="s">
        <v>70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4.7</v>
      </c>
      <c r="AE14">
        <v>45</v>
      </c>
      <c r="AF14">
        <v>14.5003112848699</v>
      </c>
      <c r="AG14">
        <v>17.028525817320229</v>
      </c>
      <c r="AH14">
        <f>13.3065992539214*1</f>
        <v>13.3065992539214</v>
      </c>
      <c r="AI14">
        <f>3.1433171751092*1</f>
        <v>3.1433171751092002</v>
      </c>
      <c r="AJ14">
        <v>1</v>
      </c>
      <c r="AK14">
        <v>0</v>
      </c>
      <c r="AL14">
        <v>0</v>
      </c>
      <c r="AN14" t="s">
        <v>9</v>
      </c>
      <c r="AO14">
        <f>((AO11-AO12)+ABS((AO11-AO12)))/2*4</f>
        <v>0</v>
      </c>
    </row>
    <row r="15" spans="1:42" hidden="1" x14ac:dyDescent="0.2">
      <c r="A15" t="s">
        <v>71</v>
      </c>
      <c r="B15" t="s">
        <v>72</v>
      </c>
      <c r="C15" t="s">
        <v>71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5.5</v>
      </c>
      <c r="AE15">
        <v>46</v>
      </c>
      <c r="AF15">
        <v>22.422015378796139</v>
      </c>
      <c r="AG15">
        <v>13.72916666666667</v>
      </c>
      <c r="AH15">
        <f>22.8516035858207*1</f>
        <v>22.851603585820701</v>
      </c>
      <c r="AI15">
        <f>4.57032071716415*1</f>
        <v>4.57032071716415</v>
      </c>
      <c r="AJ15">
        <v>1</v>
      </c>
      <c r="AK15">
        <v>0</v>
      </c>
      <c r="AL15">
        <v>0</v>
      </c>
    </row>
    <row r="16" spans="1:42" hidden="1" x14ac:dyDescent="0.2">
      <c r="A16" t="s">
        <v>73</v>
      </c>
      <c r="B16" t="s">
        <v>74</v>
      </c>
      <c r="C16" t="s">
        <v>75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4.5999999999999996</v>
      </c>
      <c r="AE16">
        <v>51</v>
      </c>
      <c r="AF16">
        <v>14.184397163120559</v>
      </c>
      <c r="AG16">
        <v>14.44196428571429</v>
      </c>
      <c r="AH16">
        <f>13.4167306278356*1</f>
        <v>13.4167306278356</v>
      </c>
      <c r="AI16">
        <f>2.68334612556712*1</f>
        <v>2.68334612556712</v>
      </c>
      <c r="AJ16">
        <v>1</v>
      </c>
      <c r="AK16">
        <v>0</v>
      </c>
      <c r="AL16">
        <v>0</v>
      </c>
      <c r="AN16" t="s">
        <v>10</v>
      </c>
      <c r="AO16">
        <f>AO2-AO14*5</f>
        <v>319.48798503115887</v>
      </c>
    </row>
    <row r="17" spans="1:42" hidden="1" x14ac:dyDescent="0.2">
      <c r="A17" t="s">
        <v>76</v>
      </c>
      <c r="B17" t="s">
        <v>77</v>
      </c>
      <c r="C17" t="s">
        <v>78</v>
      </c>
      <c r="D17" t="s">
        <v>3</v>
      </c>
      <c r="E17">
        <v>1</v>
      </c>
      <c r="F17">
        <v>0</v>
      </c>
      <c r="G17">
        <v>0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5.2</v>
      </c>
      <c r="AE17">
        <v>52</v>
      </c>
      <c r="AF17">
        <v>17.35849056603773</v>
      </c>
      <c r="AG17">
        <v>15.79268292682927</v>
      </c>
      <c r="AH17">
        <f>16.7586724482306*1</f>
        <v>16.758672448230602</v>
      </c>
      <c r="AI17">
        <f>3.35173448964613*1</f>
        <v>3.3517344896461299</v>
      </c>
      <c r="AJ17">
        <v>1</v>
      </c>
      <c r="AK17">
        <v>0</v>
      </c>
      <c r="AL17">
        <v>0</v>
      </c>
    </row>
    <row r="18" spans="1:42" hidden="1" x14ac:dyDescent="0.2">
      <c r="A18" t="s">
        <v>79</v>
      </c>
      <c r="B18" t="s">
        <v>80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5.6</v>
      </c>
      <c r="AE18">
        <v>53</v>
      </c>
      <c r="AF18">
        <v>15.37671232876713</v>
      </c>
      <c r="AG18">
        <v>14.93534482758621</v>
      </c>
      <c r="AH18">
        <f>14.6746246361663*1</f>
        <v>14.6746246361663</v>
      </c>
      <c r="AI18">
        <f>2.93492492723326*1</f>
        <v>2.93492492723326</v>
      </c>
      <c r="AJ18">
        <v>1</v>
      </c>
      <c r="AK18">
        <v>0</v>
      </c>
      <c r="AL18">
        <v>0</v>
      </c>
      <c r="AN18" t="s">
        <v>11</v>
      </c>
      <c r="AO18">
        <f>SUMPRODUCT(Table1[Selected],Table1[ARS])</f>
        <v>2</v>
      </c>
      <c r="AP18">
        <v>3</v>
      </c>
    </row>
    <row r="19" spans="1:42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5.6</v>
      </c>
      <c r="AE19">
        <v>60</v>
      </c>
      <c r="AF19">
        <v>11.748563676298151</v>
      </c>
      <c r="AG19">
        <v>18.051403972699479</v>
      </c>
      <c r="AH19">
        <f>10.0132161684958*1</f>
        <v>10.0132161684958</v>
      </c>
      <c r="AI19">
        <f>2.00264323369917*1</f>
        <v>2.0026432336991702</v>
      </c>
      <c r="AJ19">
        <v>1</v>
      </c>
      <c r="AK19">
        <v>0</v>
      </c>
      <c r="AL19">
        <v>0</v>
      </c>
      <c r="AN19" t="s">
        <v>12</v>
      </c>
      <c r="AO19">
        <f>SUMPRODUCT(Table1[Selected],Table1[AVL])</f>
        <v>0</v>
      </c>
      <c r="AP19">
        <v>3</v>
      </c>
    </row>
    <row r="20" spans="1:42" hidden="1" x14ac:dyDescent="0.2">
      <c r="A20" t="s">
        <v>83</v>
      </c>
      <c r="B20" t="s">
        <v>84</v>
      </c>
      <c r="C20" t="s">
        <v>84</v>
      </c>
      <c r="D20" t="s">
        <v>6</v>
      </c>
      <c r="E20">
        <v>0</v>
      </c>
      <c r="F20">
        <v>0</v>
      </c>
      <c r="G20">
        <v>0</v>
      </c>
      <c r="H20">
        <v>1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8.8000000000000007</v>
      </c>
      <c r="AE20">
        <v>62</v>
      </c>
      <c r="AF20">
        <v>22.663934426229499</v>
      </c>
      <c r="AG20">
        <v>21.813979738818219</v>
      </c>
      <c r="AH20">
        <f>21.665124769481*1</f>
        <v>21.665124769481</v>
      </c>
      <c r="AI20">
        <f>4.33338763874134*1</f>
        <v>4.3333876387413399</v>
      </c>
      <c r="AJ20">
        <v>1</v>
      </c>
      <c r="AK20">
        <v>0</v>
      </c>
      <c r="AL20">
        <v>0</v>
      </c>
      <c r="AN20" t="s">
        <v>13</v>
      </c>
      <c r="AO20">
        <f>SUMPRODUCT(Table1[Selected],Table1[BOU])</f>
        <v>1</v>
      </c>
      <c r="AP20">
        <v>3</v>
      </c>
    </row>
    <row r="21" spans="1:42" hidden="1" x14ac:dyDescent="0.2">
      <c r="A21" t="s">
        <v>85</v>
      </c>
      <c r="B21" t="s">
        <v>86</v>
      </c>
      <c r="C21" t="s">
        <v>85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4.7</v>
      </c>
      <c r="AE21">
        <v>64</v>
      </c>
      <c r="AF21">
        <v>18.53453075727419</v>
      </c>
      <c r="AG21">
        <v>17.289894793237082</v>
      </c>
      <c r="AH21">
        <f>17.8169304487445*1</f>
        <v>17.8169304487445</v>
      </c>
      <c r="AI21">
        <f>4.07009119331272*1</f>
        <v>4.0700911933127202</v>
      </c>
      <c r="AJ21">
        <v>1</v>
      </c>
      <c r="AK21">
        <v>0</v>
      </c>
      <c r="AL21">
        <v>0</v>
      </c>
      <c r="AN21" t="s">
        <v>14</v>
      </c>
      <c r="AO21">
        <f>SUMPRODUCT(Table1[Selected],Table1[BRE])</f>
        <v>0</v>
      </c>
      <c r="AP21">
        <v>3</v>
      </c>
    </row>
    <row r="22" spans="1:42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6.6</v>
      </c>
      <c r="AE22">
        <v>65</v>
      </c>
      <c r="AF22">
        <v>10.000410395077051</v>
      </c>
      <c r="AG22">
        <v>18.928571428571431</v>
      </c>
      <c r="AH22">
        <f>7.87991920225806*1</f>
        <v>7.8799192022580602</v>
      </c>
      <c r="AI22">
        <f>1.76728056763895*1</f>
        <v>1.76728056763895</v>
      </c>
      <c r="AJ22">
        <v>1</v>
      </c>
      <c r="AK22">
        <v>1</v>
      </c>
      <c r="AL22">
        <v>0</v>
      </c>
      <c r="AN22" t="s">
        <v>15</v>
      </c>
      <c r="AO22">
        <f>SUMPRODUCT(Table1[Selected],Table1[BHA])</f>
        <v>0</v>
      </c>
      <c r="AP22">
        <v>3</v>
      </c>
    </row>
    <row r="23" spans="1:42" hidden="1" x14ac:dyDescent="0.2">
      <c r="A23" t="s">
        <v>125</v>
      </c>
      <c r="B23" t="s">
        <v>126</v>
      </c>
      <c r="C23" t="s">
        <v>126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147</v>
      </c>
      <c r="AF23">
        <v>16.47058823529412</v>
      </c>
      <c r="AG23">
        <v>15.41666666666667</v>
      </c>
      <c r="AH23">
        <f>16.1322686676784*1</f>
        <v>16.1322686676784</v>
      </c>
      <c r="AI23">
        <f>3.22645373353568*1</f>
        <v>3.22645373353568</v>
      </c>
      <c r="AJ23">
        <v>1</v>
      </c>
      <c r="AK23">
        <v>0</v>
      </c>
      <c r="AL23">
        <v>0</v>
      </c>
      <c r="AN23" t="s">
        <v>16</v>
      </c>
      <c r="AO23">
        <f>SUMPRODUCT(Table1[Selected],Table1[BUR])</f>
        <v>0</v>
      </c>
      <c r="AP23">
        <v>3</v>
      </c>
    </row>
    <row r="24" spans="1:42" hidden="1" x14ac:dyDescent="0.2">
      <c r="A24" t="s">
        <v>127</v>
      </c>
      <c r="B24" t="s">
        <v>128</v>
      </c>
      <c r="C24" t="s">
        <v>128</v>
      </c>
      <c r="D24" t="s">
        <v>6</v>
      </c>
      <c r="E24">
        <v>0</v>
      </c>
      <c r="F24">
        <v>0</v>
      </c>
      <c r="G24">
        <v>0</v>
      </c>
      <c r="H24">
        <v>1</v>
      </c>
      <c r="I24" t="s">
        <v>15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5.9</v>
      </c>
      <c r="AE24">
        <v>156</v>
      </c>
      <c r="AF24">
        <v>15.44117647058823</v>
      </c>
      <c r="AG24">
        <v>16.718042287364089</v>
      </c>
      <c r="AH24">
        <f>25.5214987558133*1</f>
        <v>25.521498755813301</v>
      </c>
      <c r="AI24">
        <f>5.10366728792749*1</f>
        <v>5.1036672879274896</v>
      </c>
      <c r="AJ24">
        <v>1</v>
      </c>
      <c r="AK24">
        <v>0</v>
      </c>
      <c r="AL24">
        <v>0</v>
      </c>
      <c r="AN24" t="s">
        <v>17</v>
      </c>
      <c r="AO24">
        <f>SUMPRODUCT(Table1[Selected],Table1[CHE])</f>
        <v>3</v>
      </c>
      <c r="AP24">
        <v>3</v>
      </c>
    </row>
    <row r="25" spans="1:42" hidden="1" x14ac:dyDescent="0.2">
      <c r="A25" t="s">
        <v>129</v>
      </c>
      <c r="B25" t="s">
        <v>130</v>
      </c>
      <c r="C25" t="s">
        <v>131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15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6.4</v>
      </c>
      <c r="AE25">
        <v>158</v>
      </c>
      <c r="AF25">
        <v>17.62345679012347</v>
      </c>
      <c r="AG25">
        <v>15.8203125</v>
      </c>
      <c r="AH25">
        <f>14.1606724751998*1</f>
        <v>14.160672475199799</v>
      </c>
      <c r="AI25">
        <f>2.83213449503997*1</f>
        <v>2.8321344950399698</v>
      </c>
      <c r="AJ25">
        <v>1</v>
      </c>
      <c r="AK25">
        <v>0</v>
      </c>
      <c r="AL25">
        <v>0</v>
      </c>
      <c r="AN25" t="s">
        <v>18</v>
      </c>
      <c r="AO25">
        <f>SUMPRODUCT(Table1[Selected],Table1[CRY])</f>
        <v>0</v>
      </c>
      <c r="AP25">
        <v>3</v>
      </c>
    </row>
    <row r="26" spans="1:42" hidden="1" x14ac:dyDescent="0.2">
      <c r="A26" t="s">
        <v>132</v>
      </c>
      <c r="B26" t="s">
        <v>133</v>
      </c>
      <c r="C26" t="s">
        <v>132</v>
      </c>
      <c r="D26" t="s">
        <v>6</v>
      </c>
      <c r="E26">
        <v>0</v>
      </c>
      <c r="F26">
        <v>0</v>
      </c>
      <c r="G26">
        <v>0</v>
      </c>
      <c r="H26">
        <v>1</v>
      </c>
      <c r="I26" t="s">
        <v>15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5.4</v>
      </c>
      <c r="AE26">
        <v>159</v>
      </c>
      <c r="AF26">
        <v>16.242551452006019</v>
      </c>
      <c r="AG26">
        <v>13.09210526315789</v>
      </c>
      <c r="AH26">
        <f>6.21746944714338*1</f>
        <v>6.2174694471433796</v>
      </c>
      <c r="AI26">
        <f>-4.92271431775302*1</f>
        <v>-4.9227143177530204</v>
      </c>
      <c r="AJ26">
        <v>1</v>
      </c>
      <c r="AK26">
        <v>0</v>
      </c>
      <c r="AL26">
        <v>0</v>
      </c>
      <c r="AN26" t="s">
        <v>19</v>
      </c>
      <c r="AO26">
        <f>SUMPRODUCT(Table1[Selected],Table1[EVE])</f>
        <v>1</v>
      </c>
      <c r="AP26">
        <v>3</v>
      </c>
    </row>
    <row r="27" spans="1:42" hidden="1" x14ac:dyDescent="0.2">
      <c r="A27" t="s">
        <v>134</v>
      </c>
      <c r="B27" t="s">
        <v>135</v>
      </c>
      <c r="C27" t="s">
        <v>135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15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6.5</v>
      </c>
      <c r="AE27">
        <v>167</v>
      </c>
      <c r="AF27">
        <v>8.3245951047101592</v>
      </c>
      <c r="AG27">
        <v>18.202402861634521</v>
      </c>
      <c r="AH27">
        <f>11.1889466689753*0.2</f>
        <v>2.2377893337950598</v>
      </c>
      <c r="AI27">
        <f>8.58425028283172*0.2</f>
        <v>1.716850056566344</v>
      </c>
      <c r="AJ27">
        <v>0.2</v>
      </c>
      <c r="AK27">
        <v>0</v>
      </c>
      <c r="AL27">
        <v>0</v>
      </c>
      <c r="AN27" t="s">
        <v>20</v>
      </c>
      <c r="AO27">
        <f>SUMPRODUCT(Table1[Selected],Table1[FUL])</f>
        <v>0</v>
      </c>
      <c r="AP27">
        <v>3</v>
      </c>
    </row>
    <row r="28" spans="1:42" hidden="1" x14ac:dyDescent="0.2">
      <c r="A28" t="s">
        <v>89</v>
      </c>
      <c r="B28" t="s">
        <v>90</v>
      </c>
      <c r="C28" t="s">
        <v>90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5.2</v>
      </c>
      <c r="AE28">
        <v>74</v>
      </c>
      <c r="AF28">
        <v>12.87013823863446</v>
      </c>
      <c r="AG28">
        <v>14.101123595505619</v>
      </c>
      <c r="AH28">
        <f>16.7932012104769*1</f>
        <v>16.793201210476902</v>
      </c>
      <c r="AI28">
        <f>2.79474021154315*1</f>
        <v>2.7947402115431501</v>
      </c>
      <c r="AJ28">
        <v>1</v>
      </c>
      <c r="AK28">
        <v>0</v>
      </c>
      <c r="AL28">
        <v>0</v>
      </c>
      <c r="AN28" t="s">
        <v>21</v>
      </c>
      <c r="AO28">
        <f>SUMPRODUCT(Table1[Selected],Table1[LIV])</f>
        <v>2</v>
      </c>
      <c r="AP28">
        <v>3</v>
      </c>
    </row>
    <row r="29" spans="1:42" hidden="1" x14ac:dyDescent="0.2">
      <c r="A29" t="s">
        <v>91</v>
      </c>
      <c r="B29" t="s">
        <v>92</v>
      </c>
      <c r="C29" t="s">
        <v>92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76</v>
      </c>
      <c r="AF29">
        <v>10.714285714285721</v>
      </c>
      <c r="AG29">
        <v>12.434210526315789</v>
      </c>
      <c r="AH29">
        <f>13.9989891862223*1</f>
        <v>13.9989891862223</v>
      </c>
      <c r="AI29">
        <f>2.79979783724447*1</f>
        <v>2.7997978372444701</v>
      </c>
      <c r="AJ29">
        <v>1</v>
      </c>
      <c r="AK29">
        <v>0</v>
      </c>
      <c r="AL29">
        <v>0</v>
      </c>
      <c r="AN29" t="s">
        <v>22</v>
      </c>
      <c r="AO29">
        <f>SUMPRODUCT(Table1[Selected],Table1[LUT])</f>
        <v>0</v>
      </c>
      <c r="AP29">
        <v>3</v>
      </c>
    </row>
    <row r="30" spans="1:42" hidden="1" x14ac:dyDescent="0.2">
      <c r="A30" t="s">
        <v>93</v>
      </c>
      <c r="B30" t="s">
        <v>94</v>
      </c>
      <c r="C30" t="s">
        <v>95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77</v>
      </c>
      <c r="AF30">
        <v>8.5139664010451099</v>
      </c>
      <c r="AG30">
        <v>11.6796875</v>
      </c>
      <c r="AH30">
        <f>11.1727289632736*1</f>
        <v>11.172728963273601</v>
      </c>
      <c r="AI30">
        <f>2.10240968372675*1</f>
        <v>2.1024096837267501</v>
      </c>
      <c r="AJ30">
        <v>1</v>
      </c>
      <c r="AK30">
        <v>0</v>
      </c>
      <c r="AL30">
        <v>0</v>
      </c>
      <c r="AN30" t="s">
        <v>23</v>
      </c>
      <c r="AO30">
        <f>SUMPRODUCT(Table1[Selected],Table1[MCI])</f>
        <v>1</v>
      </c>
      <c r="AP30">
        <v>3</v>
      </c>
    </row>
    <row r="31" spans="1:42" hidden="1" x14ac:dyDescent="0.2">
      <c r="A31" t="s">
        <v>96</v>
      </c>
      <c r="B31" t="s">
        <v>97</v>
      </c>
      <c r="C31" t="s">
        <v>97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4.5999999999999996</v>
      </c>
      <c r="AE31">
        <v>83</v>
      </c>
      <c r="AF31">
        <v>13.571428571428569</v>
      </c>
      <c r="AG31">
        <v>14.25</v>
      </c>
      <c r="AH31">
        <f>17.6915171586594*1</f>
        <v>17.691517158659401</v>
      </c>
      <c r="AI31">
        <f>3.53830343173188*1</f>
        <v>3.53830343173188</v>
      </c>
      <c r="AJ31">
        <v>1</v>
      </c>
      <c r="AK31">
        <v>0</v>
      </c>
      <c r="AL31">
        <v>0</v>
      </c>
      <c r="AN31" t="s">
        <v>24</v>
      </c>
      <c r="AO31">
        <f>SUMPRODUCT(Table1[Selected],Table1[MUN])</f>
        <v>0</v>
      </c>
      <c r="AP31">
        <v>3</v>
      </c>
    </row>
    <row r="32" spans="1:42" hidden="1" x14ac:dyDescent="0.2">
      <c r="A32" t="s">
        <v>221</v>
      </c>
      <c r="B32" t="s">
        <v>222</v>
      </c>
      <c r="C32" t="s">
        <v>222</v>
      </c>
      <c r="D32" t="s">
        <v>4</v>
      </c>
      <c r="E32">
        <v>0</v>
      </c>
      <c r="F32">
        <v>1</v>
      </c>
      <c r="G32">
        <v>0</v>
      </c>
      <c r="H32">
        <v>0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8.4</v>
      </c>
      <c r="AE32">
        <v>383</v>
      </c>
      <c r="AF32">
        <v>27.224516253387389</v>
      </c>
      <c r="AG32">
        <v>21.83026249990138</v>
      </c>
      <c r="AH32">
        <f>29.6595551531217*1</f>
        <v>29.659555153121701</v>
      </c>
      <c r="AI32">
        <f>6.6683305699371*1</f>
        <v>6.6683305699371003</v>
      </c>
      <c r="AJ32">
        <v>1</v>
      </c>
      <c r="AK32">
        <v>1</v>
      </c>
      <c r="AL32">
        <v>1</v>
      </c>
      <c r="AN32" t="s">
        <v>25</v>
      </c>
      <c r="AO32">
        <f>SUMPRODUCT(Table1[Selected],Table1[NEW])</f>
        <v>1</v>
      </c>
      <c r="AP32">
        <v>3</v>
      </c>
    </row>
    <row r="33" spans="1:42" hidden="1" x14ac:dyDescent="0.2">
      <c r="A33" t="s">
        <v>101</v>
      </c>
      <c r="B33" t="s">
        <v>102</v>
      </c>
      <c r="C33" t="s">
        <v>102</v>
      </c>
      <c r="D33" t="s">
        <v>6</v>
      </c>
      <c r="E33">
        <v>0</v>
      </c>
      <c r="F33">
        <v>0</v>
      </c>
      <c r="G33">
        <v>0</v>
      </c>
      <c r="H33">
        <v>1</v>
      </c>
      <c r="I33" t="s">
        <v>13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4.5999999999999996</v>
      </c>
      <c r="AE33">
        <v>93</v>
      </c>
      <c r="AF33">
        <v>12.6</v>
      </c>
      <c r="AG33">
        <v>13.42105263157895</v>
      </c>
      <c r="AH33">
        <f>16.4303399652787*1</f>
        <v>16.430339965278701</v>
      </c>
      <c r="AI33">
        <f>3.28606799305575*1</f>
        <v>3.2860679930557501</v>
      </c>
      <c r="AJ33">
        <v>1</v>
      </c>
      <c r="AK33">
        <v>0</v>
      </c>
      <c r="AL33">
        <v>0</v>
      </c>
      <c r="AN33" t="s">
        <v>26</v>
      </c>
      <c r="AO33">
        <f>SUMPRODUCT(Table1[Selected],Table1[NFO])</f>
        <v>0</v>
      </c>
      <c r="AP33">
        <v>3</v>
      </c>
    </row>
    <row r="34" spans="1:42" hidden="1" x14ac:dyDescent="0.2">
      <c r="A34" t="s">
        <v>103</v>
      </c>
      <c r="B34" t="s">
        <v>104</v>
      </c>
      <c r="C34" t="s">
        <v>104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94</v>
      </c>
      <c r="AF34">
        <v>14.964084976315521</v>
      </c>
      <c r="AG34">
        <v>12.638888888888889</v>
      </c>
      <c r="AH34">
        <f>19.4239086369972*1</f>
        <v>19.423908636997201</v>
      </c>
      <c r="AI34">
        <f>5.89190122457858*1</f>
        <v>5.8919012245785796</v>
      </c>
      <c r="AJ34">
        <v>1</v>
      </c>
      <c r="AK34">
        <v>0</v>
      </c>
      <c r="AL34">
        <v>0</v>
      </c>
      <c r="AN34" t="s">
        <v>27</v>
      </c>
      <c r="AO34">
        <f>SUMPRODUCT(Table1[Selected],Table1[SHU])</f>
        <v>0</v>
      </c>
      <c r="AP34">
        <v>3</v>
      </c>
    </row>
    <row r="35" spans="1:42" hidden="1" x14ac:dyDescent="0.2">
      <c r="A35" t="s">
        <v>105</v>
      </c>
      <c r="B35" t="s">
        <v>106</v>
      </c>
      <c r="C35" t="s">
        <v>106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96</v>
      </c>
      <c r="AF35">
        <v>28.708405157757468</v>
      </c>
      <c r="AG35">
        <v>14.131944444444439</v>
      </c>
      <c r="AH35">
        <f>36.9911569205961*1</f>
        <v>36.991156920596097</v>
      </c>
      <c r="AI35">
        <f>4.84174569459458*1</f>
        <v>4.8417456945945796</v>
      </c>
      <c r="AJ35">
        <v>1</v>
      </c>
      <c r="AK35">
        <v>0</v>
      </c>
      <c r="AL35">
        <v>0</v>
      </c>
      <c r="AN35" t="s">
        <v>28</v>
      </c>
      <c r="AO35">
        <f>SUMPRODUCT(Table1[Selected],Table1[TOT])</f>
        <v>2</v>
      </c>
      <c r="AP35">
        <v>3</v>
      </c>
    </row>
    <row r="36" spans="1:42" hidden="1" x14ac:dyDescent="0.2">
      <c r="A36" t="s">
        <v>107</v>
      </c>
      <c r="B36" t="s">
        <v>108</v>
      </c>
      <c r="C36" t="s">
        <v>108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5.4</v>
      </c>
      <c r="AE36">
        <v>97</v>
      </c>
      <c r="AF36">
        <v>19.05405405405406</v>
      </c>
      <c r="AG36">
        <v>17.847361367289601</v>
      </c>
      <c r="AH36">
        <f>24.7802328735633*1</f>
        <v>24.7802328735633</v>
      </c>
      <c r="AI36">
        <f>4.95604657483548*1</f>
        <v>4.9560465748354803</v>
      </c>
      <c r="AJ36">
        <v>1</v>
      </c>
      <c r="AK36">
        <v>0</v>
      </c>
      <c r="AL36">
        <v>0</v>
      </c>
      <c r="AN36" t="s">
        <v>29</v>
      </c>
      <c r="AO36">
        <f>SUMPRODUCT(Table1[Selected],Table1[WHU])</f>
        <v>1</v>
      </c>
      <c r="AP36">
        <v>3</v>
      </c>
    </row>
    <row r="37" spans="1:42" hidden="1" x14ac:dyDescent="0.2">
      <c r="A37" t="s">
        <v>109</v>
      </c>
      <c r="B37" t="s">
        <v>110</v>
      </c>
      <c r="C37" t="s">
        <v>110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4.4000000000000004</v>
      </c>
      <c r="AE37">
        <v>100</v>
      </c>
      <c r="AF37">
        <v>10.434782608695651</v>
      </c>
      <c r="AG37">
        <v>10.882352941176469</v>
      </c>
      <c r="AH37">
        <f>13.6006267136696*1</f>
        <v>13.6006267136696</v>
      </c>
      <c r="AI37">
        <f>2.72012534273392*1</f>
        <v>2.7201253427339198</v>
      </c>
      <c r="AJ37">
        <v>1</v>
      </c>
      <c r="AK37">
        <v>0</v>
      </c>
      <c r="AL37">
        <v>0</v>
      </c>
      <c r="AN37" t="s">
        <v>30</v>
      </c>
      <c r="AO37">
        <f>SUMPRODUCT(Table1[Selected],Table1[WOL])</f>
        <v>1</v>
      </c>
      <c r="AP37">
        <v>3</v>
      </c>
    </row>
    <row r="38" spans="1:42" hidden="1" x14ac:dyDescent="0.2">
      <c r="A38" t="s">
        <v>111</v>
      </c>
      <c r="B38" t="s">
        <v>112</v>
      </c>
      <c r="C38" t="s">
        <v>112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4.4000000000000004</v>
      </c>
      <c r="AE38">
        <v>101</v>
      </c>
      <c r="AF38">
        <v>13.55976208577213</v>
      </c>
      <c r="AG38">
        <v>10.45454545454545</v>
      </c>
      <c r="AH38">
        <f>17.5740720504472*1</f>
        <v>17.574072050447199</v>
      </c>
      <c r="AI38">
        <f>4.79643734016213*1</f>
        <v>4.7964373401621296</v>
      </c>
      <c r="AJ38">
        <v>1</v>
      </c>
      <c r="AK38">
        <v>0</v>
      </c>
      <c r="AL38">
        <v>0</v>
      </c>
    </row>
    <row r="39" spans="1:42" hidden="1" x14ac:dyDescent="0.2">
      <c r="A39" t="s">
        <v>113</v>
      </c>
      <c r="B39" t="s">
        <v>114</v>
      </c>
      <c r="C39" t="s">
        <v>114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4.5</v>
      </c>
      <c r="AE39">
        <v>114</v>
      </c>
      <c r="AF39">
        <v>12.280701754385969</v>
      </c>
      <c r="AG39">
        <v>12.55681818181818</v>
      </c>
      <c r="AH39">
        <f>13.7831218909282*1</f>
        <v>13.7831218909282</v>
      </c>
      <c r="AI39">
        <f>2.75662437818565*1</f>
        <v>2.7566243781856499</v>
      </c>
      <c r="AJ39">
        <v>1</v>
      </c>
      <c r="AK39">
        <v>0</v>
      </c>
      <c r="AL39">
        <v>0</v>
      </c>
    </row>
    <row r="40" spans="1:42" hidden="1" x14ac:dyDescent="0.2">
      <c r="A40" t="s">
        <v>115</v>
      </c>
      <c r="B40" t="s">
        <v>116</v>
      </c>
      <c r="C40" t="s">
        <v>116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5.3</v>
      </c>
      <c r="AE40">
        <v>123</v>
      </c>
      <c r="AF40">
        <v>13.148148148148151</v>
      </c>
      <c r="AG40">
        <v>13.515625</v>
      </c>
      <c r="AH40">
        <f>14.83507433951*1</f>
        <v>14.835074339509999</v>
      </c>
      <c r="AI40">
        <f>2.967014867902*1</f>
        <v>2.9670148679019999</v>
      </c>
      <c r="AJ40">
        <v>1</v>
      </c>
      <c r="AK40">
        <v>0</v>
      </c>
      <c r="AL40">
        <v>0</v>
      </c>
    </row>
    <row r="41" spans="1:42" hidden="1" x14ac:dyDescent="0.2">
      <c r="A41" t="s">
        <v>117</v>
      </c>
      <c r="B41" t="s">
        <v>118</v>
      </c>
      <c r="C41" t="s">
        <v>118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5.4</v>
      </c>
      <c r="AE41">
        <v>124</v>
      </c>
      <c r="AF41">
        <v>18.025716491028248</v>
      </c>
      <c r="AG41">
        <v>13.75</v>
      </c>
      <c r="AH41">
        <f>15.1248686764564*1</f>
        <v>15.1248686764564</v>
      </c>
      <c r="AI41">
        <f>3.02410104299619*1</f>
        <v>3.0241010429961901</v>
      </c>
      <c r="AJ41">
        <v>1</v>
      </c>
      <c r="AK41">
        <v>0</v>
      </c>
      <c r="AL41">
        <v>0</v>
      </c>
    </row>
    <row r="42" spans="1:42" hidden="1" x14ac:dyDescent="0.2">
      <c r="A42" t="s">
        <v>119</v>
      </c>
      <c r="B42" t="s">
        <v>120</v>
      </c>
      <c r="C42" t="s">
        <v>120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6.8</v>
      </c>
      <c r="AE42">
        <v>126</v>
      </c>
      <c r="AF42">
        <v>20.17647058823529</v>
      </c>
      <c r="AG42">
        <v>16.828593319034329</v>
      </c>
      <c r="AH42">
        <f>18.4980991323925*1</f>
        <v>18.4980991323925</v>
      </c>
      <c r="AI42">
        <f>3.69962810590741*1</f>
        <v>3.6996281059074101</v>
      </c>
      <c r="AJ42">
        <v>1</v>
      </c>
      <c r="AK42">
        <v>0</v>
      </c>
      <c r="AL42">
        <v>0</v>
      </c>
    </row>
    <row r="43" spans="1:42" hidden="1" x14ac:dyDescent="0.2">
      <c r="A43" t="s">
        <v>121</v>
      </c>
      <c r="B43" t="s">
        <v>122</v>
      </c>
      <c r="C43" t="s">
        <v>122</v>
      </c>
      <c r="D43" t="s">
        <v>6</v>
      </c>
      <c r="E43">
        <v>0</v>
      </c>
      <c r="F43">
        <v>0</v>
      </c>
      <c r="G43">
        <v>0</v>
      </c>
      <c r="H43">
        <v>1</v>
      </c>
      <c r="I43" t="s">
        <v>14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5.8</v>
      </c>
      <c r="AE43">
        <v>136</v>
      </c>
      <c r="AF43">
        <v>16.09726412969777</v>
      </c>
      <c r="AG43">
        <v>14.609375</v>
      </c>
      <c r="AH43">
        <f>16.0487929706047*1</f>
        <v>16.048792970604701</v>
      </c>
      <c r="AI43">
        <f>3.21691971005796*1</f>
        <v>3.2169197100579598</v>
      </c>
      <c r="AJ43">
        <v>1</v>
      </c>
      <c r="AK43">
        <v>0</v>
      </c>
      <c r="AL43">
        <v>0</v>
      </c>
    </row>
    <row r="44" spans="1:42" hidden="1" x14ac:dyDescent="0.2">
      <c r="A44" t="s">
        <v>123</v>
      </c>
      <c r="B44" t="s">
        <v>124</v>
      </c>
      <c r="C44" t="s">
        <v>124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4.9000000000000004</v>
      </c>
      <c r="AE44">
        <v>139</v>
      </c>
      <c r="AF44">
        <v>11.48522818950916</v>
      </c>
      <c r="AG44">
        <v>15.04504504504505</v>
      </c>
      <c r="AH44">
        <f>16.4917527763373*1</f>
        <v>16.4917527763373</v>
      </c>
      <c r="AI44">
        <f>3.29771114031086*1</f>
        <v>3.2977111403108599</v>
      </c>
      <c r="AJ44">
        <v>1</v>
      </c>
      <c r="AK44">
        <v>0</v>
      </c>
      <c r="AL44">
        <v>0</v>
      </c>
    </row>
    <row r="45" spans="1:42" hidden="1" x14ac:dyDescent="0.2">
      <c r="A45" t="s">
        <v>136</v>
      </c>
      <c r="B45" t="s">
        <v>137</v>
      </c>
      <c r="C45" t="s">
        <v>137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4.7</v>
      </c>
      <c r="AE45">
        <v>194</v>
      </c>
      <c r="AF45">
        <v>12.505842453020501</v>
      </c>
      <c r="AG45">
        <v>13.079710144927541</v>
      </c>
      <c r="AH45">
        <f>13.4629304290199*1</f>
        <v>13.462930429019901</v>
      </c>
      <c r="AI45">
        <f>3.76036299952687*1</f>
        <v>3.7603629995268699</v>
      </c>
      <c r="AJ45">
        <v>1</v>
      </c>
      <c r="AK45">
        <v>0</v>
      </c>
      <c r="AL45">
        <v>0</v>
      </c>
    </row>
    <row r="46" spans="1:42" hidden="1" x14ac:dyDescent="0.2">
      <c r="A46" t="s">
        <v>138</v>
      </c>
      <c r="B46" t="s">
        <v>139</v>
      </c>
      <c r="C46" t="s">
        <v>139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211</v>
      </c>
      <c r="AF46">
        <v>13.54961832061068</v>
      </c>
      <c r="AG46">
        <v>14.44711538461539</v>
      </c>
      <c r="AH46">
        <f>14.5644761371621*1</f>
        <v>14.564476137162099</v>
      </c>
      <c r="AI46">
        <f>2.91289522743242*1</f>
        <v>2.9128952274324198</v>
      </c>
      <c r="AJ46">
        <v>1</v>
      </c>
      <c r="AK46">
        <v>0</v>
      </c>
      <c r="AL46">
        <v>0</v>
      </c>
    </row>
    <row r="47" spans="1:42" hidden="1" x14ac:dyDescent="0.2">
      <c r="A47" t="s">
        <v>140</v>
      </c>
      <c r="B47" t="s">
        <v>141</v>
      </c>
      <c r="C47" t="s">
        <v>141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4.7</v>
      </c>
      <c r="AE47">
        <v>218</v>
      </c>
      <c r="AF47">
        <v>11.84782608695652</v>
      </c>
      <c r="AG47">
        <v>13.194444444444439</v>
      </c>
      <c r="AH47">
        <f>12.6901651249034*1</f>
        <v>12.6901651249034</v>
      </c>
      <c r="AI47">
        <f>2.53803302498068*1</f>
        <v>2.5380330249806802</v>
      </c>
      <c r="AJ47">
        <v>1</v>
      </c>
      <c r="AK47">
        <v>0</v>
      </c>
      <c r="AL47">
        <v>0</v>
      </c>
    </row>
    <row r="48" spans="1:42" hidden="1" x14ac:dyDescent="0.2">
      <c r="A48" t="s">
        <v>142</v>
      </c>
      <c r="B48" t="s">
        <v>143</v>
      </c>
      <c r="C48" t="s">
        <v>143</v>
      </c>
      <c r="D48" t="s">
        <v>6</v>
      </c>
      <c r="E48">
        <v>0</v>
      </c>
      <c r="F48">
        <v>0</v>
      </c>
      <c r="G48">
        <v>0</v>
      </c>
      <c r="H48">
        <v>1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5.3</v>
      </c>
      <c r="AE48">
        <v>219</v>
      </c>
      <c r="AF48">
        <v>13.82352941176471</v>
      </c>
      <c r="AG48">
        <v>13.95833333333333</v>
      </c>
      <c r="AH48">
        <f>14.9215201108912*1</f>
        <v>14.921520110891199</v>
      </c>
      <c r="AI48">
        <f>2.98430402217824*1</f>
        <v>2.98430402217824</v>
      </c>
      <c r="AJ48">
        <v>1</v>
      </c>
      <c r="AK48">
        <v>0</v>
      </c>
      <c r="AL48">
        <v>0</v>
      </c>
    </row>
    <row r="49" spans="1:38" hidden="1" x14ac:dyDescent="0.2">
      <c r="A49" t="s">
        <v>144</v>
      </c>
      <c r="B49" t="s">
        <v>145</v>
      </c>
      <c r="C49" t="s">
        <v>145</v>
      </c>
      <c r="D49" t="s">
        <v>3</v>
      </c>
      <c r="E49">
        <v>1</v>
      </c>
      <c r="F49">
        <v>0</v>
      </c>
      <c r="G49">
        <v>0</v>
      </c>
      <c r="H49">
        <v>0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4.5</v>
      </c>
      <c r="AE49">
        <v>220</v>
      </c>
      <c r="AF49">
        <v>24.506154310781302</v>
      </c>
      <c r="AG49">
        <v>11.73076923076923</v>
      </c>
      <c r="AH49">
        <f>27.4963089847323*1</f>
        <v>27.496308984732298</v>
      </c>
      <c r="AI49">
        <f>8.18471604519829*1</f>
        <v>8.1847160451982894</v>
      </c>
      <c r="AJ49">
        <v>1</v>
      </c>
      <c r="AK49">
        <v>0</v>
      </c>
      <c r="AL49">
        <v>0</v>
      </c>
    </row>
    <row r="50" spans="1:38" hidden="1" x14ac:dyDescent="0.2">
      <c r="A50" t="s">
        <v>146</v>
      </c>
      <c r="B50" t="s">
        <v>147</v>
      </c>
      <c r="C50" t="s">
        <v>147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4.9000000000000004</v>
      </c>
      <c r="AE50">
        <v>222</v>
      </c>
      <c r="AF50">
        <v>13.928571428571431</v>
      </c>
      <c r="AG50">
        <v>12.25</v>
      </c>
      <c r="AH50">
        <f>15.1804065176005*1</f>
        <v>15.180406517600501</v>
      </c>
      <c r="AI50">
        <f>3.03608130352011*1</f>
        <v>3.0360813035201102</v>
      </c>
      <c r="AJ50">
        <v>1</v>
      </c>
      <c r="AK50">
        <v>0</v>
      </c>
      <c r="AL50">
        <v>0</v>
      </c>
    </row>
    <row r="51" spans="1:38" hidden="1" x14ac:dyDescent="0.2">
      <c r="A51" t="s">
        <v>148</v>
      </c>
      <c r="B51" t="s">
        <v>149</v>
      </c>
      <c r="C51" t="s">
        <v>150</v>
      </c>
      <c r="D51" t="s">
        <v>3</v>
      </c>
      <c r="E51">
        <v>1</v>
      </c>
      <c r="F51">
        <v>0</v>
      </c>
      <c r="G51">
        <v>0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4.5999999999999996</v>
      </c>
      <c r="AE51">
        <v>231</v>
      </c>
      <c r="AF51">
        <v>17.72727272727273</v>
      </c>
      <c r="AG51">
        <v>16.185897435897441</v>
      </c>
      <c r="AH51">
        <f>16.3072557385508*1</f>
        <v>16.307255738550801</v>
      </c>
      <c r="AI51">
        <f>3.26145114771016*1</f>
        <v>3.2614511477101602</v>
      </c>
      <c r="AJ51">
        <v>1</v>
      </c>
      <c r="AK51">
        <v>0</v>
      </c>
      <c r="AL51">
        <v>0</v>
      </c>
    </row>
    <row r="52" spans="1:38" hidden="1" x14ac:dyDescent="0.2">
      <c r="A52" t="s">
        <v>151</v>
      </c>
      <c r="B52" t="s">
        <v>152</v>
      </c>
      <c r="C52" t="s">
        <v>152</v>
      </c>
      <c r="D52" t="s">
        <v>4</v>
      </c>
      <c r="E52">
        <v>0</v>
      </c>
      <c r="F52">
        <v>1</v>
      </c>
      <c r="G52">
        <v>0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4.7</v>
      </c>
      <c r="AE52">
        <v>243</v>
      </c>
      <c r="AF52">
        <v>13.67647058823529</v>
      </c>
      <c r="AG52">
        <v>14.43945869174147</v>
      </c>
      <c r="AH52">
        <f>11.8857844471393*1</f>
        <v>11.885784447139301</v>
      </c>
      <c r="AI52">
        <f>2.38838768445292*1</f>
        <v>2.3883876844529199</v>
      </c>
      <c r="AJ52">
        <v>1</v>
      </c>
      <c r="AK52">
        <v>0</v>
      </c>
      <c r="AL52">
        <v>0</v>
      </c>
    </row>
    <row r="53" spans="1:38" hidden="1" x14ac:dyDescent="0.2">
      <c r="A53" t="s">
        <v>153</v>
      </c>
      <c r="B53" t="s">
        <v>154</v>
      </c>
      <c r="C53" t="s">
        <v>153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4.8</v>
      </c>
      <c r="AE53">
        <v>245</v>
      </c>
      <c r="AF53">
        <v>13.125</v>
      </c>
      <c r="AG53">
        <v>12.70833333333333</v>
      </c>
      <c r="AH53">
        <f>11.815633963611*1</f>
        <v>11.815633963611001</v>
      </c>
      <c r="AI53">
        <f>2.36312679272221*1</f>
        <v>2.3631267927222099</v>
      </c>
      <c r="AJ53">
        <v>1</v>
      </c>
      <c r="AK53">
        <v>0</v>
      </c>
      <c r="AL53">
        <v>0</v>
      </c>
    </row>
    <row r="54" spans="1:38" hidden="1" x14ac:dyDescent="0.2">
      <c r="A54" t="s">
        <v>155</v>
      </c>
      <c r="B54" t="s">
        <v>156</v>
      </c>
      <c r="C54" t="s">
        <v>156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6.3</v>
      </c>
      <c r="AE54">
        <v>253</v>
      </c>
      <c r="AF54">
        <v>12.83333333333333</v>
      </c>
      <c r="AG54">
        <v>13.369565217391299</v>
      </c>
      <c r="AH54">
        <f>11.2170379802156*1</f>
        <v>11.217037980215601</v>
      </c>
      <c r="AI54">
        <f>2.24340759604312*1</f>
        <v>2.2434075960431201</v>
      </c>
      <c r="AJ54">
        <v>1</v>
      </c>
      <c r="AK54">
        <v>0</v>
      </c>
      <c r="AL54">
        <v>0</v>
      </c>
    </row>
    <row r="55" spans="1:38" hidden="1" x14ac:dyDescent="0.2">
      <c r="A55" t="s">
        <v>157</v>
      </c>
      <c r="B55" t="s">
        <v>158</v>
      </c>
      <c r="C55" t="s">
        <v>159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6.9</v>
      </c>
      <c r="AE55">
        <v>254</v>
      </c>
      <c r="AF55">
        <v>16.944444444444439</v>
      </c>
      <c r="AG55">
        <v>18.436949319485869</v>
      </c>
      <c r="AH55">
        <f>14.531019839322*1</f>
        <v>14.531019839321999</v>
      </c>
      <c r="AI55">
        <f>2.90653970044663*1</f>
        <v>2.90653970044663</v>
      </c>
      <c r="AJ55">
        <v>1</v>
      </c>
      <c r="AK55">
        <v>0</v>
      </c>
      <c r="AL55">
        <v>0</v>
      </c>
    </row>
    <row r="56" spans="1:38" x14ac:dyDescent="0.2">
      <c r="A56" t="s">
        <v>246</v>
      </c>
      <c r="B56" t="s">
        <v>247</v>
      </c>
      <c r="C56" t="s">
        <v>246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6.2</v>
      </c>
      <c r="AE56">
        <v>406</v>
      </c>
      <c r="AF56">
        <v>24.01898734177216</v>
      </c>
      <c r="AG56">
        <v>21.243214738295499</v>
      </c>
      <c r="AH56">
        <f>24.6872791723143*1</f>
        <v>24.687279172314302</v>
      </c>
      <c r="AI56">
        <f>5.04274951101114*1</f>
        <v>5.0427495110111398</v>
      </c>
      <c r="AJ56">
        <v>1</v>
      </c>
      <c r="AK56">
        <v>0</v>
      </c>
      <c r="AL56">
        <v>1</v>
      </c>
    </row>
    <row r="57" spans="1:38" hidden="1" x14ac:dyDescent="0.2">
      <c r="A57" t="s">
        <v>362</v>
      </c>
      <c r="B57" t="s">
        <v>363</v>
      </c>
      <c r="C57" t="s">
        <v>364</v>
      </c>
      <c r="D57" t="s">
        <v>6</v>
      </c>
      <c r="E57">
        <v>0</v>
      </c>
      <c r="F57">
        <v>0</v>
      </c>
      <c r="G57">
        <v>0</v>
      </c>
      <c r="H57">
        <v>1</v>
      </c>
      <c r="I57" t="s">
        <v>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5.8</v>
      </c>
      <c r="AE57">
        <v>760</v>
      </c>
      <c r="AF57">
        <v>20.449309810495599</v>
      </c>
      <c r="AG57">
        <v>13.571428571428569</v>
      </c>
      <c r="AH57">
        <f>24.4578814361755*1</f>
        <v>24.457881436175501</v>
      </c>
      <c r="AI57">
        <f>4.89157628723511*1</f>
        <v>4.8915762872351101</v>
      </c>
      <c r="AJ57">
        <v>1</v>
      </c>
      <c r="AK57">
        <v>1</v>
      </c>
      <c r="AL57">
        <v>1</v>
      </c>
    </row>
    <row r="58" spans="1:38" hidden="1" x14ac:dyDescent="0.2">
      <c r="A58" t="s">
        <v>336</v>
      </c>
      <c r="B58" t="s">
        <v>337</v>
      </c>
      <c r="C58" t="s">
        <v>337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7.9</v>
      </c>
      <c r="AE58">
        <v>708</v>
      </c>
      <c r="AF58">
        <v>22.035137038004439</v>
      </c>
      <c r="AG58">
        <v>21.08931460904989</v>
      </c>
      <c r="AH58">
        <f>24.3719680929352*1</f>
        <v>24.371968092935202</v>
      </c>
      <c r="AI58">
        <f>4.82990859372364*1</f>
        <v>4.8299085937236397</v>
      </c>
      <c r="AJ58">
        <v>1</v>
      </c>
      <c r="AK58">
        <v>1</v>
      </c>
      <c r="AL58">
        <v>1</v>
      </c>
    </row>
    <row r="59" spans="1:38" hidden="1" x14ac:dyDescent="0.2">
      <c r="A59" t="s">
        <v>167</v>
      </c>
      <c r="B59" t="s">
        <v>168</v>
      </c>
      <c r="C59" t="s">
        <v>168</v>
      </c>
      <c r="D59" t="s">
        <v>4</v>
      </c>
      <c r="E59">
        <v>0</v>
      </c>
      <c r="F59">
        <v>1</v>
      </c>
      <c r="G59">
        <v>0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4.9000000000000004</v>
      </c>
      <c r="AE59">
        <v>265</v>
      </c>
      <c r="AF59">
        <v>14.00811029485843</v>
      </c>
      <c r="AG59">
        <v>15.20833333333333</v>
      </c>
      <c r="AH59">
        <f>12.0248926170474*1</f>
        <v>12.024892617047399</v>
      </c>
      <c r="AI59">
        <f>2.31905662061822*1</f>
        <v>2.3190566206182202</v>
      </c>
      <c r="AJ59">
        <v>1</v>
      </c>
      <c r="AK59">
        <v>1</v>
      </c>
      <c r="AL59">
        <v>0</v>
      </c>
    </row>
    <row r="60" spans="1:38" hidden="1" x14ac:dyDescent="0.2">
      <c r="A60" t="s">
        <v>169</v>
      </c>
      <c r="B60" t="s">
        <v>170</v>
      </c>
      <c r="C60" t="s">
        <v>171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5.4</v>
      </c>
      <c r="AE60">
        <v>283</v>
      </c>
      <c r="AF60">
        <v>13.808139534883731</v>
      </c>
      <c r="AG60">
        <v>14.209558823529409</v>
      </c>
      <c r="AH60">
        <f>12.6361102855087*1</f>
        <v>12.6361102855087</v>
      </c>
      <c r="AI60">
        <f>2.52722205710174*1</f>
        <v>2.5272220571017399</v>
      </c>
      <c r="AJ60">
        <v>1</v>
      </c>
      <c r="AK60">
        <v>0</v>
      </c>
      <c r="AL60">
        <v>0</v>
      </c>
    </row>
    <row r="61" spans="1:38" hidden="1" x14ac:dyDescent="0.2">
      <c r="A61" t="s">
        <v>172</v>
      </c>
      <c r="B61" t="s">
        <v>173</v>
      </c>
      <c r="C61" t="s">
        <v>173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5.4</v>
      </c>
      <c r="AE61">
        <v>287</v>
      </c>
      <c r="AF61">
        <v>14.868421052631581</v>
      </c>
      <c r="AG61">
        <v>13.95833333333333</v>
      </c>
      <c r="AH61">
        <f>13.5345541942239*1</f>
        <v>13.534554194223899</v>
      </c>
      <c r="AI61">
        <f>2.70691083884478*1</f>
        <v>2.70691083884478</v>
      </c>
      <c r="AJ61">
        <v>1</v>
      </c>
      <c r="AK61">
        <v>0</v>
      </c>
      <c r="AL61">
        <v>0</v>
      </c>
    </row>
    <row r="62" spans="1:38" hidden="1" x14ac:dyDescent="0.2">
      <c r="A62" t="s">
        <v>174</v>
      </c>
      <c r="B62" t="s">
        <v>175</v>
      </c>
      <c r="C62" t="s">
        <v>175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288</v>
      </c>
      <c r="AF62">
        <v>17.956989247311821</v>
      </c>
      <c r="AG62">
        <v>17.25631562393237</v>
      </c>
      <c r="AH62">
        <f>16.3673683306736*1</f>
        <v>16.3673683306736</v>
      </c>
      <c r="AI62">
        <f>3.27347366614721*1</f>
        <v>3.2734736661472099</v>
      </c>
      <c r="AJ62">
        <v>1</v>
      </c>
      <c r="AK62">
        <v>0</v>
      </c>
      <c r="AL62">
        <v>0</v>
      </c>
    </row>
    <row r="63" spans="1:38" hidden="1" x14ac:dyDescent="0.2">
      <c r="A63" t="s">
        <v>176</v>
      </c>
      <c r="B63" t="s">
        <v>177</v>
      </c>
      <c r="C63" t="s">
        <v>178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4.7</v>
      </c>
      <c r="AE63">
        <v>293</v>
      </c>
      <c r="AF63">
        <v>13.4</v>
      </c>
      <c r="AG63">
        <v>14.03846153846154</v>
      </c>
      <c r="AH63">
        <f>12.2759349542171*1</f>
        <v>12.275934954217099</v>
      </c>
      <c r="AI63">
        <f>2.45518699084343*1</f>
        <v>2.4551869908434298</v>
      </c>
      <c r="AJ63">
        <v>1</v>
      </c>
      <c r="AK63">
        <v>0</v>
      </c>
      <c r="AL63">
        <v>0</v>
      </c>
    </row>
    <row r="64" spans="1:38" hidden="1" x14ac:dyDescent="0.2">
      <c r="A64" t="s">
        <v>179</v>
      </c>
      <c r="B64" t="s">
        <v>180</v>
      </c>
      <c r="C64" t="s">
        <v>180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4.9000000000000004</v>
      </c>
      <c r="AE64">
        <v>294</v>
      </c>
      <c r="AF64">
        <v>11.19718309859155</v>
      </c>
      <c r="AG64">
        <v>12.053571428571431</v>
      </c>
      <c r="AH64">
        <f>10.2751829973287*1</f>
        <v>10.275182997328701</v>
      </c>
      <c r="AI64">
        <f>2.05503659946574*1</f>
        <v>2.05503659946574</v>
      </c>
      <c r="AJ64">
        <v>1</v>
      </c>
      <c r="AK64">
        <v>0</v>
      </c>
      <c r="AL64">
        <v>0</v>
      </c>
    </row>
    <row r="65" spans="1:38" hidden="1" x14ac:dyDescent="0.2">
      <c r="A65" t="s">
        <v>181</v>
      </c>
      <c r="B65" t="s">
        <v>182</v>
      </c>
      <c r="C65" t="s">
        <v>182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4.9000000000000004</v>
      </c>
      <c r="AE65">
        <v>302</v>
      </c>
      <c r="AF65">
        <v>13.410596026490071</v>
      </c>
      <c r="AG65">
        <v>13.97916666666667</v>
      </c>
      <c r="AH65">
        <f>12.2818745571581*1</f>
        <v>12.281874557158099</v>
      </c>
      <c r="AI65">
        <f>2.45637491143161*1</f>
        <v>2.45637491143161</v>
      </c>
      <c r="AJ65">
        <v>1</v>
      </c>
      <c r="AK65">
        <v>0</v>
      </c>
      <c r="AL65">
        <v>0</v>
      </c>
    </row>
    <row r="66" spans="1:38" hidden="1" x14ac:dyDescent="0.2">
      <c r="A66" t="s">
        <v>183</v>
      </c>
      <c r="B66" t="s">
        <v>184</v>
      </c>
      <c r="C66" t="s">
        <v>184</v>
      </c>
      <c r="D66" t="s">
        <v>4</v>
      </c>
      <c r="E66">
        <v>0</v>
      </c>
      <c r="F66">
        <v>1</v>
      </c>
      <c r="G66">
        <v>0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4.0999999999999996</v>
      </c>
      <c r="AE66">
        <v>315</v>
      </c>
      <c r="AF66">
        <v>11.92307692307692</v>
      </c>
      <c r="AG66">
        <v>12</v>
      </c>
      <c r="AH66">
        <f>15.016999442174*1</f>
        <v>15.016999442174001</v>
      </c>
      <c r="AI66">
        <f>3.00339988843481*1</f>
        <v>3.0033998884348101</v>
      </c>
      <c r="AJ66">
        <v>1</v>
      </c>
      <c r="AK66">
        <v>0</v>
      </c>
      <c r="AL66">
        <v>0</v>
      </c>
    </row>
    <row r="67" spans="1:38" hidden="1" x14ac:dyDescent="0.2">
      <c r="A67" t="s">
        <v>105</v>
      </c>
      <c r="B67" t="s">
        <v>185</v>
      </c>
      <c r="C67" t="s">
        <v>185</v>
      </c>
      <c r="D67" t="s">
        <v>6</v>
      </c>
      <c r="E67">
        <v>0</v>
      </c>
      <c r="F67">
        <v>0</v>
      </c>
      <c r="G67">
        <v>0</v>
      </c>
      <c r="H67">
        <v>1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</v>
      </c>
      <c r="AE67">
        <v>316</v>
      </c>
      <c r="AF67">
        <v>16.784591472783202</v>
      </c>
      <c r="AG67">
        <v>16.388888888888889</v>
      </c>
      <c r="AH67">
        <f>20.427034516255*1</f>
        <v>20.427034516254999</v>
      </c>
      <c r="AI67">
        <f>4.13209431955967*1</f>
        <v>4.1320943195596698</v>
      </c>
      <c r="AJ67">
        <v>1</v>
      </c>
      <c r="AK67">
        <v>0</v>
      </c>
      <c r="AL67">
        <v>0</v>
      </c>
    </row>
    <row r="68" spans="1:38" hidden="1" x14ac:dyDescent="0.2">
      <c r="A68" t="s">
        <v>186</v>
      </c>
      <c r="B68" t="s">
        <v>187</v>
      </c>
      <c r="C68" t="s">
        <v>188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</v>
      </c>
      <c r="AE68">
        <v>319</v>
      </c>
      <c r="AF68">
        <v>16.158536585365859</v>
      </c>
      <c r="AG68">
        <v>14.772568539605819</v>
      </c>
      <c r="AH68">
        <f>18.2433096147389*1</f>
        <v>18.243309614738902</v>
      </c>
      <c r="AI68">
        <f>3.64866192300688*1</f>
        <v>3.64866192300688</v>
      </c>
      <c r="AJ68">
        <v>1</v>
      </c>
      <c r="AK68">
        <v>0</v>
      </c>
      <c r="AL68">
        <v>0</v>
      </c>
    </row>
    <row r="69" spans="1:38" hidden="1" x14ac:dyDescent="0.2">
      <c r="A69" t="s">
        <v>144</v>
      </c>
      <c r="B69" t="s">
        <v>189</v>
      </c>
      <c r="C69" t="s">
        <v>189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4.9000000000000004</v>
      </c>
      <c r="AE69">
        <v>320</v>
      </c>
      <c r="AF69">
        <v>10.060955469220771</v>
      </c>
      <c r="AG69">
        <v>12.142857142857141</v>
      </c>
      <c r="AH69">
        <f>15.5251153257218*1</f>
        <v>15.525115325721799</v>
      </c>
      <c r="AI69">
        <f>3.10548852754523*1</f>
        <v>3.10548852754523</v>
      </c>
      <c r="AJ69">
        <v>1</v>
      </c>
      <c r="AK69">
        <v>0</v>
      </c>
      <c r="AL69">
        <v>0</v>
      </c>
    </row>
    <row r="70" spans="1:38" hidden="1" x14ac:dyDescent="0.2">
      <c r="A70" t="s">
        <v>190</v>
      </c>
      <c r="B70" t="s">
        <v>191</v>
      </c>
      <c r="C70" t="s">
        <v>191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5.4</v>
      </c>
      <c r="AE70">
        <v>327</v>
      </c>
      <c r="AF70">
        <v>15.94285714285714</v>
      </c>
      <c r="AG70">
        <v>14.738371702308561</v>
      </c>
      <c r="AH70">
        <f>18.230375492175*1</f>
        <v>18.230375492175</v>
      </c>
      <c r="AI70">
        <f>3.646075098435*1</f>
        <v>3.6460750984349999</v>
      </c>
      <c r="AJ70">
        <v>1</v>
      </c>
      <c r="AK70">
        <v>0</v>
      </c>
      <c r="AL70">
        <v>0</v>
      </c>
    </row>
    <row r="71" spans="1:38" hidden="1" x14ac:dyDescent="0.2">
      <c r="A71" t="s">
        <v>56</v>
      </c>
      <c r="B71" t="s">
        <v>57</v>
      </c>
      <c r="C71" t="s">
        <v>57</v>
      </c>
      <c r="D71" t="s">
        <v>4</v>
      </c>
      <c r="E71">
        <v>0</v>
      </c>
      <c r="F71">
        <v>1</v>
      </c>
      <c r="G71">
        <v>0</v>
      </c>
      <c r="H71">
        <v>0</v>
      </c>
      <c r="I71" t="s">
        <v>11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5.6</v>
      </c>
      <c r="AE71">
        <v>18</v>
      </c>
      <c r="AF71">
        <v>22.38707200925769</v>
      </c>
      <c r="AG71">
        <v>18.940944730249772</v>
      </c>
      <c r="AH71">
        <f>18.3874057980609*1</f>
        <v>18.3874057980609</v>
      </c>
      <c r="AI71">
        <f>4.0967238968784*1</f>
        <v>4.0967238968783999</v>
      </c>
      <c r="AJ71">
        <v>1</v>
      </c>
      <c r="AK71">
        <v>1</v>
      </c>
      <c r="AL71">
        <v>1</v>
      </c>
    </row>
    <row r="72" spans="1:38" hidden="1" x14ac:dyDescent="0.2">
      <c r="A72" t="s">
        <v>194</v>
      </c>
      <c r="B72" t="s">
        <v>195</v>
      </c>
      <c r="C72" t="s">
        <v>195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4.7</v>
      </c>
      <c r="AE72">
        <v>329</v>
      </c>
      <c r="AF72">
        <v>12.405083462304351</v>
      </c>
      <c r="AG72">
        <v>13.125</v>
      </c>
      <c r="AH72">
        <f>16.5293257620581*1</f>
        <v>16.5293257620581</v>
      </c>
      <c r="AI72">
        <f>3.24383215875934*1</f>
        <v>3.2438321587593402</v>
      </c>
      <c r="AJ72">
        <v>1</v>
      </c>
      <c r="AK72">
        <v>0</v>
      </c>
      <c r="AL72">
        <v>0</v>
      </c>
    </row>
    <row r="73" spans="1:38" hidden="1" x14ac:dyDescent="0.2">
      <c r="A73" t="s">
        <v>169</v>
      </c>
      <c r="B73" t="s">
        <v>196</v>
      </c>
      <c r="C73" t="s">
        <v>196</v>
      </c>
      <c r="D73" t="s">
        <v>3</v>
      </c>
      <c r="E73">
        <v>1</v>
      </c>
      <c r="F73">
        <v>0</v>
      </c>
      <c r="G73">
        <v>0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4.4000000000000004</v>
      </c>
      <c r="AE73">
        <v>331</v>
      </c>
      <c r="AF73">
        <v>17.617801047120398</v>
      </c>
      <c r="AG73">
        <v>18.156699122883548</v>
      </c>
      <c r="AH73">
        <f>22.7910289933951*1</f>
        <v>22.791028993395098</v>
      </c>
      <c r="AI73">
        <f>4.38228492089961*1</f>
        <v>4.3822849208996102</v>
      </c>
      <c r="AJ73">
        <v>1</v>
      </c>
      <c r="AK73">
        <v>0</v>
      </c>
      <c r="AL73">
        <v>0</v>
      </c>
    </row>
    <row r="74" spans="1:38" hidden="1" x14ac:dyDescent="0.2">
      <c r="A74" t="s">
        <v>144</v>
      </c>
      <c r="B74" t="s">
        <v>197</v>
      </c>
      <c r="C74" t="s">
        <v>197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</v>
      </c>
      <c r="AE74">
        <v>333</v>
      </c>
      <c r="AF74">
        <v>15.546531192256239</v>
      </c>
      <c r="AG74">
        <v>14.754901960784309</v>
      </c>
      <c r="AH74">
        <f>18.3188919528909*1</f>
        <v>18.318891952890901</v>
      </c>
      <c r="AI74">
        <f>3.73054479980677*1</f>
        <v>3.7305447998067698</v>
      </c>
      <c r="AJ74">
        <v>1</v>
      </c>
      <c r="AK74">
        <v>0</v>
      </c>
      <c r="AL74">
        <v>0</v>
      </c>
    </row>
    <row r="75" spans="1:38" hidden="1" x14ac:dyDescent="0.2">
      <c r="A75" t="s">
        <v>198</v>
      </c>
      <c r="B75" t="s">
        <v>199</v>
      </c>
      <c r="C75" t="s">
        <v>199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342</v>
      </c>
      <c r="AF75">
        <v>19.824561403508788</v>
      </c>
      <c r="AG75">
        <v>19.626301560142242</v>
      </c>
      <c r="AH75">
        <f>24.5074232953087*1</f>
        <v>24.507423295308701</v>
      </c>
      <c r="AI75">
        <f>4.90148465906175*1</f>
        <v>4.90148465906175</v>
      </c>
      <c r="AJ75">
        <v>1</v>
      </c>
      <c r="AK75">
        <v>0</v>
      </c>
      <c r="AL75">
        <v>0</v>
      </c>
    </row>
    <row r="76" spans="1:38" hidden="1" x14ac:dyDescent="0.2">
      <c r="A76" t="s">
        <v>200</v>
      </c>
      <c r="B76" t="s">
        <v>201</v>
      </c>
      <c r="C76" t="s">
        <v>201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5.3</v>
      </c>
      <c r="AE76">
        <v>347</v>
      </c>
      <c r="AF76">
        <v>13.71257485029941</v>
      </c>
      <c r="AG76">
        <v>13.92045454545455</v>
      </c>
      <c r="AH76">
        <f>14.9169899684072*1</f>
        <v>14.916989968407201</v>
      </c>
      <c r="AI76">
        <f>2.98339799368144*1</f>
        <v>2.9833979936814399</v>
      </c>
      <c r="AJ76">
        <v>1</v>
      </c>
      <c r="AK76">
        <v>0</v>
      </c>
      <c r="AL76">
        <v>0</v>
      </c>
    </row>
    <row r="77" spans="1:38" hidden="1" x14ac:dyDescent="0.2">
      <c r="A77" t="s">
        <v>202</v>
      </c>
      <c r="B77" t="s">
        <v>203</v>
      </c>
      <c r="C77" t="s">
        <v>202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5.3</v>
      </c>
      <c r="AE77">
        <v>348</v>
      </c>
      <c r="AF77">
        <v>18.235294117647062</v>
      </c>
      <c r="AG77">
        <v>16.55240897074237</v>
      </c>
      <c r="AH77">
        <f>18.6288341600699*1</f>
        <v>18.6288341600699</v>
      </c>
      <c r="AI77">
        <f>3.72564772135287*1</f>
        <v>3.7256477213528698</v>
      </c>
      <c r="AJ77">
        <v>1</v>
      </c>
      <c r="AK77">
        <v>0</v>
      </c>
      <c r="AL77">
        <v>0</v>
      </c>
    </row>
    <row r="78" spans="1:38" hidden="1" x14ac:dyDescent="0.2">
      <c r="A78" t="s">
        <v>204</v>
      </c>
      <c r="B78" t="s">
        <v>205</v>
      </c>
      <c r="C78" t="s">
        <v>205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4.9000000000000004</v>
      </c>
      <c r="AE78">
        <v>349</v>
      </c>
      <c r="AF78">
        <v>10.75290384585873</v>
      </c>
      <c r="AG78">
        <v>12.355072463768121</v>
      </c>
      <c r="AH78">
        <f>12.5847442664483*1</f>
        <v>12.5847442664483</v>
      </c>
      <c r="AI78">
        <f>2.50626615534198*1</f>
        <v>2.5062661553419798</v>
      </c>
      <c r="AJ78">
        <v>1</v>
      </c>
      <c r="AK78">
        <v>0</v>
      </c>
      <c r="AL78">
        <v>0</v>
      </c>
    </row>
    <row r="79" spans="1:38" hidden="1" x14ac:dyDescent="0.2">
      <c r="A79" t="s">
        <v>206</v>
      </c>
      <c r="B79" t="s">
        <v>207</v>
      </c>
      <c r="C79" t="s">
        <v>207</v>
      </c>
      <c r="D79" t="s">
        <v>3</v>
      </c>
      <c r="E79">
        <v>1</v>
      </c>
      <c r="F79">
        <v>0</v>
      </c>
      <c r="G79">
        <v>0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4.8</v>
      </c>
      <c r="AE79">
        <v>356</v>
      </c>
      <c r="AF79">
        <v>18.66320297986444</v>
      </c>
      <c r="AG79">
        <v>16.583333333333339</v>
      </c>
      <c r="AH79">
        <f>18.8455476309639*1</f>
        <v>18.8455476309639</v>
      </c>
      <c r="AI79">
        <f>3.93913406913523*1</f>
        <v>3.9391340691352301</v>
      </c>
      <c r="AJ79">
        <v>1</v>
      </c>
      <c r="AK79">
        <v>0</v>
      </c>
      <c r="AL79">
        <v>0</v>
      </c>
    </row>
    <row r="80" spans="1:38" hidden="1" x14ac:dyDescent="0.2">
      <c r="A80" t="s">
        <v>208</v>
      </c>
      <c r="B80" t="s">
        <v>209</v>
      </c>
      <c r="C80" t="s">
        <v>210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361</v>
      </c>
      <c r="AF80">
        <v>13.5781788553235</v>
      </c>
      <c r="AG80">
        <v>13.09210526315789</v>
      </c>
      <c r="AH80">
        <f>14.3441553996127*1</f>
        <v>14.344155399612699</v>
      </c>
      <c r="AI80">
        <f>3.13562881685071*1</f>
        <v>3.1356288168507098</v>
      </c>
      <c r="AJ80">
        <v>1</v>
      </c>
      <c r="AK80">
        <v>0</v>
      </c>
      <c r="AL80">
        <v>0</v>
      </c>
    </row>
    <row r="81" spans="1:38" hidden="1" x14ac:dyDescent="0.2">
      <c r="A81" t="s">
        <v>211</v>
      </c>
      <c r="B81" t="s">
        <v>212</v>
      </c>
      <c r="C81" t="s">
        <v>212</v>
      </c>
      <c r="D81" t="s">
        <v>4</v>
      </c>
      <c r="E81">
        <v>0</v>
      </c>
      <c r="F81">
        <v>1</v>
      </c>
      <c r="G81">
        <v>0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4.4000000000000004</v>
      </c>
      <c r="AE81">
        <v>364</v>
      </c>
      <c r="AF81">
        <v>11.858974358974359</v>
      </c>
      <c r="AG81">
        <v>13.360655737704921</v>
      </c>
      <c r="AH81">
        <f>13.7156648939274*1</f>
        <v>13.7156648939274</v>
      </c>
      <c r="AI81">
        <f>2.74313297878549*1</f>
        <v>2.7431329787854901</v>
      </c>
      <c r="AJ81">
        <v>1</v>
      </c>
      <c r="AK81">
        <v>0</v>
      </c>
      <c r="AL81">
        <v>0</v>
      </c>
    </row>
    <row r="82" spans="1:38" hidden="1" x14ac:dyDescent="0.2">
      <c r="A82" t="s">
        <v>213</v>
      </c>
      <c r="B82" t="s">
        <v>214</v>
      </c>
      <c r="C82" t="s">
        <v>214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5.3</v>
      </c>
      <c r="AE82">
        <v>369</v>
      </c>
      <c r="AF82">
        <v>13.24675324675324</v>
      </c>
      <c r="AG82">
        <v>13.625</v>
      </c>
      <c r="AH82">
        <f>14.5196562194537*1</f>
        <v>14.519656219453701</v>
      </c>
      <c r="AI82">
        <f>2.90393124389075*1</f>
        <v>2.9039312438907499</v>
      </c>
      <c r="AJ82">
        <v>1</v>
      </c>
      <c r="AK82">
        <v>0</v>
      </c>
      <c r="AL82">
        <v>0</v>
      </c>
    </row>
    <row r="83" spans="1:38" hidden="1" x14ac:dyDescent="0.2">
      <c r="A83" t="s">
        <v>215</v>
      </c>
      <c r="B83" t="s">
        <v>216</v>
      </c>
      <c r="C83" t="s">
        <v>215</v>
      </c>
      <c r="D83" t="s">
        <v>6</v>
      </c>
      <c r="E83">
        <v>0</v>
      </c>
      <c r="F83">
        <v>0</v>
      </c>
      <c r="G83">
        <v>0</v>
      </c>
      <c r="H83">
        <v>1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5.2</v>
      </c>
      <c r="AE83">
        <v>370</v>
      </c>
      <c r="AF83">
        <v>14.40084109767507</v>
      </c>
      <c r="AG83">
        <v>20.815736344167419</v>
      </c>
      <c r="AH83">
        <f>19.4865106041085*1</f>
        <v>19.486510604108499</v>
      </c>
      <c r="AI83">
        <f>3.06965204425262*1</f>
        <v>3.0696520442526198</v>
      </c>
      <c r="AJ83">
        <v>1</v>
      </c>
      <c r="AK83">
        <v>0</v>
      </c>
      <c r="AL83">
        <v>0</v>
      </c>
    </row>
    <row r="84" spans="1:38" hidden="1" x14ac:dyDescent="0.2">
      <c r="A84" t="s">
        <v>217</v>
      </c>
      <c r="B84" t="s">
        <v>218</v>
      </c>
      <c r="C84" t="s">
        <v>217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5.3</v>
      </c>
      <c r="AE84">
        <v>371</v>
      </c>
      <c r="AF84">
        <v>20.04350479883054</v>
      </c>
      <c r="AG84">
        <v>20.615317904487501</v>
      </c>
      <c r="AH84">
        <f>21.9692061890225*1</f>
        <v>21.969206189022501</v>
      </c>
      <c r="AI84">
        <f>4.13314814757833*1</f>
        <v>4.1331481475783303</v>
      </c>
      <c r="AJ84">
        <v>1</v>
      </c>
      <c r="AK84">
        <v>0</v>
      </c>
      <c r="AL84">
        <v>0</v>
      </c>
    </row>
    <row r="85" spans="1:38" hidden="1" x14ac:dyDescent="0.2">
      <c r="A85" t="s">
        <v>219</v>
      </c>
      <c r="B85" t="s">
        <v>220</v>
      </c>
      <c r="C85" t="s">
        <v>220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</v>
      </c>
      <c r="AE85">
        <v>378</v>
      </c>
      <c r="AF85">
        <v>14.90001552297077</v>
      </c>
      <c r="AG85">
        <v>15.28125</v>
      </c>
      <c r="AH85">
        <f>16.3045176625282*1</f>
        <v>16.304517662528198</v>
      </c>
      <c r="AI85">
        <f>3.09258672149115*1</f>
        <v>3.0925867214911502</v>
      </c>
      <c r="AJ85">
        <v>1</v>
      </c>
      <c r="AK85">
        <v>0</v>
      </c>
      <c r="AL85">
        <v>0</v>
      </c>
    </row>
    <row r="86" spans="1:38" hidden="1" x14ac:dyDescent="0.2">
      <c r="A86" t="s">
        <v>44</v>
      </c>
      <c r="B86" t="s">
        <v>48</v>
      </c>
      <c r="C86" t="s">
        <v>49</v>
      </c>
      <c r="D86" t="s">
        <v>6</v>
      </c>
      <c r="E86">
        <v>0</v>
      </c>
      <c r="F86">
        <v>0</v>
      </c>
      <c r="G86">
        <v>0</v>
      </c>
      <c r="H86">
        <v>1</v>
      </c>
      <c r="I86" t="s">
        <v>11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6</v>
      </c>
      <c r="AF86">
        <v>20.22727272727272</v>
      </c>
      <c r="AG86">
        <v>20.545529046349941</v>
      </c>
      <c r="AH86">
        <f>18.9815968540826*1</f>
        <v>18.9815968540826</v>
      </c>
      <c r="AI86">
        <f>3.79634159845803*1</f>
        <v>3.7963415984580302</v>
      </c>
      <c r="AJ86">
        <v>1</v>
      </c>
      <c r="AK86">
        <v>1</v>
      </c>
      <c r="AL86">
        <v>1</v>
      </c>
    </row>
    <row r="87" spans="1:38" hidden="1" x14ac:dyDescent="0.2">
      <c r="A87" t="s">
        <v>223</v>
      </c>
      <c r="B87" t="s">
        <v>224</v>
      </c>
      <c r="C87" t="s">
        <v>225</v>
      </c>
      <c r="D87" t="s">
        <v>3</v>
      </c>
      <c r="E87">
        <v>1</v>
      </c>
      <c r="F87">
        <v>0</v>
      </c>
      <c r="G87">
        <v>0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384</v>
      </c>
      <c r="AF87">
        <v>22.481148090883579</v>
      </c>
      <c r="AG87">
        <v>20.870476121458228</v>
      </c>
      <c r="AH87">
        <f>22.3698358877789*1</f>
        <v>22.369835887778901</v>
      </c>
      <c r="AI87">
        <f>4.83058656623319*1</f>
        <v>4.8305865662331904</v>
      </c>
      <c r="AJ87">
        <v>1</v>
      </c>
      <c r="AK87">
        <v>0</v>
      </c>
      <c r="AL87">
        <v>0</v>
      </c>
    </row>
    <row r="88" spans="1:38" hidden="1" x14ac:dyDescent="0.2">
      <c r="A88" t="s">
        <v>226</v>
      </c>
      <c r="B88" t="s">
        <v>227</v>
      </c>
      <c r="C88" t="s">
        <v>226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7.5</v>
      </c>
      <c r="AE88">
        <v>386</v>
      </c>
      <c r="AF88">
        <v>18.888888888888889</v>
      </c>
      <c r="AG88">
        <v>18.159880103005349</v>
      </c>
      <c r="AH88">
        <f>18.3294936173716*1</f>
        <v>18.3294936173716</v>
      </c>
      <c r="AI88">
        <f>3.6660423466153*1</f>
        <v>3.6660423466153</v>
      </c>
      <c r="AJ88">
        <v>1</v>
      </c>
      <c r="AK88">
        <v>0</v>
      </c>
      <c r="AL88">
        <v>0</v>
      </c>
    </row>
    <row r="89" spans="1:38" hidden="1" x14ac:dyDescent="0.2">
      <c r="A89" t="s">
        <v>228</v>
      </c>
      <c r="B89" t="s">
        <v>229</v>
      </c>
      <c r="C89" t="s">
        <v>230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7.7</v>
      </c>
      <c r="AE89">
        <v>387</v>
      </c>
      <c r="AF89">
        <v>18.59375</v>
      </c>
      <c r="AG89">
        <v>19.378177025433601</v>
      </c>
      <c r="AH89">
        <f>16.9222179480287*1</f>
        <v>16.922217948028699</v>
      </c>
      <c r="AI89">
        <f>3.38444358293434*1</f>
        <v>3.38444358293434</v>
      </c>
      <c r="AJ89">
        <v>1</v>
      </c>
      <c r="AK89">
        <v>0</v>
      </c>
      <c r="AL89">
        <v>0</v>
      </c>
    </row>
    <row r="90" spans="1:38" hidden="1" x14ac:dyDescent="0.2">
      <c r="A90" t="s">
        <v>231</v>
      </c>
      <c r="B90" t="s">
        <v>232</v>
      </c>
      <c r="C90" t="s">
        <v>232</v>
      </c>
      <c r="D90" t="s">
        <v>6</v>
      </c>
      <c r="E90">
        <v>0</v>
      </c>
      <c r="F90">
        <v>0</v>
      </c>
      <c r="G90">
        <v>0</v>
      </c>
      <c r="H90">
        <v>1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7.2</v>
      </c>
      <c r="AE90">
        <v>390</v>
      </c>
      <c r="AF90">
        <v>16.285714285714281</v>
      </c>
      <c r="AG90">
        <v>16.144597145738292</v>
      </c>
      <c r="AH90">
        <f>15.4396802937394*1</f>
        <v>15.4396802937394</v>
      </c>
      <c r="AI90">
        <f>3.0871647074747*1</f>
        <v>3.0871647074747002</v>
      </c>
      <c r="AJ90">
        <v>1</v>
      </c>
      <c r="AK90">
        <v>0</v>
      </c>
      <c r="AL90">
        <v>0</v>
      </c>
    </row>
    <row r="91" spans="1:38" hidden="1" x14ac:dyDescent="0.2">
      <c r="A91" t="s">
        <v>233</v>
      </c>
      <c r="B91" t="s">
        <v>234</v>
      </c>
      <c r="C91" t="s">
        <v>234</v>
      </c>
      <c r="D91" t="s">
        <v>4</v>
      </c>
      <c r="E91">
        <v>0</v>
      </c>
      <c r="F91">
        <v>1</v>
      </c>
      <c r="G91">
        <v>0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4.5</v>
      </c>
      <c r="AE91">
        <v>391</v>
      </c>
      <c r="AF91">
        <v>11.875</v>
      </c>
      <c r="AG91">
        <v>12.29166666666667</v>
      </c>
      <c r="AH91">
        <f>10.870383373226*1</f>
        <v>10.870383373226</v>
      </c>
      <c r="AI91">
        <f>2.17407667464521*1</f>
        <v>2.1740766746452098</v>
      </c>
      <c r="AJ91">
        <v>1</v>
      </c>
      <c r="AK91">
        <v>0</v>
      </c>
      <c r="AL91">
        <v>0</v>
      </c>
    </row>
    <row r="92" spans="1:38" hidden="1" x14ac:dyDescent="0.2">
      <c r="A92" t="s">
        <v>235</v>
      </c>
      <c r="B92" t="s">
        <v>236</v>
      </c>
      <c r="C92" t="s">
        <v>236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4.9000000000000004</v>
      </c>
      <c r="AE92">
        <v>395</v>
      </c>
      <c r="AF92">
        <v>14.625</v>
      </c>
      <c r="AG92">
        <v>14.2741935483871</v>
      </c>
      <c r="AH92">
        <f>14.0324550240778*1</f>
        <v>14.0324550240778</v>
      </c>
      <c r="AI92">
        <f>2.80649100481556*1</f>
        <v>2.8064910048155598</v>
      </c>
      <c r="AJ92">
        <v>1</v>
      </c>
      <c r="AK92">
        <v>0</v>
      </c>
      <c r="AL92">
        <v>0</v>
      </c>
    </row>
    <row r="93" spans="1:38" hidden="1" x14ac:dyDescent="0.2">
      <c r="A93" t="s">
        <v>237</v>
      </c>
      <c r="B93" t="s">
        <v>238</v>
      </c>
      <c r="C93" t="s">
        <v>239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7.3</v>
      </c>
      <c r="AE93">
        <v>396</v>
      </c>
      <c r="AF93">
        <v>16.36363636363636</v>
      </c>
      <c r="AG93">
        <v>16.499480212216088</v>
      </c>
      <c r="AH93">
        <f>15.3063727518328*1</f>
        <v>15.3063727518328</v>
      </c>
      <c r="AI93">
        <f>3.06127456048025*1</f>
        <v>3.0612745604802498</v>
      </c>
      <c r="AJ93">
        <v>1</v>
      </c>
      <c r="AK93">
        <v>0</v>
      </c>
      <c r="AL93">
        <v>0</v>
      </c>
    </row>
    <row r="94" spans="1:38" hidden="1" x14ac:dyDescent="0.2">
      <c r="A94" t="s">
        <v>240</v>
      </c>
      <c r="B94" t="s">
        <v>241</v>
      </c>
      <c r="C94" t="s">
        <v>241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5.8</v>
      </c>
      <c r="AE94">
        <v>397</v>
      </c>
      <c r="AF94">
        <v>14.271844660194169</v>
      </c>
      <c r="AG94">
        <v>14.53703703703704</v>
      </c>
      <c r="AH94">
        <f>13.2402501086445*1</f>
        <v>13.240250108644499</v>
      </c>
      <c r="AI94">
        <f>2.64805002172891*1</f>
        <v>2.6480500217289098</v>
      </c>
      <c r="AJ94">
        <v>1</v>
      </c>
      <c r="AK94">
        <v>0</v>
      </c>
      <c r="AL94">
        <v>0</v>
      </c>
    </row>
    <row r="95" spans="1:38" hidden="1" x14ac:dyDescent="0.2">
      <c r="A95" t="s">
        <v>242</v>
      </c>
      <c r="B95" t="s">
        <v>243</v>
      </c>
      <c r="C95" t="s">
        <v>243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13.3</v>
      </c>
      <c r="AE95">
        <v>401</v>
      </c>
      <c r="AF95">
        <v>34.450261780104711</v>
      </c>
      <c r="AG95">
        <v>34.030305026713393</v>
      </c>
      <c r="AH95">
        <f>32.7512137666463*1</f>
        <v>32.751213766646302</v>
      </c>
      <c r="AI95">
        <f>6.55024275402624*1</f>
        <v>6.5502427540262396</v>
      </c>
      <c r="AJ95">
        <v>1</v>
      </c>
      <c r="AK95">
        <v>0</v>
      </c>
      <c r="AL95">
        <v>0</v>
      </c>
    </row>
    <row r="96" spans="1:38" hidden="1" x14ac:dyDescent="0.2">
      <c r="A96" t="s">
        <v>244</v>
      </c>
      <c r="B96" t="s">
        <v>245</v>
      </c>
      <c r="C96" t="s">
        <v>245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7.1</v>
      </c>
      <c r="AE96">
        <v>402</v>
      </c>
      <c r="AF96">
        <v>18.684210526315791</v>
      </c>
      <c r="AG96">
        <v>18.631559838096091</v>
      </c>
      <c r="AH96">
        <f>17.6320501527182*1</f>
        <v>17.6320501527182</v>
      </c>
      <c r="AI96">
        <f>3.52652307244835*1</f>
        <v>3.5265230724483501</v>
      </c>
      <c r="AJ96">
        <v>1</v>
      </c>
      <c r="AK96">
        <v>0</v>
      </c>
      <c r="AL96">
        <v>0</v>
      </c>
    </row>
    <row r="97" spans="1:38" hidden="1" x14ac:dyDescent="0.2">
      <c r="A97" t="s">
        <v>332</v>
      </c>
      <c r="B97" t="s">
        <v>333</v>
      </c>
      <c r="C97" t="s">
        <v>333</v>
      </c>
      <c r="D97" t="s">
        <v>3</v>
      </c>
      <c r="E97">
        <v>1</v>
      </c>
      <c r="F97">
        <v>0</v>
      </c>
      <c r="G97">
        <v>0</v>
      </c>
      <c r="H97">
        <v>0</v>
      </c>
      <c r="I97" t="s">
        <v>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5.3</v>
      </c>
      <c r="AE97">
        <v>694</v>
      </c>
      <c r="AF97">
        <v>17.631578947368428</v>
      </c>
      <c r="AG97">
        <v>15.71428571428571</v>
      </c>
      <c r="AH97">
        <f>18.741567462438*1</f>
        <v>18.741567462437999</v>
      </c>
      <c r="AI97">
        <f>3.74831349248761*1</f>
        <v>3.7483134924876098</v>
      </c>
      <c r="AJ97">
        <v>1</v>
      </c>
      <c r="AK97">
        <v>1</v>
      </c>
      <c r="AL97">
        <v>1</v>
      </c>
    </row>
    <row r="98" spans="1:38" hidden="1" x14ac:dyDescent="0.2">
      <c r="A98" t="s">
        <v>248</v>
      </c>
      <c r="B98" t="s">
        <v>249</v>
      </c>
      <c r="C98" t="s">
        <v>249</v>
      </c>
      <c r="D98" t="s">
        <v>6</v>
      </c>
      <c r="E98">
        <v>0</v>
      </c>
      <c r="F98">
        <v>0</v>
      </c>
      <c r="G98">
        <v>0</v>
      </c>
      <c r="H98">
        <v>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4.8</v>
      </c>
      <c r="AE98">
        <v>420</v>
      </c>
      <c r="AF98">
        <v>12.647058823529409</v>
      </c>
      <c r="AG98">
        <v>11.875</v>
      </c>
      <c r="AH98">
        <f t="shared" ref="AH98:AI101" si="0">0*1</f>
        <v>0</v>
      </c>
      <c r="AI98">
        <f t="shared" si="0"/>
        <v>0</v>
      </c>
      <c r="AJ98">
        <v>1</v>
      </c>
      <c r="AK98">
        <v>0</v>
      </c>
      <c r="AL98">
        <v>0</v>
      </c>
    </row>
    <row r="99" spans="1:38" hidden="1" x14ac:dyDescent="0.2">
      <c r="A99" t="s">
        <v>250</v>
      </c>
      <c r="B99" t="s">
        <v>251</v>
      </c>
      <c r="C99" t="s">
        <v>251</v>
      </c>
      <c r="D99" t="s">
        <v>6</v>
      </c>
      <c r="E99">
        <v>0</v>
      </c>
      <c r="F99">
        <v>0</v>
      </c>
      <c r="G99">
        <v>0</v>
      </c>
      <c r="H99">
        <v>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5.0999999999999996</v>
      </c>
      <c r="AE99">
        <v>432</v>
      </c>
      <c r="AF99">
        <v>15.882352941176469</v>
      </c>
      <c r="AG99">
        <v>15.41666666666667</v>
      </c>
      <c r="AH99">
        <f t="shared" si="0"/>
        <v>0</v>
      </c>
      <c r="AI99">
        <f t="shared" si="0"/>
        <v>0</v>
      </c>
      <c r="AJ99">
        <v>1</v>
      </c>
      <c r="AK99">
        <v>0</v>
      </c>
      <c r="AL99">
        <v>0</v>
      </c>
    </row>
    <row r="100" spans="1:38" hidden="1" x14ac:dyDescent="0.2">
      <c r="A100" t="s">
        <v>252</v>
      </c>
      <c r="B100" t="s">
        <v>253</v>
      </c>
      <c r="C100" t="s">
        <v>253</v>
      </c>
      <c r="D100" t="s">
        <v>3</v>
      </c>
      <c r="E100">
        <v>1</v>
      </c>
      <c r="F100">
        <v>0</v>
      </c>
      <c r="G100">
        <v>0</v>
      </c>
      <c r="H100">
        <v>0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4.5</v>
      </c>
      <c r="AE100">
        <v>453</v>
      </c>
      <c r="AF100">
        <v>11.17647058823529</v>
      </c>
      <c r="AG100">
        <v>12.29166666666667</v>
      </c>
      <c r="AH100">
        <f t="shared" si="0"/>
        <v>0</v>
      </c>
      <c r="AI100">
        <f t="shared" si="0"/>
        <v>0</v>
      </c>
      <c r="AJ100">
        <v>1</v>
      </c>
      <c r="AK100">
        <v>0</v>
      </c>
      <c r="AL100">
        <v>0</v>
      </c>
    </row>
    <row r="101" spans="1:38" hidden="1" x14ac:dyDescent="0.2">
      <c r="A101" t="s">
        <v>254</v>
      </c>
      <c r="B101" t="s">
        <v>255</v>
      </c>
      <c r="C101" t="s">
        <v>255</v>
      </c>
      <c r="D101" t="s">
        <v>6</v>
      </c>
      <c r="E101">
        <v>0</v>
      </c>
      <c r="F101">
        <v>0</v>
      </c>
      <c r="G101">
        <v>0</v>
      </c>
      <c r="H101">
        <v>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4.9000000000000004</v>
      </c>
      <c r="AE101">
        <v>455</v>
      </c>
      <c r="AF101">
        <v>11.806543634262519</v>
      </c>
      <c r="AG101">
        <v>12.70833333333333</v>
      </c>
      <c r="AH101">
        <f t="shared" si="0"/>
        <v>0</v>
      </c>
      <c r="AI101">
        <f t="shared" si="0"/>
        <v>0</v>
      </c>
      <c r="AJ101">
        <v>1</v>
      </c>
      <c r="AK101">
        <v>0</v>
      </c>
      <c r="AL101">
        <v>0</v>
      </c>
    </row>
    <row r="102" spans="1:38" hidden="1" x14ac:dyDescent="0.2">
      <c r="A102" t="s">
        <v>113</v>
      </c>
      <c r="B102" t="s">
        <v>256</v>
      </c>
      <c r="C102" t="s">
        <v>256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463</v>
      </c>
      <c r="AF102">
        <v>16.279069767441861</v>
      </c>
      <c r="AG102">
        <v>15</v>
      </c>
      <c r="AH102">
        <f>13.679123160539*1</f>
        <v>13.679123160539</v>
      </c>
      <c r="AI102">
        <f>2.73582463210781*1</f>
        <v>2.7358246321078101</v>
      </c>
      <c r="AJ102">
        <v>1</v>
      </c>
      <c r="AK102">
        <v>0</v>
      </c>
      <c r="AL102">
        <v>0</v>
      </c>
    </row>
    <row r="103" spans="1:38" hidden="1" x14ac:dyDescent="0.2">
      <c r="A103" t="s">
        <v>257</v>
      </c>
      <c r="B103" t="s">
        <v>258</v>
      </c>
      <c r="C103" t="s">
        <v>259</v>
      </c>
      <c r="D103" t="s">
        <v>6</v>
      </c>
      <c r="E103">
        <v>0</v>
      </c>
      <c r="F103">
        <v>0</v>
      </c>
      <c r="G103">
        <v>0</v>
      </c>
      <c r="H103">
        <v>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6.9</v>
      </c>
      <c r="AE103">
        <v>464</v>
      </c>
      <c r="AF103">
        <v>18.40425531914893</v>
      </c>
      <c r="AG103">
        <v>19.271261589404151</v>
      </c>
      <c r="AH103">
        <f>13.5907807998819*1</f>
        <v>13.5907807998819</v>
      </c>
      <c r="AI103">
        <f>2.80124683689275*1</f>
        <v>2.8012468368927501</v>
      </c>
      <c r="AJ103">
        <v>1</v>
      </c>
      <c r="AK103">
        <v>0</v>
      </c>
      <c r="AL103">
        <v>0</v>
      </c>
    </row>
    <row r="104" spans="1:38" hidden="1" x14ac:dyDescent="0.2">
      <c r="A104" t="s">
        <v>260</v>
      </c>
      <c r="B104" t="s">
        <v>261</v>
      </c>
      <c r="C104" t="s">
        <v>260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6.4</v>
      </c>
      <c r="AE104">
        <v>465</v>
      </c>
      <c r="AF104">
        <v>19.45652173913043</v>
      </c>
      <c r="AG104">
        <v>16.415812835305459</v>
      </c>
      <c r="AH104">
        <f>17.5741582837973*1</f>
        <v>17.574158283797299</v>
      </c>
      <c r="AI104">
        <f>3.51483414200202*1</f>
        <v>3.5148341420020199</v>
      </c>
      <c r="AJ104">
        <v>1</v>
      </c>
      <c r="AK104">
        <v>0</v>
      </c>
      <c r="AL104">
        <v>0</v>
      </c>
    </row>
    <row r="105" spans="1:38" hidden="1" x14ac:dyDescent="0.2">
      <c r="A105" t="s">
        <v>262</v>
      </c>
      <c r="B105" t="s">
        <v>263</v>
      </c>
      <c r="C105" t="s">
        <v>263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7.6</v>
      </c>
      <c r="AE105">
        <v>473</v>
      </c>
      <c r="AF105">
        <v>23.383866806201251</v>
      </c>
      <c r="AG105">
        <v>17.05188679245283</v>
      </c>
      <c r="AH105">
        <f>23.2909389070191*1</f>
        <v>23.2909389070191</v>
      </c>
      <c r="AI105">
        <f>4.65818778140382*1</f>
        <v>4.6581877814038197</v>
      </c>
      <c r="AJ105">
        <v>1</v>
      </c>
      <c r="AK105">
        <v>0</v>
      </c>
      <c r="AL105">
        <v>0</v>
      </c>
    </row>
    <row r="106" spans="1:38" hidden="1" x14ac:dyDescent="0.2">
      <c r="A106" t="s">
        <v>271</v>
      </c>
      <c r="B106" t="s">
        <v>286</v>
      </c>
      <c r="C106" t="s">
        <v>286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6.2</v>
      </c>
      <c r="AE106">
        <v>546</v>
      </c>
      <c r="AF106">
        <v>16.155632656536479</v>
      </c>
      <c r="AG106">
        <v>12.84246575342466</v>
      </c>
      <c r="AH106">
        <f>15.9598743447532*1</f>
        <v>15.959874344753199</v>
      </c>
      <c r="AI106">
        <f>3.41326299122447*1</f>
        <v>3.4132629912244701</v>
      </c>
      <c r="AJ106">
        <v>1</v>
      </c>
      <c r="AK106">
        <v>1</v>
      </c>
      <c r="AL106">
        <v>1</v>
      </c>
    </row>
    <row r="107" spans="1:38" hidden="1" x14ac:dyDescent="0.2">
      <c r="A107" t="s">
        <v>266</v>
      </c>
      <c r="B107" t="s">
        <v>267</v>
      </c>
      <c r="C107" t="s">
        <v>267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4.7</v>
      </c>
      <c r="AE107">
        <v>505</v>
      </c>
      <c r="AF107">
        <v>12.72727272727272</v>
      </c>
      <c r="AG107">
        <v>11</v>
      </c>
      <c r="AH107">
        <f>5.72903819750996*1</f>
        <v>5.7290381975099596</v>
      </c>
      <c r="AI107">
        <f>1.14580763950199*1</f>
        <v>1.14580763950199</v>
      </c>
      <c r="AJ107">
        <v>1</v>
      </c>
      <c r="AK107">
        <v>0</v>
      </c>
      <c r="AL107">
        <v>0</v>
      </c>
    </row>
    <row r="108" spans="1:38" hidden="1" x14ac:dyDescent="0.2">
      <c r="A108" t="s">
        <v>268</v>
      </c>
      <c r="B108" t="s">
        <v>269</v>
      </c>
      <c r="C108" t="s">
        <v>270</v>
      </c>
      <c r="D108" t="s">
        <v>4</v>
      </c>
      <c r="E108">
        <v>0</v>
      </c>
      <c r="F108">
        <v>1</v>
      </c>
      <c r="G108">
        <v>0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4.5</v>
      </c>
      <c r="AE108">
        <v>508</v>
      </c>
      <c r="AF108">
        <v>14.90140677840189</v>
      </c>
      <c r="AG108">
        <v>15.32608695652174</v>
      </c>
      <c r="AH108">
        <f>17.6256022678469*1</f>
        <v>17.625602267846901</v>
      </c>
      <c r="AI108">
        <f>5.28725994841902*1</f>
        <v>5.2872599484190204</v>
      </c>
      <c r="AJ108">
        <v>1</v>
      </c>
      <c r="AK108">
        <v>0</v>
      </c>
      <c r="AL108">
        <v>0</v>
      </c>
    </row>
    <row r="109" spans="1:38" hidden="1" x14ac:dyDescent="0.2">
      <c r="A109" t="s">
        <v>271</v>
      </c>
      <c r="B109" t="s">
        <v>272</v>
      </c>
      <c r="C109" t="s">
        <v>272</v>
      </c>
      <c r="D109" t="s">
        <v>6</v>
      </c>
      <c r="E109">
        <v>0</v>
      </c>
      <c r="F109">
        <v>0</v>
      </c>
      <c r="G109">
        <v>0</v>
      </c>
      <c r="H109">
        <v>1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6.4</v>
      </c>
      <c r="AE109">
        <v>512</v>
      </c>
      <c r="AF109">
        <v>13.269733387063299</v>
      </c>
      <c r="AG109">
        <v>20.99462671574608</v>
      </c>
      <c r="AH109">
        <f>12.118663108543*0.25</f>
        <v>3.02966577713575</v>
      </c>
      <c r="AI109">
        <f>9.70458441740575*0.25</f>
        <v>2.4261461043514374</v>
      </c>
      <c r="AJ109">
        <v>0.25</v>
      </c>
      <c r="AK109">
        <v>0</v>
      </c>
      <c r="AL109">
        <v>0</v>
      </c>
    </row>
    <row r="110" spans="1:38" hidden="1" x14ac:dyDescent="0.2">
      <c r="A110" t="s">
        <v>273</v>
      </c>
      <c r="B110" t="s">
        <v>274</v>
      </c>
      <c r="C110" t="s">
        <v>274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4.8</v>
      </c>
      <c r="AE110">
        <v>514</v>
      </c>
      <c r="AF110">
        <v>12.95620437956204</v>
      </c>
      <c r="AG110">
        <v>13.40277777777778</v>
      </c>
      <c r="AH110">
        <f>15.6698143934025*1</f>
        <v>15.6698143934025</v>
      </c>
      <c r="AI110">
        <f>3.1339628786805*1</f>
        <v>3.1339628786804998</v>
      </c>
      <c r="AJ110">
        <v>1</v>
      </c>
      <c r="AK110">
        <v>0</v>
      </c>
      <c r="AL110">
        <v>0</v>
      </c>
    </row>
    <row r="111" spans="1:38" hidden="1" x14ac:dyDescent="0.2">
      <c r="A111" t="s">
        <v>275</v>
      </c>
      <c r="B111" t="s">
        <v>195</v>
      </c>
      <c r="C111" t="s">
        <v>195</v>
      </c>
      <c r="D111" t="s">
        <v>3</v>
      </c>
      <c r="E111">
        <v>1</v>
      </c>
      <c r="F111">
        <v>0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4.8</v>
      </c>
      <c r="AE111">
        <v>524</v>
      </c>
      <c r="AF111">
        <v>18.684210526315791</v>
      </c>
      <c r="AG111">
        <v>16.785714285714281</v>
      </c>
      <c r="AH111">
        <f>11.253577902363*1</f>
        <v>11.253577902363</v>
      </c>
      <c r="AI111">
        <f>2.25071558047261*1</f>
        <v>2.25071558047261</v>
      </c>
      <c r="AJ111">
        <v>1</v>
      </c>
      <c r="AK111">
        <v>0</v>
      </c>
      <c r="AL111">
        <v>0</v>
      </c>
    </row>
    <row r="112" spans="1:38" hidden="1" x14ac:dyDescent="0.2">
      <c r="A112" t="s">
        <v>276</v>
      </c>
      <c r="B112" t="s">
        <v>277</v>
      </c>
      <c r="C112" t="s">
        <v>277</v>
      </c>
      <c r="D112" t="s">
        <v>6</v>
      </c>
      <c r="E112">
        <v>0</v>
      </c>
      <c r="F112">
        <v>0</v>
      </c>
      <c r="G112">
        <v>0</v>
      </c>
      <c r="H112">
        <v>1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6.8</v>
      </c>
      <c r="AE112">
        <v>525</v>
      </c>
      <c r="AF112">
        <v>9.9999999999999982</v>
      </c>
      <c r="AG112">
        <v>11.36363636363637</v>
      </c>
      <c r="AH112">
        <f>16.6407545142063*1</f>
        <v>16.6407545142063</v>
      </c>
      <c r="AI112">
        <f>3.32815090284126*1</f>
        <v>3.3281509028412599</v>
      </c>
      <c r="AJ112">
        <v>1</v>
      </c>
      <c r="AK112">
        <v>0</v>
      </c>
      <c r="AL112">
        <v>0</v>
      </c>
    </row>
    <row r="113" spans="1:38" hidden="1" x14ac:dyDescent="0.2">
      <c r="A113" t="s">
        <v>278</v>
      </c>
      <c r="B113" t="s">
        <v>279</v>
      </c>
      <c r="C113" t="s">
        <v>280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6.2</v>
      </c>
      <c r="AE113">
        <v>536</v>
      </c>
      <c r="AF113">
        <v>20.061233592119869</v>
      </c>
      <c r="AG113">
        <v>22.2608105120194</v>
      </c>
      <c r="AH113">
        <f>7.8449654520752*1</f>
        <v>7.8449654520751997</v>
      </c>
      <c r="AI113">
        <f>0.482553585285577*1</f>
        <v>0.48255358528557701</v>
      </c>
      <c r="AJ113">
        <v>1</v>
      </c>
      <c r="AK113">
        <v>0</v>
      </c>
      <c r="AL113">
        <v>0</v>
      </c>
    </row>
    <row r="114" spans="1:38" hidden="1" x14ac:dyDescent="0.2">
      <c r="A114" t="s">
        <v>281</v>
      </c>
      <c r="B114" t="s">
        <v>282</v>
      </c>
      <c r="C114" t="s">
        <v>283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5.8</v>
      </c>
      <c r="AE114">
        <v>540</v>
      </c>
      <c r="AF114">
        <v>16.532258064516121</v>
      </c>
      <c r="AG114">
        <v>15.67708333333333</v>
      </c>
      <c r="AH114">
        <f>11.5241704331864*1</f>
        <v>11.5241704331864</v>
      </c>
      <c r="AI114">
        <f>2.30483408663728*1</f>
        <v>2.3048340866372801</v>
      </c>
      <c r="AJ114">
        <v>1</v>
      </c>
      <c r="AK114">
        <v>0</v>
      </c>
      <c r="AL114">
        <v>0</v>
      </c>
    </row>
    <row r="115" spans="1:38" hidden="1" x14ac:dyDescent="0.2">
      <c r="A115" t="s">
        <v>284</v>
      </c>
      <c r="B115" t="s">
        <v>285</v>
      </c>
      <c r="C115" t="s">
        <v>285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4.4000000000000004</v>
      </c>
      <c r="AE115">
        <v>541</v>
      </c>
      <c r="AF115">
        <v>16.92622565195051</v>
      </c>
      <c r="AG115">
        <v>14.953703703703701</v>
      </c>
      <c r="AH115">
        <f>13.8790655503578*1</f>
        <v>13.879065550357801</v>
      </c>
      <c r="AI115">
        <f>2.77581311007156*1</f>
        <v>2.7758131100715602</v>
      </c>
      <c r="AJ115">
        <v>1</v>
      </c>
      <c r="AK115">
        <v>0</v>
      </c>
      <c r="AL115">
        <v>0</v>
      </c>
    </row>
    <row r="116" spans="1:38" hidden="1" x14ac:dyDescent="0.2">
      <c r="A116" t="s">
        <v>192</v>
      </c>
      <c r="B116" t="s">
        <v>193</v>
      </c>
      <c r="C116" t="s">
        <v>193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4.5999999999999996</v>
      </c>
      <c r="AE116">
        <v>328</v>
      </c>
      <c r="AF116">
        <v>14.53002989379033</v>
      </c>
      <c r="AG116">
        <v>13.52272727272727</v>
      </c>
      <c r="AH116">
        <f>16.7427829344457*1</f>
        <v>16.7427829344457</v>
      </c>
      <c r="AI116">
        <f>3.39036327451744*1</f>
        <v>3.3903632745174401</v>
      </c>
      <c r="AJ116">
        <v>1</v>
      </c>
      <c r="AK116">
        <v>1</v>
      </c>
      <c r="AL116">
        <v>1</v>
      </c>
    </row>
    <row r="117" spans="1:38" hidden="1" x14ac:dyDescent="0.2">
      <c r="A117" t="s">
        <v>287</v>
      </c>
      <c r="B117" t="s">
        <v>288</v>
      </c>
      <c r="C117" t="s">
        <v>288</v>
      </c>
      <c r="D117" t="s">
        <v>6</v>
      </c>
      <c r="E117">
        <v>0</v>
      </c>
      <c r="F117">
        <v>0</v>
      </c>
      <c r="G117">
        <v>0</v>
      </c>
      <c r="H117">
        <v>1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7.6</v>
      </c>
      <c r="AE117">
        <v>549</v>
      </c>
      <c r="AF117">
        <v>23.382352941176471</v>
      </c>
      <c r="AG117">
        <v>18.94230769230769</v>
      </c>
      <c r="AH117">
        <f>22.4255015420494*1</f>
        <v>22.4255015420494</v>
      </c>
      <c r="AI117">
        <f>4.48510030840988*1</f>
        <v>4.4851003084098799</v>
      </c>
      <c r="AJ117">
        <v>1</v>
      </c>
      <c r="AK117">
        <v>0</v>
      </c>
      <c r="AL117">
        <v>0</v>
      </c>
    </row>
    <row r="118" spans="1:38" hidden="1" x14ac:dyDescent="0.2">
      <c r="A118" t="s">
        <v>289</v>
      </c>
      <c r="B118" t="s">
        <v>290</v>
      </c>
      <c r="C118" t="s">
        <v>291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5.8</v>
      </c>
      <c r="AE118">
        <v>550</v>
      </c>
      <c r="AF118">
        <v>15.630940854831991</v>
      </c>
      <c r="AG118">
        <v>13.3974358974359</v>
      </c>
      <c r="AH118">
        <f>13.5981442057026*1</f>
        <v>13.598144205702599</v>
      </c>
      <c r="AI118">
        <f>2.71962884114052*1</f>
        <v>2.7196288411405201</v>
      </c>
      <c r="AJ118">
        <v>1</v>
      </c>
      <c r="AK118">
        <v>0</v>
      </c>
      <c r="AL118">
        <v>0</v>
      </c>
    </row>
    <row r="119" spans="1:38" hidden="1" x14ac:dyDescent="0.2">
      <c r="A119" t="s">
        <v>292</v>
      </c>
      <c r="B119" t="s">
        <v>293</v>
      </c>
      <c r="C119" t="s">
        <v>293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4.9000000000000004</v>
      </c>
      <c r="AE119">
        <v>555</v>
      </c>
      <c r="AF119">
        <v>11.72000000000001</v>
      </c>
      <c r="AG119">
        <v>13.005050505050511</v>
      </c>
      <c r="AH119">
        <f>4.58305562424814*1</f>
        <v>4.5830556242481402</v>
      </c>
      <c r="AI119">
        <f>0.916611124849628*1</f>
        <v>0.91661112484962803</v>
      </c>
      <c r="AJ119">
        <v>1</v>
      </c>
      <c r="AK119">
        <v>0</v>
      </c>
      <c r="AL119">
        <v>0</v>
      </c>
    </row>
    <row r="120" spans="1:38" hidden="1" x14ac:dyDescent="0.2">
      <c r="A120" t="s">
        <v>294</v>
      </c>
      <c r="B120" t="s">
        <v>295</v>
      </c>
      <c r="C120" t="s">
        <v>295</v>
      </c>
      <c r="D120" t="s">
        <v>3</v>
      </c>
      <c r="E120">
        <v>1</v>
      </c>
      <c r="F120">
        <v>0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5.4</v>
      </c>
      <c r="AE120">
        <v>558</v>
      </c>
      <c r="AF120">
        <v>20.684931506849331</v>
      </c>
      <c r="AG120">
        <v>17.952586206896552</v>
      </c>
      <c r="AH120">
        <f>17.5713573397461*1</f>
        <v>17.5713573397461</v>
      </c>
      <c r="AI120">
        <f>3.51427146794923*1</f>
        <v>3.51427146794923</v>
      </c>
      <c r="AJ120">
        <v>1</v>
      </c>
      <c r="AK120">
        <v>0</v>
      </c>
      <c r="AL120">
        <v>0</v>
      </c>
    </row>
    <row r="121" spans="1:38" hidden="1" x14ac:dyDescent="0.2">
      <c r="A121" t="s">
        <v>296</v>
      </c>
      <c r="B121" t="s">
        <v>297</v>
      </c>
      <c r="C121" t="s">
        <v>297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6.8</v>
      </c>
      <c r="AE121">
        <v>564</v>
      </c>
      <c r="AF121">
        <v>23.021819230161942</v>
      </c>
      <c r="AG121">
        <v>19.080882352941181</v>
      </c>
      <c r="AH121">
        <f>21.2630499274537*1</f>
        <v>21.2630499274537</v>
      </c>
      <c r="AI121">
        <f>2.02626583614685*1</f>
        <v>2.02626583614685</v>
      </c>
      <c r="AJ121">
        <v>1</v>
      </c>
      <c r="AK121">
        <v>0</v>
      </c>
      <c r="AL121">
        <v>0</v>
      </c>
    </row>
    <row r="122" spans="1:38" hidden="1" x14ac:dyDescent="0.2">
      <c r="A122" t="s">
        <v>298</v>
      </c>
      <c r="B122" t="s">
        <v>214</v>
      </c>
      <c r="C122" t="s">
        <v>214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7.9</v>
      </c>
      <c r="AE122">
        <v>567</v>
      </c>
      <c r="AF122">
        <v>22.682119205298019</v>
      </c>
      <c r="AG122">
        <v>18.75</v>
      </c>
      <c r="AH122">
        <f>21.0428559596195*1</f>
        <v>21.042855959619502</v>
      </c>
      <c r="AI122">
        <f>4.2085711919239*1</f>
        <v>4.2085711919238999</v>
      </c>
      <c r="AJ122">
        <v>1</v>
      </c>
      <c r="AK122">
        <v>0</v>
      </c>
      <c r="AL122">
        <v>0</v>
      </c>
    </row>
    <row r="123" spans="1:38" hidden="1" x14ac:dyDescent="0.2">
      <c r="A123" t="s">
        <v>299</v>
      </c>
      <c r="B123" t="s">
        <v>300</v>
      </c>
      <c r="C123" t="s">
        <v>300</v>
      </c>
      <c r="D123" t="s">
        <v>3</v>
      </c>
      <c r="E123">
        <v>1</v>
      </c>
      <c r="F123">
        <v>0</v>
      </c>
      <c r="G123">
        <v>0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3.9</v>
      </c>
      <c r="AE123">
        <v>578</v>
      </c>
      <c r="AF123">
        <v>13.21428571428571</v>
      </c>
      <c r="AG123">
        <v>14</v>
      </c>
      <c r="AH123">
        <f>20.7231286871919*1</f>
        <v>20.723128687191899</v>
      </c>
      <c r="AI123">
        <f>4.14462573743839*1</f>
        <v>4.1446257374383899</v>
      </c>
      <c r="AJ123">
        <v>1</v>
      </c>
      <c r="AK123">
        <v>0</v>
      </c>
      <c r="AL123">
        <v>0</v>
      </c>
    </row>
    <row r="124" spans="1:38" hidden="1" x14ac:dyDescent="0.2">
      <c r="A124" t="s">
        <v>271</v>
      </c>
      <c r="B124" t="s">
        <v>301</v>
      </c>
      <c r="C124" t="s">
        <v>301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581</v>
      </c>
      <c r="AF124">
        <v>17.202184138889901</v>
      </c>
      <c r="AG124">
        <v>12.61904761904762</v>
      </c>
      <c r="AH124">
        <f>24.1684978820861*1</f>
        <v>24.168497882086101</v>
      </c>
      <c r="AI124">
        <f>4.64115345386007*1</f>
        <v>4.6411534538600696</v>
      </c>
      <c r="AJ124">
        <v>1</v>
      </c>
      <c r="AK124">
        <v>0</v>
      </c>
      <c r="AL124">
        <v>0</v>
      </c>
    </row>
    <row r="125" spans="1:38" hidden="1" x14ac:dyDescent="0.2">
      <c r="A125" t="s">
        <v>302</v>
      </c>
      <c r="B125" t="s">
        <v>303</v>
      </c>
      <c r="C125" t="s">
        <v>303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5.7</v>
      </c>
      <c r="AE125">
        <v>595</v>
      </c>
      <c r="AF125">
        <v>16.844420450668419</v>
      </c>
      <c r="AG125">
        <v>13.79746835443038</v>
      </c>
      <c r="AH125">
        <f>24.387728160085*1</f>
        <v>24.387728160085</v>
      </c>
      <c r="AI125">
        <f>4.877545632017*1</f>
        <v>4.8775456320170001</v>
      </c>
      <c r="AJ125">
        <v>1</v>
      </c>
      <c r="AK125">
        <v>0</v>
      </c>
      <c r="AL125">
        <v>0</v>
      </c>
    </row>
    <row r="126" spans="1:38" hidden="1" x14ac:dyDescent="0.2">
      <c r="A126" t="s">
        <v>213</v>
      </c>
      <c r="B126" t="s">
        <v>304</v>
      </c>
      <c r="C126" t="s">
        <v>304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4.4000000000000004</v>
      </c>
      <c r="AE126">
        <v>612</v>
      </c>
      <c r="AF126">
        <v>10.666666666666661</v>
      </c>
      <c r="AG126">
        <v>12.71739130434783</v>
      </c>
      <c r="AH126">
        <f>17.4375228533452*1</f>
        <v>17.4375228533452</v>
      </c>
      <c r="AI126">
        <f>3.48750457066904*1</f>
        <v>3.48750457066904</v>
      </c>
      <c r="AJ126">
        <v>1</v>
      </c>
      <c r="AK126">
        <v>0</v>
      </c>
      <c r="AL126">
        <v>0</v>
      </c>
    </row>
    <row r="127" spans="1:38" hidden="1" x14ac:dyDescent="0.2">
      <c r="A127" t="s">
        <v>305</v>
      </c>
      <c r="B127" t="s">
        <v>306</v>
      </c>
      <c r="C127" t="s">
        <v>306</v>
      </c>
      <c r="D127" t="s">
        <v>6</v>
      </c>
      <c r="E127">
        <v>0</v>
      </c>
      <c r="F127">
        <v>0</v>
      </c>
      <c r="G127">
        <v>0</v>
      </c>
      <c r="H127">
        <v>1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4.9000000000000004</v>
      </c>
      <c r="AE127">
        <v>615</v>
      </c>
      <c r="AF127">
        <v>21.330869768675448</v>
      </c>
      <c r="AG127">
        <v>16.340579710144929</v>
      </c>
      <c r="AH127">
        <f>30.3162792866728*1</f>
        <v>30.316279286672799</v>
      </c>
      <c r="AI127">
        <f>8.3847697526711*1</f>
        <v>8.3847697526710991</v>
      </c>
      <c r="AJ127">
        <v>1</v>
      </c>
      <c r="AK127">
        <v>0</v>
      </c>
      <c r="AL127">
        <v>0</v>
      </c>
    </row>
    <row r="128" spans="1:38" hidden="1" x14ac:dyDescent="0.2">
      <c r="A128" t="s">
        <v>307</v>
      </c>
      <c r="B128" t="s">
        <v>308</v>
      </c>
      <c r="C128" t="s">
        <v>308</v>
      </c>
      <c r="D128" t="s">
        <v>6</v>
      </c>
      <c r="E128">
        <v>0</v>
      </c>
      <c r="F128">
        <v>0</v>
      </c>
      <c r="G128">
        <v>0</v>
      </c>
      <c r="H128">
        <v>1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4.5999999999999996</v>
      </c>
      <c r="AE128">
        <v>629</v>
      </c>
      <c r="AF128">
        <v>12.307692307692299</v>
      </c>
      <c r="AG128">
        <v>12.125</v>
      </c>
      <c r="AH128">
        <f>20.5257478632748*1</f>
        <v>20.525747863274798</v>
      </c>
      <c r="AI128">
        <f>4.10514957265496*1</f>
        <v>4.1051495726549598</v>
      </c>
      <c r="AJ128">
        <v>1</v>
      </c>
      <c r="AK128">
        <v>0</v>
      </c>
      <c r="AL128">
        <v>0</v>
      </c>
    </row>
    <row r="129" spans="1:38" hidden="1" x14ac:dyDescent="0.2">
      <c r="A129" t="s">
        <v>144</v>
      </c>
      <c r="B129" t="s">
        <v>309</v>
      </c>
      <c r="C129" t="s">
        <v>309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4.4000000000000004</v>
      </c>
      <c r="AE129">
        <v>630</v>
      </c>
      <c r="AF129">
        <v>12.36722329094453</v>
      </c>
      <c r="AG129">
        <v>11.92307692307692</v>
      </c>
      <c r="AH129">
        <f>20.4484198721676*1</f>
        <v>20.448419872167602</v>
      </c>
      <c r="AI129">
        <f>4.10589679732712*1</f>
        <v>4.1058967973271203</v>
      </c>
      <c r="AJ129">
        <v>1</v>
      </c>
      <c r="AK129">
        <v>0</v>
      </c>
      <c r="AL129">
        <v>0</v>
      </c>
    </row>
    <row r="130" spans="1:38" hidden="1" x14ac:dyDescent="0.2">
      <c r="A130" t="s">
        <v>310</v>
      </c>
      <c r="B130" t="s">
        <v>311</v>
      </c>
      <c r="C130" t="s">
        <v>311</v>
      </c>
      <c r="D130" t="s">
        <v>3</v>
      </c>
      <c r="E130">
        <v>1</v>
      </c>
      <c r="F130">
        <v>0</v>
      </c>
      <c r="G130">
        <v>0</v>
      </c>
      <c r="H130">
        <v>0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4.5</v>
      </c>
      <c r="AE130">
        <v>641</v>
      </c>
      <c r="AF130">
        <v>12.631578947368419</v>
      </c>
      <c r="AG130">
        <v>12.5</v>
      </c>
      <c r="AH130">
        <f>21.1038011696184*1</f>
        <v>21.1038011696184</v>
      </c>
      <c r="AI130">
        <f>4.22076023392368*1</f>
        <v>4.2207602339236798</v>
      </c>
      <c r="AJ130">
        <v>1</v>
      </c>
      <c r="AK130">
        <v>0</v>
      </c>
      <c r="AL130">
        <v>0</v>
      </c>
    </row>
    <row r="131" spans="1:38" hidden="1" x14ac:dyDescent="0.2">
      <c r="A131" t="s">
        <v>312</v>
      </c>
      <c r="B131" t="s">
        <v>313</v>
      </c>
      <c r="C131" t="s">
        <v>313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5</v>
      </c>
      <c r="AE131">
        <v>659</v>
      </c>
      <c r="AF131">
        <v>14.166666666666661</v>
      </c>
      <c r="AG131">
        <v>14.42307692307692</v>
      </c>
      <c r="AH131">
        <f>23.9423076923397*1</f>
        <v>23.9423076923397</v>
      </c>
      <c r="AI131">
        <f>4.78846153846794*1</f>
        <v>4.7884615384679403</v>
      </c>
      <c r="AJ131">
        <v>1</v>
      </c>
      <c r="AK131">
        <v>0</v>
      </c>
      <c r="AL131">
        <v>0</v>
      </c>
    </row>
    <row r="132" spans="1:38" hidden="1" x14ac:dyDescent="0.2">
      <c r="A132" t="s">
        <v>314</v>
      </c>
      <c r="B132" t="s">
        <v>315</v>
      </c>
      <c r="C132" t="s">
        <v>315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5.8</v>
      </c>
      <c r="AE132">
        <v>665</v>
      </c>
      <c r="AF132">
        <v>15.283018867924531</v>
      </c>
      <c r="AG132">
        <v>14.695121951219511</v>
      </c>
      <c r="AH132">
        <f>17.6050691032568*1</f>
        <v>17.605069103256799</v>
      </c>
      <c r="AI132">
        <f>3.52101382065136*1</f>
        <v>3.5210138206513601</v>
      </c>
      <c r="AJ132">
        <v>1</v>
      </c>
      <c r="AK132">
        <v>0</v>
      </c>
      <c r="AL132">
        <v>0</v>
      </c>
    </row>
    <row r="133" spans="1:38" hidden="1" x14ac:dyDescent="0.2">
      <c r="A133" t="s">
        <v>160</v>
      </c>
      <c r="B133" t="s">
        <v>161</v>
      </c>
      <c r="C133" t="s">
        <v>161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7.1</v>
      </c>
      <c r="AE133">
        <v>259</v>
      </c>
      <c r="AF133">
        <v>21.832984496580359</v>
      </c>
      <c r="AG133">
        <v>30.10293898126206</v>
      </c>
      <c r="AH133">
        <f>16.4631861113961*1</f>
        <v>16.463186111396102</v>
      </c>
      <c r="AI133">
        <f>3.29242793051001*1</f>
        <v>3.2924279305100099</v>
      </c>
      <c r="AJ133">
        <v>1</v>
      </c>
      <c r="AK133">
        <v>1</v>
      </c>
      <c r="AL133">
        <v>1</v>
      </c>
    </row>
    <row r="134" spans="1:38" hidden="1" x14ac:dyDescent="0.2">
      <c r="A134" t="s">
        <v>144</v>
      </c>
      <c r="B134" t="s">
        <v>318</v>
      </c>
      <c r="C134" t="s">
        <v>318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7.8</v>
      </c>
      <c r="AE134">
        <v>679</v>
      </c>
      <c r="AF134">
        <v>21.619389819648969</v>
      </c>
      <c r="AG134">
        <v>21.040328720026171</v>
      </c>
      <c r="AH134">
        <f>25.2239833921396*1</f>
        <v>25.223983392139601</v>
      </c>
      <c r="AI134">
        <f>5.07804852316553*1</f>
        <v>5.0780485231655303</v>
      </c>
      <c r="AJ134">
        <v>1</v>
      </c>
      <c r="AK134">
        <v>0</v>
      </c>
      <c r="AL134">
        <v>0</v>
      </c>
    </row>
    <row r="135" spans="1:38" hidden="1" x14ac:dyDescent="0.2">
      <c r="A135" t="s">
        <v>319</v>
      </c>
      <c r="B135" t="s">
        <v>320</v>
      </c>
      <c r="C135" t="s">
        <v>321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5.6</v>
      </c>
      <c r="AE135">
        <v>681</v>
      </c>
      <c r="AF135">
        <v>20.30303030303029</v>
      </c>
      <c r="AG135">
        <v>16.72919292386581</v>
      </c>
      <c r="AH135">
        <f>19.8515075594384*1</f>
        <v>19.851507559438399</v>
      </c>
      <c r="AI135">
        <f>3.9200506594328*1</f>
        <v>3.9200506594328002</v>
      </c>
      <c r="AJ135">
        <v>1</v>
      </c>
      <c r="AK135">
        <v>0</v>
      </c>
      <c r="AL135">
        <v>0</v>
      </c>
    </row>
    <row r="136" spans="1:38" hidden="1" x14ac:dyDescent="0.2">
      <c r="A136" t="s">
        <v>322</v>
      </c>
      <c r="B136" t="s">
        <v>323</v>
      </c>
      <c r="C136" t="s">
        <v>322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6.8</v>
      </c>
      <c r="AE136">
        <v>683</v>
      </c>
      <c r="AF136">
        <v>16.54564127885698</v>
      </c>
      <c r="AG136">
        <v>17.611940298507459</v>
      </c>
      <c r="AH136">
        <f>21.2155781183645*1</f>
        <v>21.215578118364501</v>
      </c>
      <c r="AI136">
        <f>4.28602061666773*1</f>
        <v>4.2860206166677299</v>
      </c>
      <c r="AJ136">
        <v>1</v>
      </c>
      <c r="AK136">
        <v>0</v>
      </c>
      <c r="AL136">
        <v>0</v>
      </c>
    </row>
    <row r="137" spans="1:38" hidden="1" x14ac:dyDescent="0.2">
      <c r="A137" t="s">
        <v>324</v>
      </c>
      <c r="B137" t="s">
        <v>325</v>
      </c>
      <c r="C137" t="s">
        <v>325</v>
      </c>
      <c r="D137" t="s">
        <v>4</v>
      </c>
      <c r="E137">
        <v>0</v>
      </c>
      <c r="F137">
        <v>1</v>
      </c>
      <c r="G137">
        <v>0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</v>
      </c>
      <c r="AE137">
        <v>685</v>
      </c>
      <c r="AF137">
        <v>15.57377049180328</v>
      </c>
      <c r="AG137">
        <v>14.0625</v>
      </c>
      <c r="AH137">
        <f>16.7849793621421*1</f>
        <v>16.784979362142099</v>
      </c>
      <c r="AI137">
        <f>3.35699587242843*1</f>
        <v>3.3569958724284299</v>
      </c>
      <c r="AJ137">
        <v>1</v>
      </c>
      <c r="AK137">
        <v>0</v>
      </c>
      <c r="AL137">
        <v>0</v>
      </c>
    </row>
    <row r="138" spans="1:38" hidden="1" x14ac:dyDescent="0.2">
      <c r="A138" t="s">
        <v>326</v>
      </c>
      <c r="B138" t="s">
        <v>327</v>
      </c>
      <c r="C138" t="s">
        <v>327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4.5</v>
      </c>
      <c r="AE138">
        <v>687</v>
      </c>
      <c r="AF138">
        <v>10.892857142857141</v>
      </c>
      <c r="AG138">
        <v>11.90476190476191</v>
      </c>
      <c r="AH138">
        <f>14.3597220385291*1</f>
        <v>14.3597220385291</v>
      </c>
      <c r="AI138">
        <f>2.87194440770583*1</f>
        <v>2.87194440770583</v>
      </c>
      <c r="AJ138">
        <v>1</v>
      </c>
      <c r="AK138">
        <v>0</v>
      </c>
      <c r="AL138">
        <v>0</v>
      </c>
    </row>
    <row r="139" spans="1:38" hidden="1" x14ac:dyDescent="0.2">
      <c r="A139" t="s">
        <v>328</v>
      </c>
      <c r="B139" t="s">
        <v>329</v>
      </c>
      <c r="C139" t="s">
        <v>328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9.9</v>
      </c>
      <c r="AE139">
        <v>690</v>
      </c>
      <c r="AF139">
        <v>25.648148148148142</v>
      </c>
      <c r="AG139">
        <v>18.86904761904762</v>
      </c>
      <c r="AH139">
        <f>22.2105759258115*1</f>
        <v>22.210575925811501</v>
      </c>
      <c r="AI139">
        <f>4.4421151851623*1</f>
        <v>4.4421151851623</v>
      </c>
      <c r="AJ139">
        <v>1</v>
      </c>
      <c r="AK139">
        <v>0</v>
      </c>
      <c r="AL139">
        <v>0</v>
      </c>
    </row>
    <row r="140" spans="1:38" hidden="1" x14ac:dyDescent="0.2">
      <c r="A140" t="s">
        <v>330</v>
      </c>
      <c r="B140" t="s">
        <v>331</v>
      </c>
      <c r="C140" t="s">
        <v>331</v>
      </c>
      <c r="D140" t="s">
        <v>4</v>
      </c>
      <c r="E140">
        <v>0</v>
      </c>
      <c r="F140">
        <v>1</v>
      </c>
      <c r="G140">
        <v>0</v>
      </c>
      <c r="H140">
        <v>0</v>
      </c>
      <c r="I140" t="s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4.8</v>
      </c>
      <c r="AE140">
        <v>693</v>
      </c>
      <c r="AF140">
        <v>14.0625</v>
      </c>
      <c r="AG140">
        <v>13.33333333333333</v>
      </c>
      <c r="AH140">
        <f>15.9607840674584*1</f>
        <v>15.9607840674584</v>
      </c>
      <c r="AI140">
        <f>3.19215681349169*1</f>
        <v>3.1921568134916898</v>
      </c>
      <c r="AJ140">
        <v>1</v>
      </c>
      <c r="AK140">
        <v>0</v>
      </c>
      <c r="AL140">
        <v>0</v>
      </c>
    </row>
    <row r="141" spans="1:38" hidden="1" x14ac:dyDescent="0.2">
      <c r="A141" t="s">
        <v>162</v>
      </c>
      <c r="B141" t="s">
        <v>163</v>
      </c>
      <c r="C141" t="s">
        <v>164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260</v>
      </c>
      <c r="AF141">
        <v>16.64383561643837</v>
      </c>
      <c r="AG141">
        <v>16.124189392455339</v>
      </c>
      <c r="AH141">
        <f>14.9803176945175*1</f>
        <v>14.980317694517501</v>
      </c>
      <c r="AI141">
        <f>3.0014599978472*1</f>
        <v>3.0014599978472001</v>
      </c>
      <c r="AJ141">
        <v>1</v>
      </c>
      <c r="AK141">
        <v>1</v>
      </c>
      <c r="AL141">
        <v>1</v>
      </c>
    </row>
    <row r="142" spans="1:38" hidden="1" x14ac:dyDescent="0.2">
      <c r="A142" t="s">
        <v>334</v>
      </c>
      <c r="B142" t="s">
        <v>335</v>
      </c>
      <c r="C142" t="s">
        <v>335</v>
      </c>
      <c r="D142" t="s">
        <v>3</v>
      </c>
      <c r="E142">
        <v>1</v>
      </c>
      <c r="F142">
        <v>0</v>
      </c>
      <c r="G142">
        <v>0</v>
      </c>
      <c r="H142">
        <v>0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4.2</v>
      </c>
      <c r="AE142">
        <v>706</v>
      </c>
      <c r="AF142">
        <v>19.919243785173709</v>
      </c>
      <c r="AG142">
        <v>15.755813953488371</v>
      </c>
      <c r="AH142">
        <f>18.3812869585143*1</f>
        <v>18.381286958514298</v>
      </c>
      <c r="AI142">
        <f>3.69997600604938*1</f>
        <v>3.69997600604938</v>
      </c>
      <c r="AJ142">
        <v>1</v>
      </c>
      <c r="AK142">
        <v>0</v>
      </c>
      <c r="AL142">
        <v>0</v>
      </c>
    </row>
    <row r="143" spans="1:38" hidden="1" x14ac:dyDescent="0.2">
      <c r="A143" t="s">
        <v>264</v>
      </c>
      <c r="B143" t="s">
        <v>265</v>
      </c>
      <c r="C143" t="s">
        <v>265</v>
      </c>
      <c r="D143" t="s">
        <v>6</v>
      </c>
      <c r="E143">
        <v>0</v>
      </c>
      <c r="F143">
        <v>0</v>
      </c>
      <c r="G143">
        <v>0</v>
      </c>
      <c r="H143">
        <v>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13.9</v>
      </c>
      <c r="AE143">
        <v>475</v>
      </c>
      <c r="AF143">
        <v>40.108695652173907</v>
      </c>
      <c r="AG143">
        <v>36.53752854087481</v>
      </c>
      <c r="AH143">
        <f>27.2344052155638*0.8</f>
        <v>21.787524172451043</v>
      </c>
      <c r="AI143">
        <v>0</v>
      </c>
      <c r="AJ143">
        <v>0.8</v>
      </c>
      <c r="AK143">
        <v>1</v>
      </c>
      <c r="AL143">
        <v>1</v>
      </c>
    </row>
    <row r="144" spans="1:38" hidden="1" x14ac:dyDescent="0.2">
      <c r="A144" t="s">
        <v>338</v>
      </c>
      <c r="B144" t="s">
        <v>339</v>
      </c>
      <c r="C144" t="s">
        <v>339</v>
      </c>
      <c r="D144" t="s">
        <v>4</v>
      </c>
      <c r="E144">
        <v>0</v>
      </c>
      <c r="F144">
        <v>1</v>
      </c>
      <c r="G144">
        <v>0</v>
      </c>
      <c r="H144">
        <v>0</v>
      </c>
      <c r="I144" t="s">
        <v>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4.5999999999999996</v>
      </c>
      <c r="AE144">
        <v>710</v>
      </c>
      <c r="AF144">
        <v>17.184763322683949</v>
      </c>
      <c r="AG144">
        <v>14.986140200881501</v>
      </c>
      <c r="AH144">
        <f>17.3952036356964*1</f>
        <v>17.395203635696401</v>
      </c>
      <c r="AI144">
        <f>3.80691268789343*1</f>
        <v>3.8069126878934298</v>
      </c>
      <c r="AJ144">
        <v>1</v>
      </c>
      <c r="AK144">
        <v>0</v>
      </c>
      <c r="AL144">
        <v>0</v>
      </c>
    </row>
    <row r="145" spans="1:38" hidden="1" x14ac:dyDescent="0.2">
      <c r="A145" t="s">
        <v>340</v>
      </c>
      <c r="B145" t="s">
        <v>341</v>
      </c>
      <c r="C145" t="s">
        <v>340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4.5</v>
      </c>
      <c r="AE145">
        <v>714</v>
      </c>
      <c r="AF145">
        <v>11.2475594899178</v>
      </c>
      <c r="AG145">
        <v>11.73076923076923</v>
      </c>
      <c r="AH145">
        <f>13.5062062339177*1</f>
        <v>13.5062062339177</v>
      </c>
      <c r="AI145">
        <f>2.73784393323279*1</f>
        <v>2.73784393323279</v>
      </c>
      <c r="AJ145">
        <v>1</v>
      </c>
      <c r="AK145">
        <v>0</v>
      </c>
      <c r="AL145">
        <v>0</v>
      </c>
    </row>
    <row r="146" spans="1:38" hidden="1" x14ac:dyDescent="0.2">
      <c r="A146" t="s">
        <v>69</v>
      </c>
      <c r="B146" t="s">
        <v>342</v>
      </c>
      <c r="C146" t="s">
        <v>343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6</v>
      </c>
      <c r="AE146">
        <v>721</v>
      </c>
      <c r="AF146">
        <v>17.72727272727273</v>
      </c>
      <c r="AG146">
        <v>15.73529411764706</v>
      </c>
      <c r="AH146">
        <f>18.2489434093851*1</f>
        <v>18.248943409385099</v>
      </c>
      <c r="AI146">
        <f>3.64978868187703*1</f>
        <v>3.64978868187703</v>
      </c>
      <c r="AJ146">
        <v>1</v>
      </c>
      <c r="AK146">
        <v>0</v>
      </c>
      <c r="AL146">
        <v>0</v>
      </c>
    </row>
    <row r="147" spans="1:38" hidden="1" x14ac:dyDescent="0.2">
      <c r="A147" t="s">
        <v>344</v>
      </c>
      <c r="B147" t="s">
        <v>345</v>
      </c>
      <c r="C147" t="s">
        <v>345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4.9000000000000004</v>
      </c>
      <c r="AE147">
        <v>723</v>
      </c>
      <c r="AF147">
        <v>24.837993738099112</v>
      </c>
      <c r="AG147">
        <v>16.92307692307692</v>
      </c>
      <c r="AH147">
        <f>19.9153726927745*1</f>
        <v>19.915372692774501</v>
      </c>
      <c r="AI147">
        <f>4.14113498253756*1</f>
        <v>4.1411349825375598</v>
      </c>
      <c r="AJ147">
        <v>1</v>
      </c>
      <c r="AK147">
        <v>0</v>
      </c>
      <c r="AL147">
        <v>0</v>
      </c>
    </row>
    <row r="148" spans="1:38" hidden="1" x14ac:dyDescent="0.2">
      <c r="A148" t="s">
        <v>346</v>
      </c>
      <c r="B148" t="s">
        <v>347</v>
      </c>
      <c r="C148" t="s">
        <v>347</v>
      </c>
      <c r="D148" t="s">
        <v>4</v>
      </c>
      <c r="E148">
        <v>0</v>
      </c>
      <c r="F148">
        <v>1</v>
      </c>
      <c r="G148">
        <v>0</v>
      </c>
      <c r="H148">
        <v>0</v>
      </c>
      <c r="I148" t="s">
        <v>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4.5</v>
      </c>
      <c r="AE148">
        <v>725</v>
      </c>
      <c r="AF148">
        <v>16.348757186596039</v>
      </c>
      <c r="AG148">
        <v>15.47413793103448</v>
      </c>
      <c r="AH148">
        <f>17.8918021116861*1</f>
        <v>17.891802111686101</v>
      </c>
      <c r="AI148">
        <f>3.55402546609745*1</f>
        <v>3.5540254660974502</v>
      </c>
      <c r="AJ148">
        <v>1</v>
      </c>
      <c r="AK148">
        <v>0</v>
      </c>
      <c r="AL148">
        <v>0</v>
      </c>
    </row>
    <row r="149" spans="1:38" hidden="1" x14ac:dyDescent="0.2">
      <c r="A149" t="s">
        <v>144</v>
      </c>
      <c r="B149" t="s">
        <v>348</v>
      </c>
      <c r="C149" t="s">
        <v>348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6</v>
      </c>
      <c r="AE149">
        <v>729</v>
      </c>
      <c r="AF149">
        <v>19.638226611918441</v>
      </c>
      <c r="AG149">
        <v>18.946781386862089</v>
      </c>
      <c r="AH149">
        <f>21.8880173248074*1</f>
        <v>21.8880173248074</v>
      </c>
      <c r="AI149">
        <f>4.38976782239206*1</f>
        <v>4.3897678223920602</v>
      </c>
      <c r="AJ149">
        <v>1</v>
      </c>
      <c r="AK149">
        <v>0</v>
      </c>
      <c r="AL149">
        <v>0</v>
      </c>
    </row>
    <row r="150" spans="1:38" hidden="1" x14ac:dyDescent="0.2">
      <c r="A150" t="s">
        <v>349</v>
      </c>
      <c r="B150" t="s">
        <v>350</v>
      </c>
      <c r="C150" t="s">
        <v>350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6.8</v>
      </c>
      <c r="AE150">
        <v>731</v>
      </c>
      <c r="AF150">
        <v>33.351374438217462</v>
      </c>
      <c r="AG150">
        <v>16.666666666666671</v>
      </c>
      <c r="AH150">
        <f>20.0585328040733*1</f>
        <v>20.058532804073302</v>
      </c>
      <c r="AI150">
        <f>4.15306258350117*1</f>
        <v>4.1530625835011703</v>
      </c>
      <c r="AJ150">
        <v>1</v>
      </c>
      <c r="AK150">
        <v>0</v>
      </c>
      <c r="AL150">
        <v>0</v>
      </c>
    </row>
    <row r="151" spans="1:38" hidden="1" x14ac:dyDescent="0.2">
      <c r="A151" t="s">
        <v>351</v>
      </c>
      <c r="B151" t="s">
        <v>352</v>
      </c>
      <c r="C151" t="s">
        <v>353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5.7</v>
      </c>
      <c r="AE151">
        <v>744</v>
      </c>
      <c r="AF151">
        <v>23.144180416698941</v>
      </c>
      <c r="AG151">
        <v>14.65277777777778</v>
      </c>
      <c r="AH151">
        <f>26.9384100908582*1</f>
        <v>26.938410090858198</v>
      </c>
      <c r="AI151">
        <f>4.22933678586677*1</f>
        <v>4.2293367858667699</v>
      </c>
      <c r="AJ151">
        <v>1</v>
      </c>
      <c r="AK151">
        <v>0</v>
      </c>
      <c r="AL151">
        <v>0</v>
      </c>
    </row>
    <row r="152" spans="1:38" hidden="1" x14ac:dyDescent="0.2">
      <c r="A152" t="s">
        <v>354</v>
      </c>
      <c r="B152" t="s">
        <v>355</v>
      </c>
      <c r="C152" t="s">
        <v>355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4.9000000000000004</v>
      </c>
      <c r="AE152">
        <v>751</v>
      </c>
      <c r="AF152">
        <v>11.219512195121951</v>
      </c>
      <c r="AG152">
        <v>12.578125</v>
      </c>
      <c r="AH152">
        <f>18.8084036715597*1</f>
        <v>18.808403671559699</v>
      </c>
      <c r="AI152">
        <f>3.76168073431194*1</f>
        <v>3.7616807343119398</v>
      </c>
      <c r="AJ152">
        <v>1</v>
      </c>
      <c r="AK152">
        <v>0</v>
      </c>
      <c r="AL152">
        <v>0</v>
      </c>
    </row>
    <row r="153" spans="1:38" hidden="1" x14ac:dyDescent="0.2">
      <c r="A153" t="s">
        <v>356</v>
      </c>
      <c r="B153" t="s">
        <v>357</v>
      </c>
      <c r="C153" t="s">
        <v>358</v>
      </c>
      <c r="D153" t="s">
        <v>3</v>
      </c>
      <c r="E153">
        <v>1</v>
      </c>
      <c r="F153">
        <v>0</v>
      </c>
      <c r="G153">
        <v>0</v>
      </c>
      <c r="H153">
        <v>0</v>
      </c>
      <c r="I153" t="s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754</v>
      </c>
      <c r="AF153">
        <v>19.328255506126141</v>
      </c>
      <c r="AG153">
        <v>17.548080602314649</v>
      </c>
      <c r="AH153">
        <f>28.074511867181*1</f>
        <v>28.074511867180998</v>
      </c>
      <c r="AI153">
        <f>5.68982051853525*1</f>
        <v>5.6898205185352504</v>
      </c>
      <c r="AJ153">
        <v>1</v>
      </c>
      <c r="AK153">
        <v>0</v>
      </c>
      <c r="AL153">
        <v>0</v>
      </c>
    </row>
    <row r="154" spans="1:38" hidden="1" x14ac:dyDescent="0.2">
      <c r="A154" t="s">
        <v>359</v>
      </c>
      <c r="B154" t="s">
        <v>360</v>
      </c>
      <c r="C154" t="s">
        <v>361</v>
      </c>
      <c r="D154" t="s">
        <v>4</v>
      </c>
      <c r="E154">
        <v>0</v>
      </c>
      <c r="F154">
        <v>1</v>
      </c>
      <c r="G154">
        <v>0</v>
      </c>
      <c r="H154">
        <v>0</v>
      </c>
      <c r="I154" t="s">
        <v>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4.4000000000000004</v>
      </c>
      <c r="AE154">
        <v>758</v>
      </c>
      <c r="AF154">
        <v>11.62162162162163</v>
      </c>
      <c r="AG154">
        <v>12.58928571428571</v>
      </c>
      <c r="AH154">
        <f>19.0208064960396*1</f>
        <v>19.020806496039601</v>
      </c>
      <c r="AI154">
        <f>3.80416129920793*1</f>
        <v>3.8041612992079301</v>
      </c>
      <c r="AJ154">
        <v>1</v>
      </c>
      <c r="AK154">
        <v>0</v>
      </c>
      <c r="AL154">
        <v>0</v>
      </c>
    </row>
    <row r="155" spans="1:38" hidden="1" x14ac:dyDescent="0.2">
      <c r="A155" t="s">
        <v>316</v>
      </c>
      <c r="B155" t="s">
        <v>317</v>
      </c>
      <c r="C155" t="s">
        <v>317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28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7.2</v>
      </c>
      <c r="AE155">
        <v>676</v>
      </c>
      <c r="AF155">
        <v>23.922427798958839</v>
      </c>
      <c r="AG155">
        <v>20.324355177498809</v>
      </c>
      <c r="AH155">
        <f>19.3331432212853*0.8</f>
        <v>15.466514577028242</v>
      </c>
      <c r="AI155">
        <v>0</v>
      </c>
      <c r="AJ155">
        <v>0.8</v>
      </c>
      <c r="AK155">
        <v>1</v>
      </c>
      <c r="AL155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2023-12-29T16:24:50Z</dcterms:created>
  <dcterms:modified xsi:type="dcterms:W3CDTF">2023-12-29T16:39:07Z</dcterms:modified>
</cp:coreProperties>
</file>