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Calibrations/2023-24/"/>
    </mc:Choice>
  </mc:AlternateContent>
  <xr:revisionPtr revIDLastSave="0" documentId="13_ncr:1_{5D81001B-BD95-324D-8577-D55DD9F76DFA}" xr6:coauthVersionLast="47" xr6:coauthVersionMax="47" xr10:uidLastSave="{00000000-0000-0000-0000-000000000000}"/>
  <bookViews>
    <workbookView xWindow="240" yWindow="760" windowWidth="16100" windowHeight="9660" firstSheet="12" activeTab="19" xr2:uid="{00000000-000D-0000-FFFF-FFFF00000000}"/>
  </bookViews>
  <sheets>
    <sheet name="ARS" sheetId="1" r:id="rId1"/>
    <sheet name="AVL" sheetId="2" r:id="rId2"/>
    <sheet name="BOU" sheetId="3" r:id="rId3"/>
    <sheet name="BRE" sheetId="4" r:id="rId4"/>
    <sheet name="BHA" sheetId="5" r:id="rId5"/>
    <sheet name="BUR" sheetId="6" r:id="rId6"/>
    <sheet name="CHE" sheetId="7" r:id="rId7"/>
    <sheet name="CRY" sheetId="8" r:id="rId8"/>
    <sheet name="EVE" sheetId="9" r:id="rId9"/>
    <sheet name="FUL" sheetId="10" r:id="rId10"/>
    <sheet name="LIV" sheetId="11" r:id="rId11"/>
    <sheet name="LUT" sheetId="12" r:id="rId12"/>
    <sheet name="MCI" sheetId="13" r:id="rId13"/>
    <sheet name="MUN" sheetId="14" r:id="rId14"/>
    <sheet name="NEW" sheetId="15" r:id="rId15"/>
    <sheet name="NFO" sheetId="16" r:id="rId16"/>
    <sheet name="SHU" sheetId="17" r:id="rId17"/>
    <sheet name="TOT" sheetId="18" r:id="rId18"/>
    <sheet name="WHU" sheetId="19" r:id="rId19"/>
    <sheet name="WOL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0" l="1"/>
  <c r="F8" i="20" s="1"/>
  <c r="D7" i="20"/>
  <c r="F7" i="20" s="1"/>
  <c r="D6" i="20"/>
  <c r="F6" i="20" s="1"/>
  <c r="F5" i="20"/>
  <c r="D5" i="20"/>
  <c r="I5" i="20" s="1"/>
  <c r="D4" i="20"/>
  <c r="F4" i="20" s="1"/>
  <c r="D3" i="20"/>
  <c r="F3" i="20" s="1"/>
  <c r="D2" i="20"/>
  <c r="F2" i="20" s="1"/>
  <c r="F11" i="19"/>
  <c r="D11" i="19"/>
  <c r="F10" i="19"/>
  <c r="D10" i="19"/>
  <c r="D9" i="19"/>
  <c r="F9" i="19" s="1"/>
  <c r="D8" i="19"/>
  <c r="F8" i="19" s="1"/>
  <c r="D7" i="19"/>
  <c r="F7" i="19" s="1"/>
  <c r="D6" i="19"/>
  <c r="F6" i="19" s="1"/>
  <c r="I5" i="19"/>
  <c r="D5" i="19"/>
  <c r="F5" i="19" s="1"/>
  <c r="D4" i="19"/>
  <c r="F4" i="19" s="1"/>
  <c r="D3" i="19"/>
  <c r="F3" i="19" s="1"/>
  <c r="F2" i="19"/>
  <c r="D2" i="19"/>
  <c r="D11" i="18"/>
  <c r="F11" i="18" s="1"/>
  <c r="D10" i="18"/>
  <c r="F10" i="18" s="1"/>
  <c r="D9" i="18"/>
  <c r="F9" i="18" s="1"/>
  <c r="F8" i="18"/>
  <c r="D8" i="18"/>
  <c r="D7" i="18"/>
  <c r="F7" i="18" s="1"/>
  <c r="F6" i="18"/>
  <c r="D6" i="18"/>
  <c r="D5" i="18"/>
  <c r="I5" i="18" s="1"/>
  <c r="F4" i="18"/>
  <c r="D4" i="18"/>
  <c r="F3" i="18"/>
  <c r="D3" i="18"/>
  <c r="D2" i="18"/>
  <c r="F2" i="18" s="1"/>
  <c r="F6" i="17"/>
  <c r="D6" i="17"/>
  <c r="I5" i="17"/>
  <c r="F5" i="17"/>
  <c r="D5" i="17"/>
  <c r="F4" i="17"/>
  <c r="D4" i="17"/>
  <c r="D3" i="17"/>
  <c r="F3" i="17" s="1"/>
  <c r="D2" i="17"/>
  <c r="F2" i="17" s="1"/>
  <c r="I7" i="17" s="1"/>
  <c r="D6" i="16"/>
  <c r="F6" i="16" s="1"/>
  <c r="F5" i="16"/>
  <c r="D5" i="16"/>
  <c r="I5" i="16" s="1"/>
  <c r="F4" i="16"/>
  <c r="D4" i="16"/>
  <c r="D3" i="16"/>
  <c r="F3" i="16" s="1"/>
  <c r="D2" i="16"/>
  <c r="F2" i="16" s="1"/>
  <c r="F8" i="15"/>
  <c r="D8" i="15"/>
  <c r="D7" i="15"/>
  <c r="F7" i="15" s="1"/>
  <c r="F6" i="15"/>
  <c r="D6" i="15"/>
  <c r="D5" i="15"/>
  <c r="I5" i="15" s="1"/>
  <c r="F4" i="15"/>
  <c r="D4" i="15"/>
  <c r="F3" i="15"/>
  <c r="D3" i="15"/>
  <c r="F2" i="15"/>
  <c r="D2" i="15"/>
  <c r="D8" i="14"/>
  <c r="F8" i="14" s="1"/>
  <c r="D7" i="14"/>
  <c r="F7" i="14" s="1"/>
  <c r="D6" i="14"/>
  <c r="F6" i="14" s="1"/>
  <c r="F5" i="14"/>
  <c r="D5" i="14"/>
  <c r="I5" i="14" s="1"/>
  <c r="D4" i="14"/>
  <c r="F4" i="14" s="1"/>
  <c r="D3" i="14"/>
  <c r="F3" i="14" s="1"/>
  <c r="F2" i="14"/>
  <c r="D2" i="14"/>
  <c r="F11" i="13"/>
  <c r="D11" i="13"/>
  <c r="F10" i="13"/>
  <c r="D10" i="13"/>
  <c r="D9" i="13"/>
  <c r="F9" i="13" s="1"/>
  <c r="D8" i="13"/>
  <c r="F8" i="13" s="1"/>
  <c r="D7" i="13"/>
  <c r="F7" i="13" s="1"/>
  <c r="D6" i="13"/>
  <c r="F6" i="13" s="1"/>
  <c r="I5" i="13"/>
  <c r="D5" i="13"/>
  <c r="F5" i="13" s="1"/>
  <c r="D4" i="13"/>
  <c r="F4" i="13" s="1"/>
  <c r="F3" i="13"/>
  <c r="D3" i="13"/>
  <c r="F2" i="13"/>
  <c r="D2" i="13"/>
  <c r="I5" i="12"/>
  <c r="D5" i="12"/>
  <c r="F5" i="12" s="1"/>
  <c r="D4" i="12"/>
  <c r="F4" i="12" s="1"/>
  <c r="F3" i="12"/>
  <c r="D3" i="12"/>
  <c r="F2" i="12"/>
  <c r="D2" i="12"/>
  <c r="F12" i="11"/>
  <c r="D12" i="11"/>
  <c r="F11" i="11"/>
  <c r="D11" i="11"/>
  <c r="D10" i="11"/>
  <c r="F10" i="11" s="1"/>
  <c r="F9" i="11"/>
  <c r="D9" i="11"/>
  <c r="F8" i="11"/>
  <c r="D8" i="11"/>
  <c r="F7" i="11"/>
  <c r="D7" i="11"/>
  <c r="D6" i="11"/>
  <c r="F6" i="11" s="1"/>
  <c r="I5" i="11"/>
  <c r="F5" i="11"/>
  <c r="D5" i="11"/>
  <c r="F4" i="11"/>
  <c r="D4" i="11"/>
  <c r="F3" i="11"/>
  <c r="D3" i="11"/>
  <c r="F2" i="11"/>
  <c r="D2" i="11"/>
  <c r="D12" i="10"/>
  <c r="F12" i="10" s="1"/>
  <c r="F11" i="10"/>
  <c r="D11" i="10"/>
  <c r="F10" i="10"/>
  <c r="D10" i="10"/>
  <c r="F9" i="10"/>
  <c r="D9" i="10"/>
  <c r="F8" i="10"/>
  <c r="D8" i="10"/>
  <c r="F7" i="10"/>
  <c r="D7" i="10"/>
  <c r="D6" i="10"/>
  <c r="F6" i="10" s="1"/>
  <c r="F5" i="10"/>
  <c r="D5" i="10"/>
  <c r="I5" i="10" s="1"/>
  <c r="F4" i="10"/>
  <c r="D4" i="10"/>
  <c r="D3" i="10"/>
  <c r="F3" i="10" s="1"/>
  <c r="F2" i="10"/>
  <c r="D2" i="10"/>
  <c r="F11" i="9"/>
  <c r="D11" i="9"/>
  <c r="F10" i="9"/>
  <c r="D10" i="9"/>
  <c r="F9" i="9"/>
  <c r="D9" i="9"/>
  <c r="D8" i="9"/>
  <c r="F8" i="9" s="1"/>
  <c r="F7" i="9"/>
  <c r="D7" i="9"/>
  <c r="D6" i="9"/>
  <c r="F6" i="9" s="1"/>
  <c r="I5" i="9"/>
  <c r="F5" i="9"/>
  <c r="D5" i="9"/>
  <c r="D4" i="9"/>
  <c r="F4" i="9" s="1"/>
  <c r="D3" i="9"/>
  <c r="F3" i="9" s="1"/>
  <c r="F2" i="9"/>
  <c r="D2" i="9"/>
  <c r="D7" i="8"/>
  <c r="F7" i="8" s="1"/>
  <c r="F6" i="8"/>
  <c r="D6" i="8"/>
  <c r="D5" i="8"/>
  <c r="I5" i="8" s="1"/>
  <c r="F4" i="8"/>
  <c r="D4" i="8"/>
  <c r="F3" i="8"/>
  <c r="D3" i="8"/>
  <c r="F2" i="8"/>
  <c r="D2" i="8"/>
  <c r="D8" i="7"/>
  <c r="F8" i="7" s="1"/>
  <c r="F7" i="7"/>
  <c r="D7" i="7"/>
  <c r="D6" i="7"/>
  <c r="F6" i="7" s="1"/>
  <c r="I5" i="7"/>
  <c r="F5" i="7"/>
  <c r="D5" i="7"/>
  <c r="D4" i="7"/>
  <c r="F4" i="7" s="1"/>
  <c r="D3" i="7"/>
  <c r="F3" i="7" s="1"/>
  <c r="F2" i="7"/>
  <c r="D2" i="7"/>
  <c r="I5" i="6"/>
  <c r="F5" i="6"/>
  <c r="D5" i="6"/>
  <c r="D4" i="6"/>
  <c r="F4" i="6" s="1"/>
  <c r="D3" i="6"/>
  <c r="F3" i="6" s="1"/>
  <c r="F2" i="6"/>
  <c r="D2" i="6"/>
  <c r="F8" i="5"/>
  <c r="D8" i="5"/>
  <c r="D7" i="5"/>
  <c r="F7" i="5" s="1"/>
  <c r="D6" i="5"/>
  <c r="F6" i="5" s="1"/>
  <c r="I5" i="5"/>
  <c r="F5" i="5"/>
  <c r="D5" i="5"/>
  <c r="F4" i="5"/>
  <c r="D4" i="5"/>
  <c r="F3" i="5"/>
  <c r="D3" i="5"/>
  <c r="F2" i="5"/>
  <c r="D2" i="5"/>
  <c r="D9" i="4"/>
  <c r="F9" i="4" s="1"/>
  <c r="F8" i="4"/>
  <c r="D8" i="4"/>
  <c r="F7" i="4"/>
  <c r="D7" i="4"/>
  <c r="D6" i="4"/>
  <c r="F6" i="4" s="1"/>
  <c r="D5" i="4"/>
  <c r="F5" i="4" s="1"/>
  <c r="F4" i="4"/>
  <c r="D4" i="4"/>
  <c r="F3" i="4"/>
  <c r="D3" i="4"/>
  <c r="F2" i="4"/>
  <c r="D2" i="4"/>
  <c r="D10" i="3"/>
  <c r="F10" i="3" s="1"/>
  <c r="D9" i="3"/>
  <c r="F9" i="3" s="1"/>
  <c r="F8" i="3"/>
  <c r="D8" i="3"/>
  <c r="F7" i="3"/>
  <c r="D7" i="3"/>
  <c r="D6" i="3"/>
  <c r="F6" i="3" s="1"/>
  <c r="D5" i="3"/>
  <c r="I5" i="3" s="1"/>
  <c r="F4" i="3"/>
  <c r="D4" i="3"/>
  <c r="F3" i="3"/>
  <c r="D3" i="3"/>
  <c r="D2" i="3"/>
  <c r="F2" i="3" s="1"/>
  <c r="D11" i="2"/>
  <c r="F11" i="2" s="1"/>
  <c r="D10" i="2"/>
  <c r="F10" i="2" s="1"/>
  <c r="F9" i="2"/>
  <c r="D9" i="2"/>
  <c r="F8" i="2"/>
  <c r="D8" i="2"/>
  <c r="D7" i="2"/>
  <c r="F7" i="2" s="1"/>
  <c r="D6" i="2"/>
  <c r="F6" i="2" s="1"/>
  <c r="I5" i="2"/>
  <c r="F5" i="2"/>
  <c r="D5" i="2"/>
  <c r="F4" i="2"/>
  <c r="D4" i="2"/>
  <c r="F3" i="2"/>
  <c r="D3" i="2"/>
  <c r="D2" i="2"/>
  <c r="F2" i="2" s="1"/>
  <c r="D13" i="1"/>
  <c r="F13" i="1" s="1"/>
  <c r="F12" i="1"/>
  <c r="D12" i="1"/>
  <c r="D11" i="1"/>
  <c r="F11" i="1" s="1"/>
  <c r="F10" i="1"/>
  <c r="D10" i="1"/>
  <c r="D9" i="1"/>
  <c r="F9" i="1" s="1"/>
  <c r="D8" i="1"/>
  <c r="F8" i="1" s="1"/>
  <c r="D7" i="1"/>
  <c r="F7" i="1" s="1"/>
  <c r="F6" i="1"/>
  <c r="D6" i="1"/>
  <c r="D5" i="1"/>
  <c r="F5" i="1" s="1"/>
  <c r="D4" i="1"/>
  <c r="F4" i="1" s="1"/>
  <c r="F3" i="1"/>
  <c r="D3" i="1"/>
  <c r="D2" i="1"/>
  <c r="F2" i="1" s="1"/>
  <c r="I7" i="13" l="1"/>
  <c r="I7" i="2"/>
  <c r="I7" i="6"/>
  <c r="I7" i="8"/>
  <c r="I7" i="20"/>
  <c r="I7" i="18"/>
  <c r="I7" i="12"/>
  <c r="I7" i="4"/>
  <c r="I7" i="5"/>
  <c r="I7" i="14"/>
  <c r="I7" i="16"/>
  <c r="I7" i="10"/>
  <c r="I7" i="11"/>
  <c r="I7" i="1"/>
  <c r="I7" i="7"/>
  <c r="I7" i="9"/>
  <c r="I7" i="15"/>
  <c r="I7" i="19"/>
  <c r="F5" i="3"/>
  <c r="I7" i="3" s="1"/>
  <c r="F5" i="8"/>
  <c r="I5" i="4"/>
  <c r="F5" i="15"/>
  <c r="F5" i="18"/>
  <c r="I5" i="1"/>
</calcChain>
</file>

<file path=xl/sharedStrings.xml><?xml version="1.0" encoding="utf-8"?>
<sst xmlns="http://schemas.openxmlformats.org/spreadsheetml/2006/main" count="360" uniqueCount="169">
  <si>
    <t>ARIMA</t>
  </si>
  <si>
    <t>LSTM</t>
  </si>
  <si>
    <t>OFF</t>
  </si>
  <si>
    <t>AVG</t>
  </si>
  <si>
    <t>Name</t>
  </si>
  <si>
    <t>ARIMAPP</t>
  </si>
  <si>
    <t>LSTMPP</t>
  </si>
  <si>
    <t>PP</t>
  </si>
  <si>
    <t>AP</t>
  </si>
  <si>
    <t>DIFF</t>
  </si>
  <si>
    <t>Rice</t>
  </si>
  <si>
    <t>G.Jesus</t>
  </si>
  <si>
    <t>Zinchenko</t>
  </si>
  <si>
    <t>Saka</t>
  </si>
  <si>
    <t>Trossard</t>
  </si>
  <si>
    <t>Havertz</t>
  </si>
  <si>
    <t>Ødegaard</t>
  </si>
  <si>
    <t>Raya</t>
  </si>
  <si>
    <t>Saliba</t>
  </si>
  <si>
    <t>White</t>
  </si>
  <si>
    <t>Martinelli</t>
  </si>
  <si>
    <t>Gabriel</t>
  </si>
  <si>
    <t>Digne</t>
  </si>
  <si>
    <t>Tielemans</t>
  </si>
  <si>
    <t>Douglas Luiz</t>
  </si>
  <si>
    <t>McGinn</t>
  </si>
  <si>
    <t>Konsa</t>
  </si>
  <si>
    <t>Watkins</t>
  </si>
  <si>
    <t>Bailey</t>
  </si>
  <si>
    <t>Martinez</t>
  </si>
  <si>
    <t>Diaby</t>
  </si>
  <si>
    <t>Pau</t>
  </si>
  <si>
    <t>Smith</t>
  </si>
  <si>
    <t>L.Cook</t>
  </si>
  <si>
    <t>Solanke</t>
  </si>
  <si>
    <t>Tavernier</t>
  </si>
  <si>
    <t>Senesi</t>
  </si>
  <si>
    <t>Neto</t>
  </si>
  <si>
    <t>Semenyo</t>
  </si>
  <si>
    <t>Zabarnyi</t>
  </si>
  <si>
    <t>Kluivert</t>
  </si>
  <si>
    <t>Maupay</t>
  </si>
  <si>
    <t>Nørgaard</t>
  </si>
  <si>
    <t>Janelt</t>
  </si>
  <si>
    <t>Wissa</t>
  </si>
  <si>
    <t>Jensen</t>
  </si>
  <si>
    <t>Roerslev</t>
  </si>
  <si>
    <t>Collins</t>
  </si>
  <si>
    <t>Flekken</t>
  </si>
  <si>
    <t>Dunk</t>
  </si>
  <si>
    <t>Gross</t>
  </si>
  <si>
    <t>Welbeck</t>
  </si>
  <si>
    <t>João Pedro</t>
  </si>
  <si>
    <t>Van Hecke</t>
  </si>
  <si>
    <t>Buonanotte</t>
  </si>
  <si>
    <t>Adingra</t>
  </si>
  <si>
    <t>Brownhill</t>
  </si>
  <si>
    <t>O'Shea</t>
  </si>
  <si>
    <t>Bruun Larsen</t>
  </si>
  <si>
    <t>Odobert</t>
  </si>
  <si>
    <t>Sterling</t>
  </si>
  <si>
    <t>Gallagher</t>
  </si>
  <si>
    <t>T.Silva</t>
  </si>
  <si>
    <t>Colwill</t>
  </si>
  <si>
    <t>Mudryk</t>
  </si>
  <si>
    <t>Enzo</t>
  </si>
  <si>
    <t>N.Jackson</t>
  </si>
  <si>
    <t>J.Ayew</t>
  </si>
  <si>
    <t>Mitchell</t>
  </si>
  <si>
    <t>Eze</t>
  </si>
  <si>
    <t>Andersen</t>
  </si>
  <si>
    <t>Mateta</t>
  </si>
  <si>
    <t>Lerma</t>
  </si>
  <si>
    <t>A.Doucoure</t>
  </si>
  <si>
    <t>Pickford</t>
  </si>
  <si>
    <t>Young</t>
  </si>
  <si>
    <t>Calvert-Lewin</t>
  </si>
  <si>
    <t>McNeil</t>
  </si>
  <si>
    <t>Garner</t>
  </si>
  <si>
    <t>Branthwaite</t>
  </si>
  <si>
    <t>Harrison</t>
  </si>
  <si>
    <t>Mykolenko</t>
  </si>
  <si>
    <t>Onana</t>
  </si>
  <si>
    <t>Raúl</t>
  </si>
  <si>
    <t>Iwobi</t>
  </si>
  <si>
    <t>Leno</t>
  </si>
  <si>
    <t>Wilson</t>
  </si>
  <si>
    <t>Castagne</t>
  </si>
  <si>
    <t>Robinson</t>
  </si>
  <si>
    <t>J.Palhinha</t>
  </si>
  <si>
    <t>Andreas</t>
  </si>
  <si>
    <t>De Cordova-Reid</t>
  </si>
  <si>
    <t>Willian</t>
  </si>
  <si>
    <t>Bassey</t>
  </si>
  <si>
    <t>A.Becker</t>
  </si>
  <si>
    <t>Salah</t>
  </si>
  <si>
    <t>Alexander-Arnold</t>
  </si>
  <si>
    <t>Virgil</t>
  </si>
  <si>
    <t>Elliott</t>
  </si>
  <si>
    <t>Mac Allister</t>
  </si>
  <si>
    <t>Luis Díaz</t>
  </si>
  <si>
    <t>Darwin</t>
  </si>
  <si>
    <t>Gakpo</t>
  </si>
  <si>
    <t>Szoboszlai</t>
  </si>
  <si>
    <t>Gomez</t>
  </si>
  <si>
    <t>Barkley</t>
  </si>
  <si>
    <t>Chong</t>
  </si>
  <si>
    <t>Ogbene</t>
  </si>
  <si>
    <t>Morris</t>
  </si>
  <si>
    <t>Ederson M.</t>
  </si>
  <si>
    <t>Walker</t>
  </si>
  <si>
    <t>Aké</t>
  </si>
  <si>
    <t>Foden</t>
  </si>
  <si>
    <t>Rodrigo</t>
  </si>
  <si>
    <t>Haaland</t>
  </si>
  <si>
    <t>Bernardo</t>
  </si>
  <si>
    <t>J.Alvarez</t>
  </si>
  <si>
    <t>Rúben</t>
  </si>
  <si>
    <t>Akanji</t>
  </si>
  <si>
    <t>Rashford</t>
  </si>
  <si>
    <t>McTominay</t>
  </si>
  <si>
    <t>B.Fernandes</t>
  </si>
  <si>
    <t>Dalot</t>
  </si>
  <si>
    <t>Garnacho</t>
  </si>
  <si>
    <t>Højlund</t>
  </si>
  <si>
    <t>Trippier</t>
  </si>
  <si>
    <t>Schär</t>
  </si>
  <si>
    <t>Longstaff</t>
  </si>
  <si>
    <t>Burn</t>
  </si>
  <si>
    <t>Gordon</t>
  </si>
  <si>
    <t>Bruno G.</t>
  </si>
  <si>
    <t>Isak</t>
  </si>
  <si>
    <t>Wood</t>
  </si>
  <si>
    <t>Gibbs-White</t>
  </si>
  <si>
    <t>Hudson-Odoi</t>
  </si>
  <si>
    <t>Elanga</t>
  </si>
  <si>
    <t>Danilo</t>
  </si>
  <si>
    <t>Archer</t>
  </si>
  <si>
    <t>McAtee</t>
  </si>
  <si>
    <t>Vini Souza</t>
  </si>
  <si>
    <t>Foderingham</t>
  </si>
  <si>
    <t>Hamer</t>
  </si>
  <si>
    <t>Maddison</t>
  </si>
  <si>
    <t>Richarlison</t>
  </si>
  <si>
    <t>Romero</t>
  </si>
  <si>
    <t>Kulusevski</t>
  </si>
  <si>
    <t>Johnson</t>
  </si>
  <si>
    <t>Son</t>
  </si>
  <si>
    <t>Sarr</t>
  </si>
  <si>
    <t>Pedro Porro</t>
  </si>
  <si>
    <t>Udogie</t>
  </si>
  <si>
    <t>Vicario</t>
  </si>
  <si>
    <t>Ward-Prowse</t>
  </si>
  <si>
    <t>Zouma</t>
  </si>
  <si>
    <t>Emerson</t>
  </si>
  <si>
    <t>Bowen</t>
  </si>
  <si>
    <t>Areola</t>
  </si>
  <si>
    <t>L.Paquetá</t>
  </si>
  <si>
    <t>Coufal</t>
  </si>
  <si>
    <t>Souček</t>
  </si>
  <si>
    <t>Álvarez</t>
  </si>
  <si>
    <t>Kudus</t>
  </si>
  <si>
    <t>Dawson</t>
  </si>
  <si>
    <t>José Sá</t>
  </si>
  <si>
    <t>Hee Chan</t>
  </si>
  <si>
    <t>Aït-Nouri</t>
  </si>
  <si>
    <t>Cunha</t>
  </si>
  <si>
    <t>Sarabia</t>
  </si>
  <si>
    <t>João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</si>
</sst>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RS" displayName="TableARS" ref="A1:F13" totalsRowShown="0">
  <autoFilter ref="A1:F13" xr:uid="{00000000-0009-0000-0100-000001000000}"/>
  <tableColumns count="6">
    <tableColumn id="1" xr3:uid="{00000000-0010-0000-0000-000001000000}" name="Name"/>
    <tableColumn id="2" xr3:uid="{00000000-0010-0000-0000-000002000000}" name="ARIMAPP"/>
    <tableColumn id="3" xr3:uid="{00000000-0010-0000-0000-000003000000}" name="LSTMPP"/>
    <tableColumn id="4" xr3:uid="{00000000-0010-0000-0000-000004000000}" name="PP">
      <calculatedColumnFormula>TableARS[[#This Row],[ARIMAPP]]*$I$2+TableARS[[#This Row],[LSTMPP]]*$I$3</calculatedColumnFormula>
    </tableColumn>
    <tableColumn id="5" xr3:uid="{00000000-0010-0000-0000-000005000000}" name="AP"/>
    <tableColumn id="6" xr3:uid="{00000000-0010-0000-0000-000006000000}" name="DIFF">
      <calculatedColumnFormula>ABS(TableARS[[#This Row],[PP]]-TableARS[[#This Row],[AP]])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FUL" displayName="TableFUL" ref="A1:F12" totalsRowShown="0">
  <autoFilter ref="A1:F12" xr:uid="{00000000-0009-0000-0100-00000A000000}"/>
  <tableColumns count="6">
    <tableColumn id="1" xr3:uid="{00000000-0010-0000-0900-000001000000}" name="Name"/>
    <tableColumn id="2" xr3:uid="{00000000-0010-0000-0900-000002000000}" name="ARIMAPP"/>
    <tableColumn id="3" xr3:uid="{00000000-0010-0000-0900-000003000000}" name="LSTMPP"/>
    <tableColumn id="4" xr3:uid="{00000000-0010-0000-0900-000004000000}" name="PP">
      <calculatedColumnFormula>TableFUL[[#This Row],[ARIMAPP]]*$I$2+TableFUL[[#This Row],[LSTMPP]]*$I$3</calculatedColumnFormula>
    </tableColumn>
    <tableColumn id="5" xr3:uid="{00000000-0010-0000-0900-000005000000}" name="AP"/>
    <tableColumn id="6" xr3:uid="{00000000-0010-0000-0900-000006000000}" name="DIFF">
      <calculatedColumnFormula>ABS(TableFUL[[#This Row],[PP]]-TableFUL[[#This Row],[AP]])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LIV" displayName="TableLIV" ref="A1:F12" totalsRowShown="0">
  <autoFilter ref="A1:F12" xr:uid="{00000000-0009-0000-0100-00000B000000}"/>
  <tableColumns count="6">
    <tableColumn id="1" xr3:uid="{00000000-0010-0000-0A00-000001000000}" name="Name"/>
    <tableColumn id="2" xr3:uid="{00000000-0010-0000-0A00-000002000000}" name="ARIMAPP"/>
    <tableColumn id="3" xr3:uid="{00000000-0010-0000-0A00-000003000000}" name="LSTMPP"/>
    <tableColumn id="4" xr3:uid="{00000000-0010-0000-0A00-000004000000}" name="PP">
      <calculatedColumnFormula>TableLIV[[#This Row],[ARIMAPP]]*$I$2+TableLIV[[#This Row],[LSTMPP]]*$I$3</calculatedColumnFormula>
    </tableColumn>
    <tableColumn id="5" xr3:uid="{00000000-0010-0000-0A00-000005000000}" name="AP"/>
    <tableColumn id="6" xr3:uid="{00000000-0010-0000-0A00-000006000000}" name="DIFF">
      <calculatedColumnFormula>ABS(TableLIV[[#This Row],[PP]]-TableLIV[[#This Row],[AP]])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LUT" displayName="TableLUT" ref="A1:F5" totalsRowShown="0">
  <autoFilter ref="A1:F5" xr:uid="{00000000-0009-0000-0100-00000C000000}"/>
  <tableColumns count="6">
    <tableColumn id="1" xr3:uid="{00000000-0010-0000-0B00-000001000000}" name="Name"/>
    <tableColumn id="2" xr3:uid="{00000000-0010-0000-0B00-000002000000}" name="ARIMAPP"/>
    <tableColumn id="3" xr3:uid="{00000000-0010-0000-0B00-000003000000}" name="LSTMPP"/>
    <tableColumn id="4" xr3:uid="{00000000-0010-0000-0B00-000004000000}" name="PP">
      <calculatedColumnFormula>TableLUT[[#This Row],[ARIMAPP]]*$I$2+TableLUT[[#This Row],[LSTMPP]]*$I$3</calculatedColumnFormula>
    </tableColumn>
    <tableColumn id="5" xr3:uid="{00000000-0010-0000-0B00-000005000000}" name="AP"/>
    <tableColumn id="6" xr3:uid="{00000000-0010-0000-0B00-000006000000}" name="DIFF">
      <calculatedColumnFormula>ABS(TableLUT[[#This Row],[PP]]-TableLUT[[#This Row],[AP]])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MCI" displayName="TableMCI" ref="A1:F11" totalsRowShown="0">
  <autoFilter ref="A1:F11" xr:uid="{00000000-0009-0000-0100-00000D000000}"/>
  <tableColumns count="6">
    <tableColumn id="1" xr3:uid="{00000000-0010-0000-0C00-000001000000}" name="Name"/>
    <tableColumn id="2" xr3:uid="{00000000-0010-0000-0C00-000002000000}" name="ARIMAPP"/>
    <tableColumn id="3" xr3:uid="{00000000-0010-0000-0C00-000003000000}" name="LSTMPP"/>
    <tableColumn id="4" xr3:uid="{00000000-0010-0000-0C00-000004000000}" name="PP">
      <calculatedColumnFormula>TableMCI[[#This Row],[ARIMAPP]]*$I$2+TableMCI[[#This Row],[LSTMPP]]*$I$3</calculatedColumnFormula>
    </tableColumn>
    <tableColumn id="5" xr3:uid="{00000000-0010-0000-0C00-000005000000}" name="AP"/>
    <tableColumn id="6" xr3:uid="{00000000-0010-0000-0C00-000006000000}" name="DIFF">
      <calculatedColumnFormula>ABS(TableMCI[[#This Row],[PP]]-TableMCI[[#This Row],[AP]])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MUN" displayName="TableMUN" ref="A1:F8" totalsRowShown="0">
  <autoFilter ref="A1:F8" xr:uid="{00000000-0009-0000-0100-00000E000000}"/>
  <tableColumns count="6">
    <tableColumn id="1" xr3:uid="{00000000-0010-0000-0D00-000001000000}" name="Name"/>
    <tableColumn id="2" xr3:uid="{00000000-0010-0000-0D00-000002000000}" name="ARIMAPP"/>
    <tableColumn id="3" xr3:uid="{00000000-0010-0000-0D00-000003000000}" name="LSTMPP"/>
    <tableColumn id="4" xr3:uid="{00000000-0010-0000-0D00-000004000000}" name="PP">
      <calculatedColumnFormula>TableMUN[[#This Row],[ARIMAPP]]*$I$2+TableMUN[[#This Row],[LSTMPP]]*$I$3</calculatedColumnFormula>
    </tableColumn>
    <tableColumn id="5" xr3:uid="{00000000-0010-0000-0D00-000005000000}" name="AP"/>
    <tableColumn id="6" xr3:uid="{00000000-0010-0000-0D00-000006000000}" name="DIFF">
      <calculatedColumnFormula>ABS(TableMUN[[#This Row],[PP]]-TableMUN[[#This Row],[AP]])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NEW" displayName="TableNEW" ref="A1:F8" totalsRowShown="0">
  <autoFilter ref="A1:F8" xr:uid="{00000000-0009-0000-0100-00000F000000}"/>
  <tableColumns count="6">
    <tableColumn id="1" xr3:uid="{00000000-0010-0000-0E00-000001000000}" name="Name"/>
    <tableColumn id="2" xr3:uid="{00000000-0010-0000-0E00-000002000000}" name="ARIMAPP"/>
    <tableColumn id="3" xr3:uid="{00000000-0010-0000-0E00-000003000000}" name="LSTMPP"/>
    <tableColumn id="4" xr3:uid="{00000000-0010-0000-0E00-000004000000}" name="PP">
      <calculatedColumnFormula>TableNEW[[#This Row],[ARIMAPP]]*$I$2+TableNEW[[#This Row],[LSTMPP]]*$I$3</calculatedColumnFormula>
    </tableColumn>
    <tableColumn id="5" xr3:uid="{00000000-0010-0000-0E00-000005000000}" name="AP"/>
    <tableColumn id="6" xr3:uid="{00000000-0010-0000-0E00-000006000000}" name="DIFF">
      <calculatedColumnFormula>ABS(TableNEW[[#This Row],[PP]]-TableNEW[[#This Row],[AP]])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NFO" displayName="TableNFO" ref="A1:F6" totalsRowShown="0">
  <autoFilter ref="A1:F6" xr:uid="{00000000-0009-0000-0100-000010000000}"/>
  <tableColumns count="6">
    <tableColumn id="1" xr3:uid="{00000000-0010-0000-0F00-000001000000}" name="Name"/>
    <tableColumn id="2" xr3:uid="{00000000-0010-0000-0F00-000002000000}" name="ARIMAPP"/>
    <tableColumn id="3" xr3:uid="{00000000-0010-0000-0F00-000003000000}" name="LSTMPP"/>
    <tableColumn id="4" xr3:uid="{00000000-0010-0000-0F00-000004000000}" name="PP">
      <calculatedColumnFormula>TableNFO[[#This Row],[ARIMAPP]]*$I$2+TableNFO[[#This Row],[LSTMPP]]*$I$3</calculatedColumnFormula>
    </tableColumn>
    <tableColumn id="5" xr3:uid="{00000000-0010-0000-0F00-000005000000}" name="AP"/>
    <tableColumn id="6" xr3:uid="{00000000-0010-0000-0F00-000006000000}" name="DIFF">
      <calculatedColumnFormula>ABS(TableNFO[[#This Row],[PP]]-TableNFO[[#This Row],[AP]])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SHU" displayName="TableSHU" ref="A1:F6" totalsRowShown="0">
  <autoFilter ref="A1:F6" xr:uid="{00000000-0009-0000-0100-000011000000}"/>
  <tableColumns count="6">
    <tableColumn id="1" xr3:uid="{00000000-0010-0000-1000-000001000000}" name="Name"/>
    <tableColumn id="2" xr3:uid="{00000000-0010-0000-1000-000002000000}" name="ARIMAPP"/>
    <tableColumn id="3" xr3:uid="{00000000-0010-0000-1000-000003000000}" name="LSTMPP"/>
    <tableColumn id="4" xr3:uid="{00000000-0010-0000-1000-000004000000}" name="PP">
      <calculatedColumnFormula>TableSHU[[#This Row],[ARIMAPP]]*$I$2+TableSHU[[#This Row],[LSTMPP]]*$I$3</calculatedColumnFormula>
    </tableColumn>
    <tableColumn id="5" xr3:uid="{00000000-0010-0000-1000-000005000000}" name="AP"/>
    <tableColumn id="6" xr3:uid="{00000000-0010-0000-1000-000006000000}" name="DIFF">
      <calculatedColumnFormula>ABS(TableSHU[[#This Row],[PP]]-TableSHU[[#This Row],[AP]])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TOT" displayName="TableTOT" ref="A1:F11" totalsRowShown="0">
  <autoFilter ref="A1:F11" xr:uid="{00000000-0009-0000-0100-000012000000}"/>
  <tableColumns count="6">
    <tableColumn id="1" xr3:uid="{00000000-0010-0000-1100-000001000000}" name="Name"/>
    <tableColumn id="2" xr3:uid="{00000000-0010-0000-1100-000002000000}" name="ARIMAPP"/>
    <tableColumn id="3" xr3:uid="{00000000-0010-0000-1100-000003000000}" name="LSTMPP"/>
    <tableColumn id="4" xr3:uid="{00000000-0010-0000-1100-000004000000}" name="PP">
      <calculatedColumnFormula>TableTOT[[#This Row],[ARIMAPP]]*$I$2+TableTOT[[#This Row],[LSTMPP]]*$I$3</calculatedColumnFormula>
    </tableColumn>
    <tableColumn id="5" xr3:uid="{00000000-0010-0000-1100-000005000000}" name="AP"/>
    <tableColumn id="6" xr3:uid="{00000000-0010-0000-1100-000006000000}" name="DIFF">
      <calculatedColumnFormula>ABS(TableTOT[[#This Row],[PP]]-TableTOT[[#This Row],[AP]])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WHU" displayName="TableWHU" ref="A1:F11" totalsRowShown="0">
  <autoFilter ref="A1:F11" xr:uid="{00000000-0009-0000-0100-000013000000}"/>
  <tableColumns count="6">
    <tableColumn id="1" xr3:uid="{00000000-0010-0000-1200-000001000000}" name="Name"/>
    <tableColumn id="2" xr3:uid="{00000000-0010-0000-1200-000002000000}" name="ARIMAPP"/>
    <tableColumn id="3" xr3:uid="{00000000-0010-0000-1200-000003000000}" name="LSTMPP"/>
    <tableColumn id="4" xr3:uid="{00000000-0010-0000-1200-000004000000}" name="PP">
      <calculatedColumnFormula>TableWHU[[#This Row],[ARIMAPP]]*$I$2+TableWHU[[#This Row],[LSTMPP]]*$I$3</calculatedColumnFormula>
    </tableColumn>
    <tableColumn id="5" xr3:uid="{00000000-0010-0000-1200-000005000000}" name="AP"/>
    <tableColumn id="6" xr3:uid="{00000000-0010-0000-1200-000006000000}" name="DIFF">
      <calculatedColumnFormula>ABS(TableWHU[[#This Row],[PP]]-TableWHU[[#This Row],[AP]])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VL" displayName="TableAVL" ref="A1:F11" totalsRowShown="0">
  <autoFilter ref="A1:F11" xr:uid="{00000000-0009-0000-0100-000002000000}"/>
  <tableColumns count="6">
    <tableColumn id="1" xr3:uid="{00000000-0010-0000-0100-000001000000}" name="Name"/>
    <tableColumn id="2" xr3:uid="{00000000-0010-0000-0100-000002000000}" name="ARIMAPP"/>
    <tableColumn id="3" xr3:uid="{00000000-0010-0000-0100-000003000000}" name="LSTMPP"/>
    <tableColumn id="4" xr3:uid="{00000000-0010-0000-0100-000004000000}" name="PP">
      <calculatedColumnFormula>TableAVL[[#This Row],[ARIMAPP]]*$I$2+TableAVL[[#This Row],[LSTMPP]]*$I$3</calculatedColumnFormula>
    </tableColumn>
    <tableColumn id="5" xr3:uid="{00000000-0010-0000-0100-000005000000}" name="AP"/>
    <tableColumn id="6" xr3:uid="{00000000-0010-0000-0100-000006000000}" name="DIFF">
      <calculatedColumnFormula>ABS(TableAVL[[#This Row],[PP]]-TableAVL[[#This Row],[AP]])</calculatedColumnFormula>
    </tableColumn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WOL" displayName="TableWOL" ref="A1:F8" totalsRowShown="0">
  <autoFilter ref="A1:F8" xr:uid="{00000000-0009-0000-0100-000014000000}"/>
  <tableColumns count="6">
    <tableColumn id="1" xr3:uid="{00000000-0010-0000-1300-000001000000}" name="Name"/>
    <tableColumn id="2" xr3:uid="{00000000-0010-0000-1300-000002000000}" name="ARIMAPP"/>
    <tableColumn id="3" xr3:uid="{00000000-0010-0000-1300-000003000000}" name="LSTMPP"/>
    <tableColumn id="4" xr3:uid="{00000000-0010-0000-1300-000004000000}" name="PP">
      <calculatedColumnFormula>TableWOL[[#This Row],[ARIMAPP]]*$I$2+TableWOL[[#This Row],[LSTMPP]]*$I$3</calculatedColumnFormula>
    </tableColumn>
    <tableColumn id="5" xr3:uid="{00000000-0010-0000-1300-000005000000}" name="AP"/>
    <tableColumn id="6" xr3:uid="{00000000-0010-0000-1300-000006000000}" name="DIFF">
      <calculatedColumnFormula>ABS(TableWOL[[#This Row],[PP]]-TableWOL[[#This Row],[AP]])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BOU" displayName="TableBOU" ref="A1:F10" totalsRowShown="0">
  <autoFilter ref="A1:F10" xr:uid="{00000000-0009-0000-0100-000003000000}"/>
  <tableColumns count="6">
    <tableColumn id="1" xr3:uid="{00000000-0010-0000-0200-000001000000}" name="Name"/>
    <tableColumn id="2" xr3:uid="{00000000-0010-0000-0200-000002000000}" name="ARIMAPP"/>
    <tableColumn id="3" xr3:uid="{00000000-0010-0000-0200-000003000000}" name="LSTMPP"/>
    <tableColumn id="4" xr3:uid="{00000000-0010-0000-0200-000004000000}" name="PP">
      <calculatedColumnFormula>TableBOU[[#This Row],[ARIMAPP]]*$I$2+TableBOU[[#This Row],[LSTMPP]]*$I$3</calculatedColumnFormula>
    </tableColumn>
    <tableColumn id="5" xr3:uid="{00000000-0010-0000-0200-000005000000}" name="AP"/>
    <tableColumn id="6" xr3:uid="{00000000-0010-0000-0200-000006000000}" name="DIFF">
      <calculatedColumnFormula>ABS(TableBOU[[#This Row],[PP]]-TableBOU[[#This Row],[AP]])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BRE" displayName="TableBRE" ref="A1:F9" totalsRowShown="0">
  <autoFilter ref="A1:F9" xr:uid="{00000000-0009-0000-0100-000004000000}"/>
  <tableColumns count="6">
    <tableColumn id="1" xr3:uid="{00000000-0010-0000-0300-000001000000}" name="Name"/>
    <tableColumn id="2" xr3:uid="{00000000-0010-0000-0300-000002000000}" name="ARIMAPP"/>
    <tableColumn id="3" xr3:uid="{00000000-0010-0000-0300-000003000000}" name="LSTMPP"/>
    <tableColumn id="4" xr3:uid="{00000000-0010-0000-0300-000004000000}" name="PP">
      <calculatedColumnFormula>TableBRE[[#This Row],[ARIMAPP]]*$I$2+TableBRE[[#This Row],[LSTMPP]]*$I$3</calculatedColumnFormula>
    </tableColumn>
    <tableColumn id="5" xr3:uid="{00000000-0010-0000-0300-000005000000}" name="AP"/>
    <tableColumn id="6" xr3:uid="{00000000-0010-0000-0300-000006000000}" name="DIFF">
      <calculatedColumnFormula>ABS(TableBRE[[#This Row],[PP]]-TableBRE[[#This Row],[AP]])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BHA" displayName="TableBHA" ref="A1:F8" totalsRowShown="0">
  <autoFilter ref="A1:F8" xr:uid="{00000000-0009-0000-0100-000005000000}"/>
  <tableColumns count="6">
    <tableColumn id="1" xr3:uid="{00000000-0010-0000-0400-000001000000}" name="Name"/>
    <tableColumn id="2" xr3:uid="{00000000-0010-0000-0400-000002000000}" name="ARIMAPP"/>
    <tableColumn id="3" xr3:uid="{00000000-0010-0000-0400-000003000000}" name="LSTMPP"/>
    <tableColumn id="4" xr3:uid="{00000000-0010-0000-0400-000004000000}" name="PP">
      <calculatedColumnFormula>TableBHA[[#This Row],[ARIMAPP]]*$I$2+TableBHA[[#This Row],[LSTMPP]]*$I$3</calculatedColumnFormula>
    </tableColumn>
    <tableColumn id="5" xr3:uid="{00000000-0010-0000-0400-000005000000}" name="AP"/>
    <tableColumn id="6" xr3:uid="{00000000-0010-0000-0400-000006000000}" name="DIFF">
      <calculatedColumnFormula>ABS(TableBHA[[#This Row],[PP]]-TableBHA[[#This Row],[AP]])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BUR" displayName="TableBUR" ref="A1:F5" totalsRowShown="0">
  <autoFilter ref="A1:F5" xr:uid="{00000000-0009-0000-0100-000006000000}"/>
  <tableColumns count="6">
    <tableColumn id="1" xr3:uid="{00000000-0010-0000-0500-000001000000}" name="Name"/>
    <tableColumn id="2" xr3:uid="{00000000-0010-0000-0500-000002000000}" name="ARIMAPP"/>
    <tableColumn id="3" xr3:uid="{00000000-0010-0000-0500-000003000000}" name="LSTMPP"/>
    <tableColumn id="4" xr3:uid="{00000000-0010-0000-0500-000004000000}" name="PP">
      <calculatedColumnFormula>TableBUR[[#This Row],[ARIMAPP]]*$I$2+TableBUR[[#This Row],[LSTMPP]]*$I$3</calculatedColumnFormula>
    </tableColumn>
    <tableColumn id="5" xr3:uid="{00000000-0010-0000-0500-000005000000}" name="AP"/>
    <tableColumn id="6" xr3:uid="{00000000-0010-0000-0500-000006000000}" name="DIFF">
      <calculatedColumnFormula>ABS(TableBUR[[#This Row],[PP]]-TableBUR[[#This Row],[AP]])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CHE" displayName="TableCHE" ref="A1:F8" totalsRowShown="0">
  <autoFilter ref="A1:F8" xr:uid="{00000000-0009-0000-0100-000007000000}"/>
  <tableColumns count="6">
    <tableColumn id="1" xr3:uid="{00000000-0010-0000-0600-000001000000}" name="Name"/>
    <tableColumn id="2" xr3:uid="{00000000-0010-0000-0600-000002000000}" name="ARIMAPP"/>
    <tableColumn id="3" xr3:uid="{00000000-0010-0000-0600-000003000000}" name="LSTMPP"/>
    <tableColumn id="4" xr3:uid="{00000000-0010-0000-0600-000004000000}" name="PP">
      <calculatedColumnFormula>TableCHE[[#This Row],[ARIMAPP]]*$I$2+TableCHE[[#This Row],[LSTMPP]]*$I$3</calculatedColumnFormula>
    </tableColumn>
    <tableColumn id="5" xr3:uid="{00000000-0010-0000-0600-000005000000}" name="AP"/>
    <tableColumn id="6" xr3:uid="{00000000-0010-0000-0600-000006000000}" name="DIFF">
      <calculatedColumnFormula>ABS(TableCHE[[#This Row],[PP]]-TableCHE[[#This Row],[AP]])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CRY" displayName="TableCRY" ref="A1:F7" totalsRowShown="0">
  <autoFilter ref="A1:F7" xr:uid="{00000000-0009-0000-0100-000008000000}"/>
  <tableColumns count="6">
    <tableColumn id="1" xr3:uid="{00000000-0010-0000-0700-000001000000}" name="Name"/>
    <tableColumn id="2" xr3:uid="{00000000-0010-0000-0700-000002000000}" name="ARIMAPP"/>
    <tableColumn id="3" xr3:uid="{00000000-0010-0000-0700-000003000000}" name="LSTMPP"/>
    <tableColumn id="4" xr3:uid="{00000000-0010-0000-0700-000004000000}" name="PP">
      <calculatedColumnFormula>TableCRY[[#This Row],[ARIMAPP]]*$I$2+TableCRY[[#This Row],[LSTMPP]]*$I$3</calculatedColumnFormula>
    </tableColumn>
    <tableColumn id="5" xr3:uid="{00000000-0010-0000-0700-000005000000}" name="AP"/>
    <tableColumn id="6" xr3:uid="{00000000-0010-0000-0700-000006000000}" name="DIFF">
      <calculatedColumnFormula>ABS(TableCRY[[#This Row],[PP]]-TableCRY[[#This Row],[AP]])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EVE" displayName="TableEVE" ref="A1:F11" totalsRowShown="0">
  <autoFilter ref="A1:F11" xr:uid="{00000000-0009-0000-0100-000009000000}"/>
  <tableColumns count="6">
    <tableColumn id="1" xr3:uid="{00000000-0010-0000-0800-000001000000}" name="Name"/>
    <tableColumn id="2" xr3:uid="{00000000-0010-0000-0800-000002000000}" name="ARIMAPP"/>
    <tableColumn id="3" xr3:uid="{00000000-0010-0000-0800-000003000000}" name="LSTMPP"/>
    <tableColumn id="4" xr3:uid="{00000000-0010-0000-0800-000004000000}" name="PP">
      <calculatedColumnFormula>TableEVE[[#This Row],[ARIMAPP]]*$I$2+TableEVE[[#This Row],[LSTMPP]]*$I$3</calculatedColumnFormula>
    </tableColumn>
    <tableColumn id="5" xr3:uid="{00000000-0010-0000-0800-000005000000}" name="AP"/>
    <tableColumn id="6" xr3:uid="{00000000-0010-0000-0800-000006000000}" name="DIFF">
      <calculatedColumnFormula>ABS(TableEVE[[#This Row],[PP]]-TableEVE[[#This Row],[AP]])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</v>
      </c>
      <c r="B2">
        <v>28.702601896333391</v>
      </c>
      <c r="C2">
        <v>26.106021658327169</v>
      </c>
      <c r="D2">
        <f>TableARS[[#This Row],[ARIMAPP]]*$I$2+TableARS[[#This Row],[LSTMPP]]*$I$3</f>
        <v>37.167968376228522</v>
      </c>
      <c r="E2">
        <v>53</v>
      </c>
      <c r="F2">
        <f>ABS(TableARS[[#This Row],[PP]]-TableARS[[#This Row],[AP]])</f>
        <v>15.832031623771478</v>
      </c>
      <c r="H2" t="s">
        <v>0</v>
      </c>
      <c r="I2">
        <v>1.2949337663</v>
      </c>
    </row>
    <row r="3" spans="1:9" x14ac:dyDescent="0.2">
      <c r="A3" t="s">
        <v>11</v>
      </c>
      <c r="B3">
        <v>40.78947368421052</v>
      </c>
      <c r="C3">
        <v>40.461726576982763</v>
      </c>
      <c r="D3">
        <f>TableARS[[#This Row],[ARIMAPP]]*$I$2+TableARS[[#This Row],[LSTMPP]]*$I$3</f>
        <v>52.819666783289463</v>
      </c>
      <c r="E3">
        <v>29</v>
      </c>
      <c r="F3">
        <f>ABS(TableARS[[#This Row],[PP]]-TableARS[[#This Row],[AP]])</f>
        <v>23.819666783289463</v>
      </c>
      <c r="H3" t="s">
        <v>1</v>
      </c>
      <c r="I3">
        <v>0</v>
      </c>
    </row>
    <row r="4" spans="1:9" x14ac:dyDescent="0.2">
      <c r="A4" t="s">
        <v>12</v>
      </c>
      <c r="B4">
        <v>33.689320388349493</v>
      </c>
      <c r="C4">
        <v>33.992763748789223</v>
      </c>
      <c r="D4">
        <f>TableARS[[#This Row],[ARIMAPP]]*$I$2+TableARS[[#This Row],[LSTMPP]]*$I$3</f>
        <v>43.625438534572787</v>
      </c>
      <c r="E4">
        <v>42</v>
      </c>
      <c r="F4">
        <f>ABS(TableARS[[#This Row],[PP]]-TableARS[[#This Row],[AP]])</f>
        <v>1.6254385345727869</v>
      </c>
    </row>
    <row r="5" spans="1:9" x14ac:dyDescent="0.2">
      <c r="A5" t="s">
        <v>13</v>
      </c>
      <c r="B5">
        <v>50.350109734310642</v>
      </c>
      <c r="C5">
        <v>39.694033975947143</v>
      </c>
      <c r="D5">
        <f>TableARS[[#This Row],[ARIMAPP]]*$I$2+TableARS[[#This Row],[LSTMPP]]*$I$3</f>
        <v>65.200057231869167</v>
      </c>
      <c r="E5">
        <v>83</v>
      </c>
      <c r="F5">
        <f>ABS(TableARS[[#This Row],[PP]]-TableARS[[#This Row],[AP]])</f>
        <v>17.799942768130833</v>
      </c>
      <c r="H5" t="s">
        <v>2</v>
      </c>
      <c r="I5">
        <f>SUM(ABS(TableARS[[#This Row],[PP]]-TableARS[[#This Row],[AP]]))</f>
        <v>17.799942768130833</v>
      </c>
    </row>
    <row r="6" spans="1:9" x14ac:dyDescent="0.2">
      <c r="A6" t="s">
        <v>14</v>
      </c>
      <c r="B6">
        <v>37.52710737846639</v>
      </c>
      <c r="C6">
        <v>41.236151492484566</v>
      </c>
      <c r="D6">
        <f>TableARS[[#This Row],[ARIMAPP]]*$I$2+TableARS[[#This Row],[LSTMPP]]*$I$3</f>
        <v>48.595118495942003</v>
      </c>
      <c r="E6">
        <v>44</v>
      </c>
      <c r="F6">
        <f>ABS(TableARS[[#This Row],[PP]]-TableARS[[#This Row],[AP]])</f>
        <v>4.5951184959420033</v>
      </c>
    </row>
    <row r="7" spans="1:9" x14ac:dyDescent="0.2">
      <c r="A7" t="s">
        <v>15</v>
      </c>
      <c r="B7">
        <v>31.682242990654181</v>
      </c>
      <c r="C7">
        <v>33.947567949986073</v>
      </c>
      <c r="D7">
        <f>TableARS[[#This Row],[ARIMAPP]]*$I$2+TableARS[[#This Row],[LSTMPP]]*$I$3</f>
        <v>41.026406240719595</v>
      </c>
      <c r="E7">
        <v>77</v>
      </c>
      <c r="F7">
        <f>ABS(TableARS[[#This Row],[PP]]-TableARS[[#This Row],[AP]])</f>
        <v>35.973593759280405</v>
      </c>
      <c r="H7" t="s">
        <v>3</v>
      </c>
      <c r="I7">
        <f>AVERAGE(TableARS[DIFF])/10</f>
        <v>1.2888834860963563</v>
      </c>
    </row>
    <row r="8" spans="1:9" x14ac:dyDescent="0.2">
      <c r="A8" t="s">
        <v>16</v>
      </c>
      <c r="B8">
        <v>45.7</v>
      </c>
      <c r="C8">
        <v>47.515874171531273</v>
      </c>
      <c r="D8">
        <f>TableARS[[#This Row],[ARIMAPP]]*$I$2+TableARS[[#This Row],[LSTMPP]]*$I$3</f>
        <v>59.178473119910002</v>
      </c>
      <c r="E8">
        <v>60</v>
      </c>
      <c r="F8">
        <f>ABS(TableARS[[#This Row],[PP]]-TableARS[[#This Row],[AP]])</f>
        <v>0.82152688008999775</v>
      </c>
    </row>
    <row r="9" spans="1:9" x14ac:dyDescent="0.2">
      <c r="A9" t="s">
        <v>17</v>
      </c>
      <c r="B9">
        <v>41.447368421052623</v>
      </c>
      <c r="C9">
        <v>41.999503031503743</v>
      </c>
      <c r="D9">
        <f>TableARS[[#This Row],[ARIMAPP]]*$I$2+TableARS[[#This Row],[LSTMPP]]*$I$3</f>
        <v>53.671596892697359</v>
      </c>
      <c r="E9">
        <v>42</v>
      </c>
      <c r="F9">
        <f>ABS(TableARS[[#This Row],[PP]]-TableARS[[#This Row],[AP]])</f>
        <v>11.671596892697359</v>
      </c>
    </row>
    <row r="10" spans="1:9" x14ac:dyDescent="0.2">
      <c r="A10" t="s">
        <v>18</v>
      </c>
      <c r="B10">
        <v>41.400793899049269</v>
      </c>
      <c r="C10">
        <v>33.510178046493742</v>
      </c>
      <c r="D10">
        <f>TableARS[[#This Row],[ARIMAPP]]*$I$2+TableARS[[#This Row],[LSTMPP]]*$I$3</f>
        <v>53.611285971505936</v>
      </c>
      <c r="E10">
        <v>49</v>
      </c>
      <c r="F10">
        <f>ABS(TableARS[[#This Row],[PP]]-TableARS[[#This Row],[AP]])</f>
        <v>4.6112859715059358</v>
      </c>
    </row>
    <row r="11" spans="1:9" x14ac:dyDescent="0.2">
      <c r="A11" t="s">
        <v>19</v>
      </c>
      <c r="B11">
        <v>39.29824561403511</v>
      </c>
      <c r="C11">
        <v>34.801435041382142</v>
      </c>
      <c r="D11">
        <f>TableARS[[#This Row],[ARIMAPP]]*$I$2+TableARS[[#This Row],[LSTMPP]]*$I$3</f>
        <v>50.888625201964942</v>
      </c>
      <c r="E11">
        <v>64</v>
      </c>
      <c r="F11">
        <f>ABS(TableARS[[#This Row],[PP]]-TableARS[[#This Row],[AP]])</f>
        <v>13.111374798035058</v>
      </c>
    </row>
    <row r="12" spans="1:9" x14ac:dyDescent="0.2">
      <c r="A12" t="s">
        <v>20</v>
      </c>
      <c r="B12">
        <v>48.301886792452827</v>
      </c>
      <c r="C12">
        <v>50.885540265140008</v>
      </c>
      <c r="D12">
        <f>TableARS[[#This Row],[ARIMAPP]]*$I$2+TableARS[[#This Row],[LSTMPP]]*$I$3</f>
        <v>62.547744183547167</v>
      </c>
      <c r="E12">
        <v>40</v>
      </c>
      <c r="F12">
        <f>ABS(TableARS[[#This Row],[PP]]-TableARS[[#This Row],[AP]])</f>
        <v>22.547744183547167</v>
      </c>
    </row>
    <row r="13" spans="1:9" x14ac:dyDescent="0.2">
      <c r="A13" t="s">
        <v>21</v>
      </c>
      <c r="B13">
        <v>35.721284628223913</v>
      </c>
      <c r="C13">
        <v>33.049908738940793</v>
      </c>
      <c r="D13">
        <f>TableARS[[#This Row],[ARIMAPP]]*$I$2+TableARS[[#This Row],[LSTMPP]]*$I$3</f>
        <v>46.256697640700288</v>
      </c>
      <c r="E13">
        <v>44</v>
      </c>
      <c r="F13">
        <f>ABS(TableARS[[#This Row],[PP]]-TableARS[[#This Row],[AP]])</f>
        <v>2.2566976407002883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83</v>
      </c>
      <c r="B2">
        <v>18.776429406442251</v>
      </c>
      <c r="C2">
        <v>45.767746589902053</v>
      </c>
      <c r="D2">
        <f>TableFUL[[#This Row],[ARIMAPP]]*$I$2+TableFUL[[#This Row],[LSTMPP]]*$I$3</f>
        <v>33.222249268002116</v>
      </c>
      <c r="E2">
        <v>35</v>
      </c>
      <c r="F2">
        <f>ABS(TableFUL[[#This Row],[PP]]-TableFUL[[#This Row],[AP]])</f>
        <v>1.7777507319978838</v>
      </c>
      <c r="H2" t="s">
        <v>0</v>
      </c>
      <c r="I2">
        <v>0.63528615776999997</v>
      </c>
    </row>
    <row r="3" spans="1:9" x14ac:dyDescent="0.2">
      <c r="A3" t="s">
        <v>84</v>
      </c>
      <c r="B3">
        <v>27.425149700598809</v>
      </c>
      <c r="C3">
        <v>23.865078951815359</v>
      </c>
      <c r="D3">
        <f>TableFUL[[#This Row],[ARIMAPP]]*$I$2+TableFUL[[#This Row],[LSTMPP]]*$I$3</f>
        <v>28.52625426250659</v>
      </c>
      <c r="E3">
        <v>40</v>
      </c>
      <c r="F3">
        <f>ABS(TableFUL[[#This Row],[PP]]-TableFUL[[#This Row],[AP]])</f>
        <v>11.47374573749341</v>
      </c>
      <c r="H3" t="s">
        <v>1</v>
      </c>
      <c r="I3">
        <v>0.46525872825999998</v>
      </c>
    </row>
    <row r="4" spans="1:9" x14ac:dyDescent="0.2">
      <c r="A4" t="s">
        <v>85</v>
      </c>
      <c r="B4">
        <v>36.639371121093497</v>
      </c>
      <c r="C4">
        <v>34.408887083642689</v>
      </c>
      <c r="D4">
        <f>TableFUL[[#This Row],[ARIMAPP]]*$I$2+TableFUL[[#This Row],[LSTMPP]]*$I$3</f>
        <v>39.285520348006116</v>
      </c>
      <c r="E4">
        <v>37</v>
      </c>
      <c r="F4">
        <f>ABS(TableFUL[[#This Row],[PP]]-TableFUL[[#This Row],[AP]])</f>
        <v>2.2855203480061164</v>
      </c>
    </row>
    <row r="5" spans="1:9" x14ac:dyDescent="0.2">
      <c r="A5" t="s">
        <v>86</v>
      </c>
      <c r="B5">
        <v>26.28205128205127</v>
      </c>
      <c r="C5">
        <v>21.493479288644671</v>
      </c>
      <c r="D5">
        <f>TableFUL[[#This Row],[ARIMAPP]]*$I$2+TableFUL[[#This Row],[LSTMPP]]*$I$3</f>
        <v>26.696652217005923</v>
      </c>
      <c r="E5">
        <v>23</v>
      </c>
      <c r="F5">
        <f>ABS(TableFUL[[#This Row],[PP]]-TableFUL[[#This Row],[AP]])</f>
        <v>3.6966522170059228</v>
      </c>
      <c r="H5" t="s">
        <v>2</v>
      </c>
      <c r="I5">
        <f>SUM(ABS(TableFUL[[#This Row],[PP]]-TableFUL[[#This Row],[AP]]))</f>
        <v>3.6966522170059228</v>
      </c>
    </row>
    <row r="6" spans="1:9" x14ac:dyDescent="0.2">
      <c r="A6" t="s">
        <v>87</v>
      </c>
      <c r="B6">
        <v>31.774551427946669</v>
      </c>
      <c r="C6">
        <v>31.041746076611521</v>
      </c>
      <c r="D6">
        <f>TableFUL[[#This Row],[ARIMAPP]]*$I$2+TableFUL[[#This Row],[LSTMPP]]*$I$3</f>
        <v>34.628375994099628</v>
      </c>
      <c r="E6">
        <v>36</v>
      </c>
      <c r="F6">
        <f>ABS(TableFUL[[#This Row],[PP]]-TableFUL[[#This Row],[AP]])</f>
        <v>1.3716240059003724</v>
      </c>
    </row>
    <row r="7" spans="1:9" x14ac:dyDescent="0.2">
      <c r="A7" t="s">
        <v>88</v>
      </c>
      <c r="B7">
        <v>24.390243902439021</v>
      </c>
      <c r="C7">
        <v>27.929396044810499</v>
      </c>
      <c r="D7">
        <f>TableFUL[[#This Row],[ARIMAPP]]*$I$2+TableFUL[[#This Row],[LSTMPP]]*$I$3</f>
        <v>28.48917962073206</v>
      </c>
      <c r="E7">
        <v>37</v>
      </c>
      <c r="F7">
        <f>ABS(TableFUL[[#This Row],[PP]]-TableFUL[[#This Row],[AP]])</f>
        <v>8.5108203792679404</v>
      </c>
      <c r="H7" t="s">
        <v>3</v>
      </c>
      <c r="I7">
        <f>AVERAGE(TableFUL[DIFF])/10</f>
        <v>0.6998895988332442</v>
      </c>
    </row>
    <row r="8" spans="1:9" x14ac:dyDescent="0.2">
      <c r="A8" t="s">
        <v>89</v>
      </c>
      <c r="B8">
        <v>25.294117647058808</v>
      </c>
      <c r="C8">
        <v>29.768587491045821</v>
      </c>
      <c r="D8">
        <f>TableFUL[[#This Row],[ARIMAPP]]*$I$2+TableFUL[[#This Row],[LSTMPP]]*$I$3</f>
        <v>29.919097972362866</v>
      </c>
      <c r="E8">
        <v>30</v>
      </c>
      <c r="F8">
        <f>ABS(TableFUL[[#This Row],[PP]]-TableFUL[[#This Row],[AP]])</f>
        <v>8.09020276371335E-2</v>
      </c>
    </row>
    <row r="9" spans="1:9" x14ac:dyDescent="0.2">
      <c r="A9" t="s">
        <v>90</v>
      </c>
      <c r="B9">
        <v>35.636363636363633</v>
      </c>
      <c r="C9">
        <v>37.901433325143799</v>
      </c>
      <c r="D9">
        <f>TableFUL[[#This Row],[ARIMAPP]]*$I$2+TableFUL[[#This Row],[LSTMPP]]*$I$3</f>
        <v>40.273261199527582</v>
      </c>
      <c r="E9">
        <v>43</v>
      </c>
      <c r="F9">
        <f>ABS(TableFUL[[#This Row],[PP]]-TableFUL[[#This Row],[AP]])</f>
        <v>2.7267388004724182</v>
      </c>
    </row>
    <row r="10" spans="1:9" x14ac:dyDescent="0.2">
      <c r="A10" t="s">
        <v>91</v>
      </c>
      <c r="B10">
        <v>26.538461538461529</v>
      </c>
      <c r="C10">
        <v>34.380870078693988</v>
      </c>
      <c r="D10">
        <f>TableFUL[[#This Row],[ARIMAPP]]*$I$2+TableFUL[[#This Row],[LSTMPP]]*$I$3</f>
        <v>32.855517153181594</v>
      </c>
      <c r="E10">
        <v>31</v>
      </c>
      <c r="F10">
        <f>ABS(TableFUL[[#This Row],[PP]]-TableFUL[[#This Row],[AP]])</f>
        <v>1.8555171531815944</v>
      </c>
    </row>
    <row r="11" spans="1:9" x14ac:dyDescent="0.2">
      <c r="A11" t="s">
        <v>92</v>
      </c>
      <c r="B11">
        <v>41.039352168124474</v>
      </c>
      <c r="C11">
        <v>34.0678227148139</v>
      </c>
      <c r="D11">
        <f>TableFUL[[#This Row],[ARIMAPP]]*$I$2+TableFUL[[#This Row],[LSTMPP]]*$I$3</f>
        <v>41.922084227139173</v>
      </c>
      <c r="E11">
        <v>22</v>
      </c>
      <c r="F11">
        <f>ABS(TableFUL[[#This Row],[PP]]-TableFUL[[#This Row],[AP]])</f>
        <v>19.922084227139173</v>
      </c>
    </row>
    <row r="12" spans="1:9" x14ac:dyDescent="0.2">
      <c r="A12" t="s">
        <v>93</v>
      </c>
      <c r="B12">
        <v>15</v>
      </c>
      <c r="C12">
        <v>6.8439498207880582</v>
      </c>
      <c r="D12">
        <f>TableFUL[[#This Row],[ARIMAPP]]*$I$2+TableFUL[[#This Row],[LSTMPP]]*$I$3</f>
        <v>12.713499756445106</v>
      </c>
      <c r="E12">
        <v>36</v>
      </c>
      <c r="F12">
        <f>ABS(TableFUL[[#This Row],[PP]]-TableFUL[[#This Row],[AP]])</f>
        <v>23.286500243554894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94</v>
      </c>
      <c r="B2">
        <v>45.046929614296793</v>
      </c>
      <c r="C2">
        <v>43.235943529917932</v>
      </c>
      <c r="D2">
        <f>TableLIV[[#This Row],[ARIMAPP]]*$I$2+TableLIV[[#This Row],[LSTMPP]]*$I$3</f>
        <v>40.637648571196436</v>
      </c>
      <c r="E2">
        <v>34</v>
      </c>
      <c r="F2">
        <f>ABS(TableLIV[[#This Row],[PP]]-TableLIV[[#This Row],[AP]])</f>
        <v>6.6376485711964364</v>
      </c>
      <c r="H2" t="s">
        <v>0</v>
      </c>
      <c r="I2">
        <v>0</v>
      </c>
    </row>
    <row r="3" spans="1:9" x14ac:dyDescent="0.2">
      <c r="A3" t="s">
        <v>95</v>
      </c>
      <c r="B3">
        <v>69.308510638297832</v>
      </c>
      <c r="C3">
        <v>66.891634898437843</v>
      </c>
      <c r="D3">
        <f>TableLIV[[#This Row],[ARIMAPP]]*$I$2+TableLIV[[#This Row],[LSTMPP]]*$I$3</f>
        <v>62.871734242933861</v>
      </c>
      <c r="E3">
        <v>59</v>
      </c>
      <c r="F3">
        <f>ABS(TableLIV[[#This Row],[PP]]-TableLIV[[#This Row],[AP]])</f>
        <v>3.8717342429338615</v>
      </c>
      <c r="H3" t="s">
        <v>1</v>
      </c>
      <c r="I3">
        <v>0.93990428456999997</v>
      </c>
    </row>
    <row r="4" spans="1:9" x14ac:dyDescent="0.2">
      <c r="A4" t="s">
        <v>96</v>
      </c>
      <c r="B4">
        <v>54.084768269116353</v>
      </c>
      <c r="C4">
        <v>50.01459322390658</v>
      </c>
      <c r="D4">
        <f>TableLIV[[#This Row],[ARIMAPP]]*$I$2+TableLIV[[#This Row],[LSTMPP]]*$I$3</f>
        <v>47.008930462175485</v>
      </c>
      <c r="E4">
        <v>45</v>
      </c>
      <c r="F4">
        <f>ABS(TableLIV[[#This Row],[PP]]-TableLIV[[#This Row],[AP]])</f>
        <v>2.0089304621754849</v>
      </c>
    </row>
    <row r="5" spans="1:9" x14ac:dyDescent="0.2">
      <c r="A5" t="s">
        <v>97</v>
      </c>
      <c r="B5">
        <v>47.875000000000021</v>
      </c>
      <c r="C5">
        <v>47.256790539813068</v>
      </c>
      <c r="D5">
        <f>TableLIV[[#This Row],[ARIMAPP]]*$I$2+TableLIV[[#This Row],[LSTMPP]]*$I$3</f>
        <v>44.416859903397345</v>
      </c>
      <c r="E5">
        <v>27</v>
      </c>
      <c r="F5">
        <f>ABS(TableLIV[[#This Row],[PP]]-TableLIV[[#This Row],[AP]])</f>
        <v>17.416859903397345</v>
      </c>
      <c r="H5" t="s">
        <v>2</v>
      </c>
      <c r="I5">
        <f>SUM(ABS(TableLIV[[#This Row],[PP]]-TableLIV[[#This Row],[AP]]))</f>
        <v>17.416859903397345</v>
      </c>
    </row>
    <row r="6" spans="1:9" x14ac:dyDescent="0.2">
      <c r="A6" t="s">
        <v>98</v>
      </c>
      <c r="B6">
        <v>18.596491228070189</v>
      </c>
      <c r="C6">
        <v>16.089658738336659</v>
      </c>
      <c r="D6">
        <f>TableLIV[[#This Row],[ARIMAPP]]*$I$2+TableLIV[[#This Row],[LSTMPP]]*$I$3</f>
        <v>15.122739185431767</v>
      </c>
      <c r="E6">
        <v>34</v>
      </c>
      <c r="F6">
        <f>ABS(TableLIV[[#This Row],[PP]]-TableLIV[[#This Row],[AP]])</f>
        <v>18.877260814568231</v>
      </c>
    </row>
    <row r="7" spans="1:9" x14ac:dyDescent="0.2">
      <c r="A7" t="s">
        <v>99</v>
      </c>
      <c r="B7">
        <v>28.38095238095238</v>
      </c>
      <c r="C7">
        <v>31.3364242449613</v>
      </c>
      <c r="D7">
        <f>TableLIV[[#This Row],[ARIMAPP]]*$I$2+TableLIV[[#This Row],[LSTMPP]]*$I$3</f>
        <v>29.453239410942352</v>
      </c>
      <c r="E7">
        <v>49</v>
      </c>
      <c r="F7">
        <f>ABS(TableLIV[[#This Row],[PP]]-TableLIV[[#This Row],[AP]])</f>
        <v>19.546760589057648</v>
      </c>
      <c r="H7" t="s">
        <v>3</v>
      </c>
      <c r="I7">
        <f>AVERAGE(TableLIV[DIFF])/10</f>
        <v>1.1260015562541943</v>
      </c>
    </row>
    <row r="8" spans="1:9" x14ac:dyDescent="0.2">
      <c r="A8" t="s">
        <v>100</v>
      </c>
      <c r="B8">
        <v>32.173913043478272</v>
      </c>
      <c r="C8">
        <v>40.698973107495227</v>
      </c>
      <c r="D8">
        <f>TableLIV[[#This Row],[ARIMAPP]]*$I$2+TableLIV[[#This Row],[LSTMPP]]*$I$3</f>
        <v>38.253139201333973</v>
      </c>
      <c r="E8">
        <v>63</v>
      </c>
      <c r="F8">
        <f>ABS(TableLIV[[#This Row],[PP]]-TableLIV[[#This Row],[AP]])</f>
        <v>24.746860798666027</v>
      </c>
    </row>
    <row r="9" spans="1:9" x14ac:dyDescent="0.2">
      <c r="A9" t="s">
        <v>101</v>
      </c>
      <c r="B9">
        <v>39.574468085106368</v>
      </c>
      <c r="C9">
        <v>39.975826088516349</v>
      </c>
      <c r="D9">
        <f>TableLIV[[#This Row],[ARIMAPP]]*$I$2+TableLIV[[#This Row],[LSTMPP]]*$I$3</f>
        <v>37.573450219821702</v>
      </c>
      <c r="E9">
        <v>38</v>
      </c>
      <c r="F9">
        <f>ABS(TableLIV[[#This Row],[PP]]-TableLIV[[#This Row],[AP]])</f>
        <v>0.42654978017829848</v>
      </c>
    </row>
    <row r="10" spans="1:9" x14ac:dyDescent="0.2">
      <c r="A10" t="s">
        <v>102</v>
      </c>
      <c r="B10">
        <v>33.243243243243263</v>
      </c>
      <c r="C10">
        <v>31.263622406251798</v>
      </c>
      <c r="D10">
        <f>TableLIV[[#This Row],[ARIMAPP]]*$I$2+TableLIV[[#This Row],[LSTMPP]]*$I$3</f>
        <v>29.384812650814716</v>
      </c>
      <c r="E10">
        <v>22</v>
      </c>
      <c r="F10">
        <f>ABS(TableLIV[[#This Row],[PP]]-TableLIV[[#This Row],[AP]])</f>
        <v>7.3848126508147161</v>
      </c>
    </row>
    <row r="11" spans="1:9" x14ac:dyDescent="0.2">
      <c r="A11" t="s">
        <v>103</v>
      </c>
      <c r="B11">
        <v>40</v>
      </c>
      <c r="C11">
        <v>38.343426259398733</v>
      </c>
      <c r="D11">
        <f>TableLIV[[#This Row],[ARIMAPP]]*$I$2+TableLIV[[#This Row],[LSTMPP]]*$I$3</f>
        <v>36.039150626302714</v>
      </c>
      <c r="E11">
        <v>24</v>
      </c>
      <c r="F11">
        <f>ABS(TableLIV[[#This Row],[PP]]-TableLIV[[#This Row],[AP]])</f>
        <v>12.039150626302714</v>
      </c>
    </row>
    <row r="12" spans="1:9" x14ac:dyDescent="0.2">
      <c r="A12" t="s">
        <v>104</v>
      </c>
      <c r="B12">
        <v>23.75</v>
      </c>
      <c r="C12">
        <v>20.31738504103734</v>
      </c>
      <c r="D12">
        <f>TableLIV[[#This Row],[ARIMAPP]]*$I$2+TableLIV[[#This Row],[LSTMPP]]*$I$3</f>
        <v>19.096397251329421</v>
      </c>
      <c r="E12">
        <v>30</v>
      </c>
      <c r="F12">
        <f>ABS(TableLIV[[#This Row],[PP]]-TableLIV[[#This Row],[AP]])</f>
        <v>10.903602748670579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105</v>
      </c>
      <c r="B2">
        <v>28.41980322244752</v>
      </c>
      <c r="C2">
        <v>26.006557017136711</v>
      </c>
      <c r="D2">
        <f>TableLUT[[#This Row],[ARIMAPP]]*$I$2+TableLUT[[#This Row],[LSTMPP]]*$I$3</f>
        <v>44.542858467099293</v>
      </c>
      <c r="E2">
        <v>42</v>
      </c>
      <c r="F2">
        <f>ABS(TableLUT[[#This Row],[PP]]-TableLUT[[#This Row],[AP]])</f>
        <v>2.5428584670992933</v>
      </c>
      <c r="H2" t="s">
        <v>0</v>
      </c>
      <c r="I2">
        <v>0.90701099521999995</v>
      </c>
    </row>
    <row r="3" spans="1:9" x14ac:dyDescent="0.2">
      <c r="A3" t="s">
        <v>106</v>
      </c>
      <c r="B3">
        <v>13.8095238095238</v>
      </c>
      <c r="C3">
        <v>16.228921039827281</v>
      </c>
      <c r="D3">
        <f>TableLUT[[#This Row],[ARIMAPP]]*$I$2+TableLUT[[#This Row],[LSTMPP]]*$I$3</f>
        <v>24.235837960202737</v>
      </c>
      <c r="E3">
        <v>38</v>
      </c>
      <c r="F3">
        <f>ABS(TableLUT[[#This Row],[PP]]-TableLUT[[#This Row],[AP]])</f>
        <v>13.764162039797263</v>
      </c>
      <c r="H3" t="s">
        <v>1</v>
      </c>
      <c r="I3">
        <v>0.72157896371999997</v>
      </c>
    </row>
    <row r="4" spans="1:9" x14ac:dyDescent="0.2">
      <c r="A4" t="s">
        <v>107</v>
      </c>
      <c r="B4">
        <v>21.333333333333329</v>
      </c>
      <c r="C4">
        <v>13.430205869144091</v>
      </c>
      <c r="D4">
        <f>TableLUT[[#This Row],[ARIMAPP]]*$I$2+TableLUT[[#This Row],[LSTMPP]]*$I$3</f>
        <v>29.040521931629915</v>
      </c>
      <c r="E4">
        <v>37</v>
      </c>
      <c r="F4">
        <f>ABS(TableLUT[[#This Row],[PP]]-TableLUT[[#This Row],[AP]])</f>
        <v>7.9594780683700854</v>
      </c>
    </row>
    <row r="5" spans="1:9" x14ac:dyDescent="0.2">
      <c r="A5" t="s">
        <v>108</v>
      </c>
      <c r="B5">
        <v>33.500000000000007</v>
      </c>
      <c r="C5">
        <v>30.76661222426144</v>
      </c>
      <c r="D5">
        <f>TableLUT[[#This Row],[ARIMAPP]]*$I$2+TableLUT[[#This Row],[LSTMPP]]*$I$3</f>
        <v>52.585408505827658</v>
      </c>
      <c r="E5">
        <v>44</v>
      </c>
      <c r="F5">
        <f>ABS(TableLUT[[#This Row],[PP]]-TableLUT[[#This Row],[AP]])</f>
        <v>8.5854085058276581</v>
      </c>
      <c r="H5" t="s">
        <v>2</v>
      </c>
      <c r="I5">
        <f>SUM(ABS(TableLUT[[#This Row],[PP]]-TableLUT[[#This Row],[AP]]))</f>
        <v>8.5854085058276581</v>
      </c>
    </row>
    <row r="7" spans="1:9" x14ac:dyDescent="0.2">
      <c r="H7" t="s">
        <v>3</v>
      </c>
      <c r="I7">
        <f>AVERAGE(TableLUT[DIFF])/10</f>
        <v>0.82129767702735745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1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109</v>
      </c>
      <c r="B2">
        <v>39.090909090909093</v>
      </c>
      <c r="C2">
        <v>40.308352715338224</v>
      </c>
      <c r="D2">
        <f>TableMCI[[#This Row],[ARIMAPP]]*$I$2+TableMCI[[#This Row],[LSTMPP]]*$I$3</f>
        <v>39.788620371181821</v>
      </c>
      <c r="E2">
        <v>36</v>
      </c>
      <c r="F2">
        <f>ABS(TableMCI[[#This Row],[PP]]-TableMCI[[#This Row],[AP]])</f>
        <v>3.7886203711818212</v>
      </c>
      <c r="H2" t="s">
        <v>0</v>
      </c>
      <c r="I2">
        <v>1.0178484281</v>
      </c>
    </row>
    <row r="3" spans="1:9" x14ac:dyDescent="0.2">
      <c r="A3" t="s">
        <v>110</v>
      </c>
      <c r="B3">
        <v>37.971014492753618</v>
      </c>
      <c r="C3">
        <v>44.724658964843037</v>
      </c>
      <c r="D3">
        <f>TableMCI[[#This Row],[ARIMAPP]]*$I$2+TableMCI[[#This Row],[LSTMPP]]*$I$3</f>
        <v>38.648737414811585</v>
      </c>
      <c r="E3">
        <v>29</v>
      </c>
      <c r="F3">
        <f>ABS(TableMCI[[#This Row],[PP]]-TableMCI[[#This Row],[AP]])</f>
        <v>9.6487374148115848</v>
      </c>
      <c r="H3" t="s">
        <v>1</v>
      </c>
      <c r="I3">
        <v>0</v>
      </c>
    </row>
    <row r="4" spans="1:9" x14ac:dyDescent="0.2">
      <c r="A4" t="s">
        <v>111</v>
      </c>
      <c r="B4">
        <v>32.558139534883743</v>
      </c>
      <c r="C4">
        <v>28.172888409842791</v>
      </c>
      <c r="D4">
        <f>TableMCI[[#This Row],[ARIMAPP]]*$I$2+TableMCI[[#This Row],[LSTMPP]]*$I$3</f>
        <v>33.139251147441882</v>
      </c>
      <c r="E4">
        <v>35</v>
      </c>
      <c r="F4">
        <f>ABS(TableMCI[[#This Row],[PP]]-TableMCI[[#This Row],[AP]])</f>
        <v>1.8607488525581175</v>
      </c>
    </row>
    <row r="5" spans="1:9" x14ac:dyDescent="0.2">
      <c r="A5" t="s">
        <v>112</v>
      </c>
      <c r="B5">
        <v>47.626114911037988</v>
      </c>
      <c r="C5">
        <v>42.1640452942842</v>
      </c>
      <c r="D5">
        <f>TableMCI[[#This Row],[ARIMAPP]]*$I$2+TableMCI[[#This Row],[LSTMPP]]*$I$3</f>
        <v>48.476166198709983</v>
      </c>
      <c r="E5">
        <v>85</v>
      </c>
      <c r="F5">
        <f>ABS(TableMCI[[#This Row],[PP]]-TableMCI[[#This Row],[AP]])</f>
        <v>36.523833801290017</v>
      </c>
      <c r="H5" t="s">
        <v>2</v>
      </c>
      <c r="I5">
        <f>SUM(ABS(TableMCI[[#This Row],[PP]]-TableMCI[[#This Row],[AP]]))</f>
        <v>36.523833801290017</v>
      </c>
    </row>
    <row r="6" spans="1:9" x14ac:dyDescent="0.2">
      <c r="A6" t="s">
        <v>113</v>
      </c>
      <c r="B6">
        <v>30.748299319727909</v>
      </c>
      <c r="C6">
        <v>29.401846297324042</v>
      </c>
      <c r="D6">
        <f>TableMCI[[#This Row],[ARIMAPP]]*$I$2+TableMCI[[#This Row],[LSTMPP]]*$I$3</f>
        <v>31.297108129333353</v>
      </c>
      <c r="E6">
        <v>52</v>
      </c>
      <c r="F6">
        <f>ABS(TableMCI[[#This Row],[PP]]-TableMCI[[#This Row],[AP]])</f>
        <v>20.702891870666647</v>
      </c>
    </row>
    <row r="7" spans="1:9" x14ac:dyDescent="0.2">
      <c r="A7" t="s">
        <v>114</v>
      </c>
      <c r="B7">
        <v>80.217391304347828</v>
      </c>
      <c r="C7">
        <v>78.2271794336433</v>
      </c>
      <c r="D7">
        <f>TableMCI[[#This Row],[ARIMAPP]]*$I$2+TableMCI[[#This Row],[LSTMPP]]*$I$3</f>
        <v>81.649145645413043</v>
      </c>
      <c r="E7">
        <v>60</v>
      </c>
      <c r="F7">
        <f>ABS(TableMCI[[#This Row],[PP]]-TableMCI[[#This Row],[AP]])</f>
        <v>21.649145645413043</v>
      </c>
      <c r="H7" t="s">
        <v>3</v>
      </c>
      <c r="I7">
        <f>AVERAGE(TableMCI[DIFF])/10</f>
        <v>1.1861141498998149</v>
      </c>
    </row>
    <row r="8" spans="1:9" x14ac:dyDescent="0.2">
      <c r="A8" t="s">
        <v>115</v>
      </c>
      <c r="B8">
        <v>38.723404255319139</v>
      </c>
      <c r="C8">
        <v>35.596870827796842</v>
      </c>
      <c r="D8">
        <f>TableMCI[[#This Row],[ARIMAPP]]*$I$2+TableMCI[[#This Row],[LSTMPP]]*$I$3</f>
        <v>39.414556151957434</v>
      </c>
      <c r="E8">
        <v>26</v>
      </c>
      <c r="F8">
        <f>ABS(TableMCI[[#This Row],[PP]]-TableMCI[[#This Row],[AP]])</f>
        <v>13.414556151957434</v>
      </c>
    </row>
    <row r="9" spans="1:9" x14ac:dyDescent="0.2">
      <c r="A9" t="s">
        <v>116</v>
      </c>
      <c r="B9">
        <v>37.142857142857153</v>
      </c>
      <c r="C9">
        <v>35.906574389343866</v>
      </c>
      <c r="D9">
        <f>TableMCI[[#This Row],[ARIMAPP]]*$I$2+TableMCI[[#This Row],[LSTMPP]]*$I$3</f>
        <v>37.805798758000009</v>
      </c>
      <c r="E9">
        <v>38</v>
      </c>
      <c r="F9">
        <f>ABS(TableMCI[[#This Row],[PP]]-TableMCI[[#This Row],[AP]])</f>
        <v>0.19420124199999123</v>
      </c>
    </row>
    <row r="10" spans="1:9" x14ac:dyDescent="0.2">
      <c r="A10" t="s">
        <v>117</v>
      </c>
      <c r="B10">
        <v>28.500000000000011</v>
      </c>
      <c r="C10">
        <v>11.65332133717606</v>
      </c>
      <c r="D10">
        <f>TableMCI[[#This Row],[ARIMAPP]]*$I$2+TableMCI[[#This Row],[LSTMPP]]*$I$3</f>
        <v>29.008680200850009</v>
      </c>
      <c r="E10">
        <v>34</v>
      </c>
      <c r="F10">
        <f>ABS(TableMCI[[#This Row],[PP]]-TableMCI[[#This Row],[AP]])</f>
        <v>4.9913197991499914</v>
      </c>
    </row>
    <row r="11" spans="1:9" x14ac:dyDescent="0.2">
      <c r="A11" t="s">
        <v>118</v>
      </c>
      <c r="B11">
        <v>31.598653857612771</v>
      </c>
      <c r="C11">
        <v>24.884657515484001</v>
      </c>
      <c r="D11">
        <f>TableMCI[[#This Row],[ARIMAPP]]*$I$2+TableMCI[[#This Row],[LSTMPP]]*$I$3</f>
        <v>32.162640159047157</v>
      </c>
      <c r="E11">
        <v>38</v>
      </c>
      <c r="F11">
        <f>ABS(TableMCI[[#This Row],[PP]]-TableMCI[[#This Row],[AP]])</f>
        <v>5.8373598409528427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119</v>
      </c>
      <c r="B2">
        <v>46.029057244439883</v>
      </c>
      <c r="C2">
        <v>41.131224527564171</v>
      </c>
      <c r="D2">
        <f>TableMUN[[#This Row],[ARIMAPP]]*$I$2+TableMUN[[#This Row],[LSTMPP]]*$I$3</f>
        <v>50.277580684130051</v>
      </c>
      <c r="E2">
        <v>32</v>
      </c>
      <c r="F2">
        <f>ABS(TableMUN[[#This Row],[PP]]-TableMUN[[#This Row],[AP]])</f>
        <v>18.277580684130051</v>
      </c>
      <c r="H2" t="s">
        <v>0</v>
      </c>
      <c r="I2">
        <v>0</v>
      </c>
    </row>
    <row r="3" spans="1:9" x14ac:dyDescent="0.2">
      <c r="A3" t="s">
        <v>120</v>
      </c>
      <c r="B3">
        <v>25.79710144927537</v>
      </c>
      <c r="C3">
        <v>24.262207167192891</v>
      </c>
      <c r="D3">
        <f>TableMUN[[#This Row],[ARIMAPP]]*$I$2+TableMUN[[#This Row],[LSTMPP]]*$I$3</f>
        <v>29.657397571670575</v>
      </c>
      <c r="E3">
        <v>25</v>
      </c>
      <c r="F3">
        <f>ABS(TableMUN[[#This Row],[PP]]-TableMUN[[#This Row],[AP]])</f>
        <v>4.6573975716705753</v>
      </c>
      <c r="H3" t="s">
        <v>1</v>
      </c>
      <c r="I3">
        <v>1.22237014</v>
      </c>
    </row>
    <row r="4" spans="1:9" x14ac:dyDescent="0.2">
      <c r="A4" t="s">
        <v>121</v>
      </c>
      <c r="B4">
        <v>40.75471698113207</v>
      </c>
      <c r="C4">
        <v>57.367023394987122</v>
      </c>
      <c r="D4">
        <f>TableMUN[[#This Row],[ARIMAPP]]*$I$2+TableMUN[[#This Row],[LSTMPP]]*$I$3</f>
        <v>70.123736418713676</v>
      </c>
      <c r="E4">
        <v>64</v>
      </c>
      <c r="F4">
        <f>ABS(TableMUN[[#This Row],[PP]]-TableMUN[[#This Row],[AP]])</f>
        <v>6.1237364187136762</v>
      </c>
    </row>
    <row r="5" spans="1:9" x14ac:dyDescent="0.2">
      <c r="A5" t="s">
        <v>122</v>
      </c>
      <c r="B5">
        <v>34.54545454545454</v>
      </c>
      <c r="C5">
        <v>24.262374324278159</v>
      </c>
      <c r="D5">
        <f>TableMUN[[#This Row],[ARIMAPP]]*$I$2+TableMUN[[#This Row],[LSTMPP]]*$I$3</f>
        <v>29.6576018995003</v>
      </c>
      <c r="E5">
        <v>30</v>
      </c>
      <c r="F5">
        <f>ABS(TableMUN[[#This Row],[PP]]-TableMUN[[#This Row],[AP]])</f>
        <v>0.34239810049970032</v>
      </c>
      <c r="H5" t="s">
        <v>2</v>
      </c>
      <c r="I5">
        <f>SUM(ABS(TableMUN[[#This Row],[PP]]-TableMUN[[#This Row],[AP]]))</f>
        <v>0.34239810049970032</v>
      </c>
    </row>
    <row r="6" spans="1:9" x14ac:dyDescent="0.2">
      <c r="A6" t="s">
        <v>123</v>
      </c>
      <c r="B6">
        <v>25.277777777777779</v>
      </c>
      <c r="C6">
        <v>23.79288034733522</v>
      </c>
      <c r="D6">
        <f>TableMUN[[#This Row],[ARIMAPP]]*$I$2+TableMUN[[#This Row],[LSTMPP]]*$I$3</f>
        <v>29.083706481175401</v>
      </c>
      <c r="E6">
        <v>57</v>
      </c>
      <c r="F6">
        <f>ABS(TableMUN[[#This Row],[PP]]-TableMUN[[#This Row],[AP]])</f>
        <v>27.916293518824599</v>
      </c>
    </row>
    <row r="7" spans="1:9" x14ac:dyDescent="0.2">
      <c r="A7" t="s">
        <v>82</v>
      </c>
      <c r="B7">
        <v>34.090909090909072</v>
      </c>
      <c r="C7">
        <v>36.625452350841371</v>
      </c>
      <c r="D7">
        <f>TableMUN[[#This Row],[ARIMAPP]]*$I$2+TableMUN[[#This Row],[LSTMPP]]*$I$3</f>
        <v>44.769859317661293</v>
      </c>
      <c r="E7">
        <v>39</v>
      </c>
      <c r="F7">
        <f>ABS(TableMUN[[#This Row],[PP]]-TableMUN[[#This Row],[AP]])</f>
        <v>5.7698593176612931</v>
      </c>
      <c r="H7" t="s">
        <v>3</v>
      </c>
      <c r="I7">
        <f>AVERAGE(TableMUN[DIFF])/10</f>
        <v>1.4703420300883068</v>
      </c>
    </row>
    <row r="8" spans="1:9" x14ac:dyDescent="0.2">
      <c r="A8" t="s">
        <v>124</v>
      </c>
      <c r="B8">
        <v>16.22407720918023</v>
      </c>
      <c r="C8">
        <v>18.949516801284439</v>
      </c>
      <c r="D8">
        <f>TableMUN[[#This Row],[ARIMAPP]]*$I$2+TableMUN[[#This Row],[LSTMPP]]*$I$3</f>
        <v>23.163323505318413</v>
      </c>
      <c r="E8">
        <v>63</v>
      </c>
      <c r="F8">
        <f>ABS(TableMUN[[#This Row],[PP]]-TableMUN[[#This Row],[AP]])</f>
        <v>39.836676494681583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125</v>
      </c>
      <c r="B2">
        <v>47.763086683688101</v>
      </c>
      <c r="C2">
        <v>33.133024398413788</v>
      </c>
      <c r="D2">
        <f>TableNEW[[#This Row],[ARIMAPP]]*$I$2+TableNEW[[#This Row],[LSTMPP]]*$I$3</f>
        <v>48.251980793763906</v>
      </c>
      <c r="E2">
        <v>25</v>
      </c>
      <c r="F2">
        <f>ABS(TableNEW[[#This Row],[PP]]-TableNEW[[#This Row],[AP]])</f>
        <v>23.251980793763906</v>
      </c>
      <c r="H2" t="s">
        <v>0</v>
      </c>
      <c r="I2">
        <v>0.39587372967000001</v>
      </c>
    </row>
    <row r="3" spans="1:9" x14ac:dyDescent="0.2">
      <c r="A3" t="s">
        <v>126</v>
      </c>
      <c r="B3">
        <v>31.16727539345159</v>
      </c>
      <c r="C3">
        <v>36.009382856994023</v>
      </c>
      <c r="D3">
        <f>TableNEW[[#This Row],[ARIMAPP]]*$I$2+TableNEW[[#This Row],[LSTMPP]]*$I$3</f>
        <v>44.229544314383993</v>
      </c>
      <c r="E3">
        <v>46</v>
      </c>
      <c r="F3">
        <f>ABS(TableNEW[[#This Row],[PP]]-TableNEW[[#This Row],[AP]])</f>
        <v>1.7704556856160067</v>
      </c>
      <c r="H3" t="s">
        <v>1</v>
      </c>
      <c r="I3">
        <v>0.88563691545000001</v>
      </c>
    </row>
    <row r="4" spans="1:9" x14ac:dyDescent="0.2">
      <c r="A4" t="s">
        <v>127</v>
      </c>
      <c r="B4">
        <v>23.515625</v>
      </c>
      <c r="C4">
        <v>23.461802195403209</v>
      </c>
      <c r="D4">
        <f>TableNEW[[#This Row],[ARIMAPP]]*$I$2+TableNEW[[#This Row],[LSTMPP]]*$I$3</f>
        <v>30.087856301506029</v>
      </c>
      <c r="E4">
        <v>33</v>
      </c>
      <c r="F4">
        <f>ABS(TableNEW[[#This Row],[PP]]-TableNEW[[#This Row],[AP]])</f>
        <v>2.9121436984939706</v>
      </c>
    </row>
    <row r="5" spans="1:9" x14ac:dyDescent="0.2">
      <c r="A5" t="s">
        <v>128</v>
      </c>
      <c r="B5">
        <v>32.438298989888992</v>
      </c>
      <c r="C5">
        <v>29.774207396000271</v>
      </c>
      <c r="D5">
        <f>TableNEW[[#This Row],[ARIMAPP]]*$I$2+TableNEW[[#This Row],[LSTMPP]]*$I$3</f>
        <v>39.210607603440209</v>
      </c>
      <c r="E5">
        <v>29</v>
      </c>
      <c r="F5">
        <f>ABS(TableNEW[[#This Row],[PP]]-TableNEW[[#This Row],[AP]])</f>
        <v>10.210607603440209</v>
      </c>
      <c r="H5" t="s">
        <v>2</v>
      </c>
      <c r="I5">
        <f>SUM(ABS(TableNEW[[#This Row],[PP]]-TableNEW[[#This Row],[AP]]))</f>
        <v>10.210607603440209</v>
      </c>
    </row>
    <row r="6" spans="1:9" x14ac:dyDescent="0.2">
      <c r="A6" t="s">
        <v>129</v>
      </c>
      <c r="B6">
        <v>47.757858019619142</v>
      </c>
      <c r="C6">
        <v>21.368509455259989</v>
      </c>
      <c r="D6">
        <f>TableNEW[[#This Row],[ARIMAPP]]*$I$2+TableNEW[[#This Row],[LSTMPP]]*$I$3</f>
        <v>37.830822176997572</v>
      </c>
      <c r="E6">
        <v>54</v>
      </c>
      <c r="F6">
        <f>ABS(TableNEW[[#This Row],[PP]]-TableNEW[[#This Row],[AP]])</f>
        <v>16.169177823002428</v>
      </c>
    </row>
    <row r="7" spans="1:9" x14ac:dyDescent="0.2">
      <c r="A7" t="s">
        <v>130</v>
      </c>
      <c r="B7">
        <v>32.615384615384627</v>
      </c>
      <c r="C7">
        <v>40.838613024414187</v>
      </c>
      <c r="D7">
        <f>TableNEW[[#This Row],[ARIMAPP]]*$I$2+TableNEW[[#This Row],[LSTMPP]]*$I$3</f>
        <v>49.079757222512228</v>
      </c>
      <c r="E7">
        <v>56</v>
      </c>
      <c r="F7">
        <f>ABS(TableNEW[[#This Row],[PP]]-TableNEW[[#This Row],[AP]])</f>
        <v>6.9202427774877719</v>
      </c>
      <c r="H7" t="s">
        <v>3</v>
      </c>
      <c r="I7">
        <f>AVERAGE(TableNEW[DIFF])/10</f>
        <v>0.9726036730184443</v>
      </c>
    </row>
    <row r="8" spans="1:9" x14ac:dyDescent="0.2">
      <c r="A8" t="s">
        <v>131</v>
      </c>
      <c r="B8">
        <v>46.764705882352928</v>
      </c>
      <c r="C8">
        <v>45.887238920360829</v>
      </c>
      <c r="D8">
        <f>TableNEW[[#This Row],[ARIMAPP]]*$I$2+TableNEW[[#This Row],[LSTMPP]]*$I$3</f>
        <v>59.152351270513194</v>
      </c>
      <c r="E8">
        <v>66</v>
      </c>
      <c r="F8">
        <f>ABS(TableNEW[[#This Row],[PP]]-TableNEW[[#This Row],[AP]])</f>
        <v>6.8476487294868065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132</v>
      </c>
      <c r="B2">
        <v>35.61065183771538</v>
      </c>
      <c r="C2">
        <v>32.967028560644252</v>
      </c>
      <c r="D2">
        <f>TableNFO[[#This Row],[ARIMAPP]]*$I$2+TableNFO[[#This Row],[LSTMPP]]*$I$3</f>
        <v>44.943537453532116</v>
      </c>
      <c r="E2">
        <v>63</v>
      </c>
      <c r="F2">
        <f>ABS(TableNFO[[#This Row],[PP]]-TableNFO[[#This Row],[AP]])</f>
        <v>18.056462546467884</v>
      </c>
      <c r="H2" t="s">
        <v>0</v>
      </c>
      <c r="I2">
        <v>0.61220468158999997</v>
      </c>
    </row>
    <row r="3" spans="1:9" x14ac:dyDescent="0.2">
      <c r="A3" t="s">
        <v>133</v>
      </c>
      <c r="B3">
        <v>34.114326627908937</v>
      </c>
      <c r="C3">
        <v>23.68383945849931</v>
      </c>
      <c r="D3">
        <f>TableNFO[[#This Row],[ARIMAPP]]*$I$2+TableNFO[[#This Row],[LSTMPP]]*$I$3</f>
        <v>37.510772743334783</v>
      </c>
      <c r="E3">
        <v>50</v>
      </c>
      <c r="F3">
        <f>ABS(TableNFO[[#This Row],[PP]]-TableNFO[[#This Row],[AP]])</f>
        <v>12.489227256665217</v>
      </c>
      <c r="H3" t="s">
        <v>1</v>
      </c>
      <c r="I3">
        <v>0.70199016090999999</v>
      </c>
    </row>
    <row r="4" spans="1:9" x14ac:dyDescent="0.2">
      <c r="A4" t="s">
        <v>134</v>
      </c>
      <c r="B4">
        <v>26.913580246913579</v>
      </c>
      <c r="C4">
        <v>24.886301216471288</v>
      </c>
      <c r="D4">
        <f>TableNFO[[#This Row],[ARIMAPP]]*$I$2+TableNFO[[#This Row],[LSTMPP]]*$I$3</f>
        <v>33.946558420914045</v>
      </c>
      <c r="E4">
        <v>39</v>
      </c>
      <c r="F4">
        <f>ABS(TableNFO[[#This Row],[PP]]-TableNFO[[#This Row],[AP]])</f>
        <v>5.0534415790859555</v>
      </c>
    </row>
    <row r="5" spans="1:9" x14ac:dyDescent="0.2">
      <c r="A5" t="s">
        <v>135</v>
      </c>
      <c r="B5">
        <v>39.587574004946887</v>
      </c>
      <c r="C5">
        <v>23.586185912632629</v>
      </c>
      <c r="D5">
        <f>TableNFO[[#This Row],[ARIMAPP]]*$I$2+TableNFO[[#This Row],[LSTMPP]]*$I$3</f>
        <v>40.792968582681226</v>
      </c>
      <c r="E5">
        <v>31</v>
      </c>
      <c r="F5">
        <f>ABS(TableNFO[[#This Row],[PP]]-TableNFO[[#This Row],[AP]])</f>
        <v>9.7929685826812261</v>
      </c>
      <c r="H5" t="s">
        <v>2</v>
      </c>
      <c r="I5">
        <f>SUM(ABS(TableNFO[[#This Row],[PP]]-TableNFO[[#This Row],[AP]]))</f>
        <v>9.7929685826812261</v>
      </c>
    </row>
    <row r="6" spans="1:9" x14ac:dyDescent="0.2">
      <c r="A6" t="s">
        <v>136</v>
      </c>
      <c r="B6">
        <v>37.249371989281251</v>
      </c>
      <c r="C6">
        <v>35.811747270984398</v>
      </c>
      <c r="D6">
        <f>TableNFO[[#This Row],[ARIMAPP]]*$I$2+TableNFO[[#This Row],[LSTMPP]]*$I$3</f>
        <v>47.943734147351989</v>
      </c>
      <c r="E6">
        <v>26</v>
      </c>
      <c r="F6">
        <f>ABS(TableNFO[[#This Row],[PP]]-TableNFO[[#This Row],[AP]])</f>
        <v>21.943734147351989</v>
      </c>
    </row>
    <row r="7" spans="1:9" x14ac:dyDescent="0.2">
      <c r="H7" t="s">
        <v>3</v>
      </c>
      <c r="I7">
        <f>AVERAGE(TableNFO[DIFF])/10</f>
        <v>1.3467166822450456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137</v>
      </c>
      <c r="B2">
        <v>21.30434782608695</v>
      </c>
      <c r="C2">
        <v>21.21698613849702</v>
      </c>
      <c r="D2">
        <f>TableSHU[[#This Row],[ARIMAPP]]*$I$2+TableSHU[[#This Row],[LSTMPP]]*$I$3</f>
        <v>23.829082356006619</v>
      </c>
      <c r="E2">
        <v>31</v>
      </c>
      <c r="F2">
        <f>ABS(TableSHU[[#This Row],[PP]]-TableSHU[[#This Row],[AP]])</f>
        <v>7.1709176439933806</v>
      </c>
      <c r="H2" t="s">
        <v>0</v>
      </c>
      <c r="I2">
        <v>3.5552069796999999E-7</v>
      </c>
    </row>
    <row r="3" spans="1:9" x14ac:dyDescent="0.2">
      <c r="A3" t="s">
        <v>138</v>
      </c>
      <c r="B3">
        <v>34.587019189780953</v>
      </c>
      <c r="C3">
        <v>24.639895557936629</v>
      </c>
      <c r="D3">
        <f>TableSHU[[#This Row],[ARIMAPP]]*$I$2+TableSHU[[#This Row],[LSTMPP]]*$I$3</f>
        <v>27.673401440121083</v>
      </c>
      <c r="E3">
        <v>20</v>
      </c>
      <c r="F3">
        <f>ABS(TableSHU[[#This Row],[PP]]-TableSHU[[#This Row],[AP]])</f>
        <v>7.6734014401210828</v>
      </c>
      <c r="H3" t="s">
        <v>1</v>
      </c>
      <c r="I3">
        <v>1.1231130862000001</v>
      </c>
    </row>
    <row r="4" spans="1:9" x14ac:dyDescent="0.2">
      <c r="A4" t="s">
        <v>139</v>
      </c>
      <c r="B4">
        <v>17.999999971959699</v>
      </c>
      <c r="C4">
        <v>16.56667687709815</v>
      </c>
      <c r="D4">
        <f>TableSHU[[#This Row],[ARIMAPP]]*$I$2+TableSHU[[#This Row],[LSTMPP]]*$I$3</f>
        <v>18.606257994888434</v>
      </c>
      <c r="E4">
        <v>29</v>
      </c>
      <c r="F4">
        <f>ABS(TableSHU[[#This Row],[PP]]-TableSHU[[#This Row],[AP]])</f>
        <v>10.393742005111566</v>
      </c>
    </row>
    <row r="5" spans="1:9" x14ac:dyDescent="0.2">
      <c r="A5" t="s">
        <v>140</v>
      </c>
      <c r="B5">
        <v>21.333333333333329</v>
      </c>
      <c r="C5">
        <v>20.678161627951951</v>
      </c>
      <c r="D5">
        <f>TableSHU[[#This Row],[ARIMAPP]]*$I$2+TableSHU[[#This Row],[LSTMPP]]*$I$3</f>
        <v>23.22392150735309</v>
      </c>
      <c r="E5">
        <v>26</v>
      </c>
      <c r="F5">
        <f>ABS(TableSHU[[#This Row],[PP]]-TableSHU[[#This Row],[AP]])</f>
        <v>2.77607849264691</v>
      </c>
      <c r="H5" t="s">
        <v>2</v>
      </c>
      <c r="I5">
        <f>SUM(ABS(TableSHU[[#This Row],[PP]]-TableSHU[[#This Row],[AP]]))</f>
        <v>2.77607849264691</v>
      </c>
    </row>
    <row r="6" spans="1:9" x14ac:dyDescent="0.2">
      <c r="A6" t="s">
        <v>141</v>
      </c>
      <c r="B6">
        <v>28.5</v>
      </c>
      <c r="C6">
        <v>32.06196334286507</v>
      </c>
      <c r="D6">
        <f>TableSHU[[#This Row],[ARIMAPP]]*$I$2+TableSHU[[#This Row],[LSTMPP]]*$I$3</f>
        <v>36.009220731976356</v>
      </c>
      <c r="E6">
        <v>30</v>
      </c>
      <c r="F6">
        <f>ABS(TableSHU[[#This Row],[PP]]-TableSHU[[#This Row],[AP]])</f>
        <v>6.009220731976356</v>
      </c>
    </row>
    <row r="7" spans="1:9" x14ac:dyDescent="0.2">
      <c r="H7" t="s">
        <v>3</v>
      </c>
      <c r="I7">
        <f>AVERAGE(TableSHU[DIFF])/10</f>
        <v>0.68046720627698587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142</v>
      </c>
      <c r="B2">
        <v>44.703236117231398</v>
      </c>
      <c r="C2">
        <v>42.512120406897871</v>
      </c>
      <c r="D2">
        <f>TableTOT[[#This Row],[ARIMAPP]]*$I$2+TableTOT[[#This Row],[LSTMPP]]*$I$3</f>
        <v>44.838322596505982</v>
      </c>
      <c r="E2">
        <v>31</v>
      </c>
      <c r="F2">
        <f>ABS(TableTOT[[#This Row],[PP]]-TableTOT[[#This Row],[AP]])</f>
        <v>13.838322596505982</v>
      </c>
      <c r="H2" t="s">
        <v>0</v>
      </c>
      <c r="I2">
        <v>0.96765724986000001</v>
      </c>
    </row>
    <row r="3" spans="1:9" x14ac:dyDescent="0.2">
      <c r="A3" t="s">
        <v>143</v>
      </c>
      <c r="B3">
        <v>31.86681593031344</v>
      </c>
      <c r="C3">
        <v>38.87658563149261</v>
      </c>
      <c r="D3">
        <f>TableTOT[[#This Row],[ARIMAPP]]*$I$2+TableTOT[[#This Row],[LSTMPP]]*$I$3</f>
        <v>32.28187172394086</v>
      </c>
      <c r="E3">
        <v>46</v>
      </c>
      <c r="F3">
        <f>ABS(TableTOT[[#This Row],[PP]]-TableTOT[[#This Row],[AP]])</f>
        <v>13.71812827605914</v>
      </c>
      <c r="H3" t="s">
        <v>1</v>
      </c>
      <c r="I3">
        <v>3.7187325881000002E-2</v>
      </c>
    </row>
    <row r="4" spans="1:9" x14ac:dyDescent="0.2">
      <c r="A4" t="s">
        <v>144</v>
      </c>
      <c r="B4">
        <v>30.476190476190471</v>
      </c>
      <c r="C4">
        <v>29.657246035142641</v>
      </c>
      <c r="D4">
        <f>TableTOT[[#This Row],[ARIMAPP]]*$I$2+TableTOT[[#This Row],[LSTMPP]]*$I$3</f>
        <v>30.593380335441839</v>
      </c>
      <c r="E4">
        <v>27</v>
      </c>
      <c r="F4">
        <f>ABS(TableTOT[[#This Row],[PP]]-TableTOT[[#This Row],[AP]])</f>
        <v>3.5933803354418394</v>
      </c>
    </row>
    <row r="5" spans="1:9" x14ac:dyDescent="0.2">
      <c r="A5" t="s">
        <v>145</v>
      </c>
      <c r="B5">
        <v>37.533260795898101</v>
      </c>
      <c r="C5">
        <v>50.353077215024037</v>
      </c>
      <c r="D5">
        <f>TableTOT[[#This Row],[ARIMAPP]]*$I$2+TableTOT[[#This Row],[LSTMPP]]*$I$3</f>
        <v>38.191828211543161</v>
      </c>
      <c r="E5">
        <v>26</v>
      </c>
      <c r="F5">
        <f>ABS(TableTOT[[#This Row],[PP]]-TableTOT[[#This Row],[AP]])</f>
        <v>12.191828211543161</v>
      </c>
      <c r="H5" t="s">
        <v>2</v>
      </c>
      <c r="I5">
        <f>SUM(ABS(TableTOT[[#This Row],[PP]]-TableTOT[[#This Row],[AP]]))</f>
        <v>12.191828211543161</v>
      </c>
    </row>
    <row r="6" spans="1:9" x14ac:dyDescent="0.2">
      <c r="A6" t="s">
        <v>146</v>
      </c>
      <c r="B6">
        <v>31.607142857142861</v>
      </c>
      <c r="C6">
        <v>31.72021338256976</v>
      </c>
      <c r="D6">
        <f>TableTOT[[#This Row],[ARIMAPP]]*$I$2+TableTOT[[#This Row],[LSTMPP]]*$I$3</f>
        <v>31.764470845147486</v>
      </c>
      <c r="E6">
        <v>48</v>
      </c>
      <c r="F6">
        <f>ABS(TableTOT[[#This Row],[PP]]-TableTOT[[#This Row],[AP]])</f>
        <v>16.235529154852514</v>
      </c>
    </row>
    <row r="7" spans="1:9" x14ac:dyDescent="0.2">
      <c r="A7" t="s">
        <v>147</v>
      </c>
      <c r="B7">
        <v>51.296296296296269</v>
      </c>
      <c r="C7">
        <v>44.365187647914269</v>
      </c>
      <c r="D7">
        <f>TableTOT[[#This Row],[ARIMAPP]]*$I$2+TableTOT[[#This Row],[LSTMPP]]*$I$3</f>
        <v>51.287055692912453</v>
      </c>
      <c r="E7">
        <v>59</v>
      </c>
      <c r="F7">
        <f>ABS(TableTOT[[#This Row],[PP]]-TableTOT[[#This Row],[AP]])</f>
        <v>7.7129443070875467</v>
      </c>
      <c r="H7" t="s">
        <v>3</v>
      </c>
      <c r="I7">
        <f>AVERAGE(TableTOT[DIFF])/10</f>
        <v>0.82038396362228239</v>
      </c>
    </row>
    <row r="8" spans="1:9" x14ac:dyDescent="0.2">
      <c r="A8" t="s">
        <v>148</v>
      </c>
      <c r="B8">
        <v>23.103448275862061</v>
      </c>
      <c r="C8">
        <v>24.465187973900299</v>
      </c>
      <c r="D8">
        <f>TableTOT[[#This Row],[ARIMAPP]]*$I$2+TableTOT[[#This Row],[LSTMPP]]*$I$3</f>
        <v>23.266014138828794</v>
      </c>
      <c r="E8">
        <v>24</v>
      </c>
      <c r="F8">
        <f>ABS(TableTOT[[#This Row],[PP]]-TableTOT[[#This Row],[AP]])</f>
        <v>0.73398586117120601</v>
      </c>
    </row>
    <row r="9" spans="1:9" x14ac:dyDescent="0.2">
      <c r="A9" t="s">
        <v>149</v>
      </c>
      <c r="B9">
        <v>39.999999999999993</v>
      </c>
      <c r="C9">
        <v>39.86075098136903</v>
      </c>
      <c r="D9">
        <f>TableTOT[[#This Row],[ARIMAPP]]*$I$2+TableTOT[[#This Row],[LSTMPP]]*$I$3</f>
        <v>40.188604731005555</v>
      </c>
      <c r="E9">
        <v>33</v>
      </c>
      <c r="F9">
        <f>ABS(TableTOT[[#This Row],[PP]]-TableTOT[[#This Row],[AP]])</f>
        <v>7.1886047310055545</v>
      </c>
    </row>
    <row r="10" spans="1:9" x14ac:dyDescent="0.2">
      <c r="A10" t="s">
        <v>150</v>
      </c>
      <c r="B10">
        <v>24.731519734482362</v>
      </c>
      <c r="C10">
        <v>37.406085399924983</v>
      </c>
      <c r="D10">
        <f>TableTOT[[#This Row],[ARIMAPP]]*$I$2+TableTOT[[#This Row],[LSTMPP]]*$I$3</f>
        <v>25.322666658827046</v>
      </c>
      <c r="E10">
        <v>31</v>
      </c>
      <c r="F10">
        <f>ABS(TableTOT[[#This Row],[PP]]-TableTOT[[#This Row],[AP]])</f>
        <v>5.6773333411729539</v>
      </c>
    </row>
    <row r="11" spans="1:9" x14ac:dyDescent="0.2">
      <c r="A11" t="s">
        <v>151</v>
      </c>
      <c r="B11">
        <v>26.168494664731231</v>
      </c>
      <c r="C11">
        <v>22.217407344165789</v>
      </c>
      <c r="D11">
        <f>TableTOT[[#This Row],[ARIMAPP]]*$I$2+TableTOT[[#This Row],[LSTMPP]]*$I$3</f>
        <v>26.148339547388325</v>
      </c>
      <c r="E11">
        <v>25</v>
      </c>
      <c r="F11">
        <f>ABS(TableTOT[[#This Row],[PP]]-TableTOT[[#This Row],[AP]])</f>
        <v>1.1483395473883249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1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152</v>
      </c>
      <c r="B2">
        <v>38.710634026001827</v>
      </c>
      <c r="C2">
        <v>36.457202977546388</v>
      </c>
      <c r="D2">
        <f>TableWHU[[#This Row],[ARIMAPP]]*$I$2+TableWHU[[#This Row],[LSTMPP]]*$I$3</f>
        <v>33.469094969483699</v>
      </c>
      <c r="E2">
        <v>29</v>
      </c>
      <c r="F2">
        <f>ABS(TableWHU[[#This Row],[PP]]-TableWHU[[#This Row],[AP]])</f>
        <v>4.4690949694836988</v>
      </c>
      <c r="H2" t="s">
        <v>0</v>
      </c>
      <c r="I2">
        <v>0.86459692050000003</v>
      </c>
    </row>
    <row r="3" spans="1:9" x14ac:dyDescent="0.2">
      <c r="A3" t="s">
        <v>153</v>
      </c>
      <c r="B3">
        <v>31.980931471171729</v>
      </c>
      <c r="C3">
        <v>35.578535020267687</v>
      </c>
      <c r="D3">
        <f>TableWHU[[#This Row],[ARIMAPP]]*$I$2+TableWHU[[#This Row],[LSTMPP]]*$I$3</f>
        <v>27.650614864696614</v>
      </c>
      <c r="E3">
        <v>25</v>
      </c>
      <c r="F3">
        <f>ABS(TableWHU[[#This Row],[PP]]-TableWHU[[#This Row],[AP]])</f>
        <v>2.6506148646966139</v>
      </c>
      <c r="H3" t="s">
        <v>1</v>
      </c>
      <c r="I3">
        <v>0</v>
      </c>
    </row>
    <row r="4" spans="1:9" x14ac:dyDescent="0.2">
      <c r="A4" t="s">
        <v>154</v>
      </c>
      <c r="B4">
        <v>20.090163493900619</v>
      </c>
      <c r="C4">
        <v>17.758489220784149</v>
      </c>
      <c r="D4">
        <f>TableWHU[[#This Row],[ARIMAPP]]*$I$2+TableWHU[[#This Row],[LSTMPP]]*$I$3</f>
        <v>17.369893489167996</v>
      </c>
      <c r="E4">
        <v>25</v>
      </c>
      <c r="F4">
        <f>ABS(TableWHU[[#This Row],[PP]]-TableWHU[[#This Row],[AP]])</f>
        <v>7.6301065108320039</v>
      </c>
    </row>
    <row r="5" spans="1:9" x14ac:dyDescent="0.2">
      <c r="A5" t="s">
        <v>155</v>
      </c>
      <c r="B5">
        <v>44.859154929577457</v>
      </c>
      <c r="C5">
        <v>42.028545507781047</v>
      </c>
      <c r="D5">
        <f>TableWHU[[#This Row],[ARIMAPP]]*$I$2+TableWHU[[#This Row],[LSTMPP]]*$I$3</f>
        <v>38.785087208345068</v>
      </c>
      <c r="E5">
        <v>51</v>
      </c>
      <c r="F5">
        <f>ABS(TableWHU[[#This Row],[PP]]-TableWHU[[#This Row],[AP]])</f>
        <v>12.214912791654932</v>
      </c>
      <c r="H5" t="s">
        <v>2</v>
      </c>
      <c r="I5">
        <f>SUM(ABS(TableWHU[[#This Row],[PP]]-TableWHU[[#This Row],[AP]]))</f>
        <v>12.214912791654932</v>
      </c>
    </row>
    <row r="6" spans="1:9" x14ac:dyDescent="0.2">
      <c r="A6" t="s">
        <v>156</v>
      </c>
      <c r="B6">
        <v>35.371294618282711</v>
      </c>
      <c r="C6">
        <v>33.111437657007542</v>
      </c>
      <c r="D6">
        <f>TableWHU[[#This Row],[ARIMAPP]]*$I$2+TableWHU[[#This Row],[LSTMPP]]*$I$3</f>
        <v>30.581912401065455</v>
      </c>
      <c r="E6">
        <v>32</v>
      </c>
      <c r="F6">
        <f>ABS(TableWHU[[#This Row],[PP]]-TableWHU[[#This Row],[AP]])</f>
        <v>1.4180875989345445</v>
      </c>
    </row>
    <row r="7" spans="1:9" x14ac:dyDescent="0.2">
      <c r="A7" t="s">
        <v>157</v>
      </c>
      <c r="B7">
        <v>32.009428484164737</v>
      </c>
      <c r="C7">
        <v>34.963464980149858</v>
      </c>
      <c r="D7">
        <f>TableWHU[[#This Row],[ARIMAPP]]*$I$2+TableWHU[[#This Row],[LSTMPP]]*$I$3</f>
        <v>27.675253294373814</v>
      </c>
      <c r="E7">
        <v>34</v>
      </c>
      <c r="F7">
        <f>ABS(TableWHU[[#This Row],[PP]]-TableWHU[[#This Row],[AP]])</f>
        <v>6.3247467056261861</v>
      </c>
      <c r="H7" t="s">
        <v>3</v>
      </c>
      <c r="I7">
        <f>AVERAGE(TableWHU[DIFF])/10</f>
        <v>0.62385573315558029</v>
      </c>
    </row>
    <row r="8" spans="1:9" x14ac:dyDescent="0.2">
      <c r="A8" t="s">
        <v>158</v>
      </c>
      <c r="B8">
        <v>29.196731433287749</v>
      </c>
      <c r="C8">
        <v>23.168401125076372</v>
      </c>
      <c r="D8">
        <f>TableWHU[[#This Row],[ARIMAPP]]*$I$2+TableWHU[[#This Row],[LSTMPP]]*$I$3</f>
        <v>25.243404085886141</v>
      </c>
      <c r="E8">
        <v>20</v>
      </c>
      <c r="F8">
        <f>ABS(TableWHU[[#This Row],[PP]]-TableWHU[[#This Row],[AP]])</f>
        <v>5.2434040858861408</v>
      </c>
    </row>
    <row r="9" spans="1:9" x14ac:dyDescent="0.2">
      <c r="A9" t="s">
        <v>159</v>
      </c>
      <c r="B9">
        <v>34.535190703289032</v>
      </c>
      <c r="C9">
        <v>35.517526493781801</v>
      </c>
      <c r="D9">
        <f>TableWHU[[#This Row],[ARIMAPP]]*$I$2+TableWHU[[#This Row],[LSTMPP]]*$I$3</f>
        <v>29.859019530943929</v>
      </c>
      <c r="E9">
        <v>20</v>
      </c>
      <c r="F9">
        <f>ABS(TableWHU[[#This Row],[PP]]-TableWHU[[#This Row],[AP]])</f>
        <v>9.8590195309439288</v>
      </c>
    </row>
    <row r="10" spans="1:9" x14ac:dyDescent="0.2">
      <c r="A10" t="s">
        <v>160</v>
      </c>
      <c r="B10">
        <v>20</v>
      </c>
      <c r="C10">
        <v>18.98500687939762</v>
      </c>
      <c r="D10">
        <f>TableWHU[[#This Row],[ARIMAPP]]*$I$2+TableWHU[[#This Row],[LSTMPP]]*$I$3</f>
        <v>17.29193841</v>
      </c>
      <c r="E10">
        <v>23</v>
      </c>
      <c r="F10">
        <f>ABS(TableWHU[[#This Row],[PP]]-TableWHU[[#This Row],[AP]])</f>
        <v>5.7080615899999998</v>
      </c>
    </row>
    <row r="11" spans="1:9" x14ac:dyDescent="0.2">
      <c r="A11" t="s">
        <v>161</v>
      </c>
      <c r="B11">
        <v>46.111111111111093</v>
      </c>
      <c r="C11">
        <v>54.268719181733147</v>
      </c>
      <c r="D11">
        <f>TableWHU[[#This Row],[ARIMAPP]]*$I$2+TableWHU[[#This Row],[LSTMPP]]*$I$3</f>
        <v>39.867524667499985</v>
      </c>
      <c r="E11">
        <v>33</v>
      </c>
      <c r="F11">
        <f>ABS(TableWHU[[#This Row],[PP]]-TableWHU[[#This Row],[AP]])</f>
        <v>6.8675246674999855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22</v>
      </c>
      <c r="B2">
        <v>28.236010301164399</v>
      </c>
      <c r="C2">
        <v>35.147547529025523</v>
      </c>
      <c r="D2">
        <f>TableAVL[[#This Row],[ARIMAPP]]*$I$2+TableAVL[[#This Row],[LSTMPP]]*$I$3</f>
        <v>32.895918336395759</v>
      </c>
      <c r="E2">
        <v>24</v>
      </c>
      <c r="F2">
        <f>ABS(TableAVL[[#This Row],[PP]]-TableAVL[[#This Row],[AP]])</f>
        <v>8.8959183363957592</v>
      </c>
      <c r="H2" t="s">
        <v>0</v>
      </c>
      <c r="I2">
        <v>1.1650341196</v>
      </c>
    </row>
    <row r="3" spans="1:9" x14ac:dyDescent="0.2">
      <c r="A3" t="s">
        <v>23</v>
      </c>
      <c r="B3">
        <v>25.229532678861482</v>
      </c>
      <c r="C3">
        <v>31.75146527223821</v>
      </c>
      <c r="D3">
        <f>TableAVL[[#This Row],[ARIMAPP]]*$I$2+TableAVL[[#This Row],[LSTMPP]]*$I$3</f>
        <v>29.393269043089695</v>
      </c>
      <c r="E3">
        <v>27</v>
      </c>
      <c r="F3">
        <f>ABS(TableAVL[[#This Row],[PP]]-TableAVL[[#This Row],[AP]])</f>
        <v>2.3932690430896955</v>
      </c>
      <c r="H3" t="s">
        <v>1</v>
      </c>
      <c r="I3">
        <v>8.3481277297999999E-8</v>
      </c>
    </row>
    <row r="4" spans="1:9" x14ac:dyDescent="0.2">
      <c r="A4" t="s">
        <v>24</v>
      </c>
      <c r="B4">
        <v>45.96538403359159</v>
      </c>
      <c r="C4">
        <v>24.52985788850345</v>
      </c>
      <c r="D4">
        <f>TableAVL[[#This Row],[ARIMAPP]]*$I$2+TableAVL[[#This Row],[LSTMPP]]*$I$3</f>
        <v>53.551242767435141</v>
      </c>
      <c r="E4">
        <v>44</v>
      </c>
      <c r="F4">
        <f>ABS(TableAVL[[#This Row],[PP]]-TableAVL[[#This Row],[AP]])</f>
        <v>9.5512427674351414</v>
      </c>
    </row>
    <row r="5" spans="1:9" x14ac:dyDescent="0.2">
      <c r="A5" t="s">
        <v>25</v>
      </c>
      <c r="B5">
        <v>30.612244897959201</v>
      </c>
      <c r="C5">
        <v>27.5355010779836</v>
      </c>
      <c r="D5">
        <f>TableAVL[[#This Row],[ARIMAPP]]*$I$2+TableAVL[[#This Row],[LSTMPP]]*$I$3</f>
        <v>35.664312082372291</v>
      </c>
      <c r="E5">
        <v>30</v>
      </c>
      <c r="F5">
        <f>ABS(TableAVL[[#This Row],[PP]]-TableAVL[[#This Row],[AP]])</f>
        <v>5.664312082372291</v>
      </c>
      <c r="H5" t="s">
        <v>2</v>
      </c>
      <c r="I5">
        <f>SUM(ABS(TableAVL[[#This Row],[PP]]-TableAVL[[#This Row],[AP]]))</f>
        <v>5.664312082372291</v>
      </c>
    </row>
    <row r="6" spans="1:9" x14ac:dyDescent="0.2">
      <c r="A6" t="s">
        <v>26</v>
      </c>
      <c r="B6">
        <v>28.16901408450703</v>
      </c>
      <c r="C6">
        <v>28.36840012571653</v>
      </c>
      <c r="D6">
        <f>TableAVL[[#This Row],[ARIMAPP]]*$I$2+TableAVL[[#This Row],[LSTMPP]]*$I$3</f>
        <v>32.817864892173922</v>
      </c>
      <c r="E6">
        <v>34</v>
      </c>
      <c r="F6">
        <f>ABS(TableAVL[[#This Row],[PP]]-TableAVL[[#This Row],[AP]])</f>
        <v>1.1821351078260776</v>
      </c>
    </row>
    <row r="7" spans="1:9" x14ac:dyDescent="0.2">
      <c r="A7" t="s">
        <v>27</v>
      </c>
      <c r="B7">
        <v>45.520000000000039</v>
      </c>
      <c r="C7">
        <v>40.07552690352771</v>
      </c>
      <c r="D7">
        <f>TableAVL[[#This Row],[ARIMAPP]]*$I$2+TableAVL[[#This Row],[LSTMPP]]*$I$3</f>
        <v>53.032356469748223</v>
      </c>
      <c r="E7">
        <v>80</v>
      </c>
      <c r="F7">
        <f>ABS(TableAVL[[#This Row],[PP]]-TableAVL[[#This Row],[AP]])</f>
        <v>26.967643530251777</v>
      </c>
      <c r="H7" t="s">
        <v>3</v>
      </c>
      <c r="I7">
        <f>AVERAGE(TableAVL[DIFF])/10</f>
        <v>0.74629930287880153</v>
      </c>
    </row>
    <row r="8" spans="1:9" x14ac:dyDescent="0.2">
      <c r="A8" t="s">
        <v>28</v>
      </c>
      <c r="B8">
        <v>31.549295774647881</v>
      </c>
      <c r="C8">
        <v>28.619759290866131</v>
      </c>
      <c r="D8">
        <f>TableAVL[[#This Row],[ARIMAPP]]*$I$2+TableAVL[[#This Row],[LSTMPP]]*$I$3</f>
        <v>36.756008416030959</v>
      </c>
      <c r="E8">
        <v>42</v>
      </c>
      <c r="F8">
        <f>ABS(TableAVL[[#This Row],[PP]]-TableAVL[[#This Row],[AP]])</f>
        <v>5.2439915839690414</v>
      </c>
    </row>
    <row r="9" spans="1:9" x14ac:dyDescent="0.2">
      <c r="A9" t="s">
        <v>29</v>
      </c>
      <c r="B9">
        <v>35.000000000000007</v>
      </c>
      <c r="C9">
        <v>41.07573920075184</v>
      </c>
      <c r="D9">
        <f>TableAVL[[#This Row],[ARIMAPP]]*$I$2+TableAVL[[#This Row],[LSTMPP]]*$I$3</f>
        <v>40.776197615055189</v>
      </c>
      <c r="E9">
        <v>39</v>
      </c>
      <c r="F9">
        <f>ABS(TableAVL[[#This Row],[PP]]-TableAVL[[#This Row],[AP]])</f>
        <v>1.7761976150551888</v>
      </c>
    </row>
    <row r="10" spans="1:9" x14ac:dyDescent="0.2">
      <c r="A10" t="s">
        <v>30</v>
      </c>
      <c r="B10">
        <v>26.802021586779169</v>
      </c>
      <c r="C10">
        <v>43.379670199618303</v>
      </c>
      <c r="D10">
        <f>TableAVL[[#This Row],[ARIMAPP]]*$I$2+TableAVL[[#This Row],[LSTMPP]]*$I$3</f>
        <v>31.225273244243741</v>
      </c>
      <c r="E10">
        <v>31</v>
      </c>
      <c r="F10">
        <f>ABS(TableAVL[[#This Row],[PP]]-TableAVL[[#This Row],[AP]])</f>
        <v>0.22527324424374129</v>
      </c>
    </row>
    <row r="11" spans="1:9" x14ac:dyDescent="0.2">
      <c r="A11" t="s">
        <v>31</v>
      </c>
      <c r="B11">
        <v>34.101957387057759</v>
      </c>
      <c r="C11">
        <v>36.848668193684489</v>
      </c>
      <c r="D11">
        <f>TableAVL[[#This Row],[ARIMAPP]]*$I$2+TableAVL[[#This Row],[LSTMPP]]*$I$3</f>
        <v>39.72994697724144</v>
      </c>
      <c r="E11">
        <v>27</v>
      </c>
      <c r="F11">
        <f>ABS(TableAVL[[#This Row],[PP]]-TableAVL[[#This Row],[AP]])</f>
        <v>12.72994697724144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8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162</v>
      </c>
      <c r="B2">
        <v>26.598450343323549</v>
      </c>
      <c r="C2">
        <v>25.32652840854394</v>
      </c>
      <c r="D2">
        <f>TableWOL[[#This Row],[ARIMAPP]]*$I$2+TableWOL[[#This Row],[LSTMPP]]*$I$3</f>
        <v>30.549166811583678</v>
      </c>
      <c r="E2">
        <v>41</v>
      </c>
      <c r="F2">
        <f>ABS(TableWOL[[#This Row],[PP]]-TableWOL[[#This Row],[AP]])</f>
        <v>10.450833188416322</v>
      </c>
      <c r="H2" t="s">
        <v>0</v>
      </c>
      <c r="I2">
        <v>0.56044095140000005</v>
      </c>
    </row>
    <row r="3" spans="1:9" x14ac:dyDescent="0.2">
      <c r="A3" t="s">
        <v>163</v>
      </c>
      <c r="B3">
        <v>39.016899633414383</v>
      </c>
      <c r="C3">
        <v>45.733140671469833</v>
      </c>
      <c r="D3">
        <f>TableWOL[[#This Row],[ARIMAPP]]*$I$2+TableWOL[[#This Row],[LSTMPP]]*$I$3</f>
        <v>50.112615406204689</v>
      </c>
      <c r="E3">
        <v>31</v>
      </c>
      <c r="F3">
        <f>ABS(TableWOL[[#This Row],[PP]]-TableWOL[[#This Row],[AP]])</f>
        <v>19.112615406204689</v>
      </c>
      <c r="H3" t="s">
        <v>1</v>
      </c>
      <c r="I3">
        <v>0.61762535090000004</v>
      </c>
    </row>
    <row r="4" spans="1:9" x14ac:dyDescent="0.2">
      <c r="A4" t="s">
        <v>164</v>
      </c>
      <c r="B4">
        <v>50.677638941943407</v>
      </c>
      <c r="C4">
        <v>24.642356887300171</v>
      </c>
      <c r="D4">
        <f>TableWOL[[#This Row],[ARIMAPP]]*$I$2+TableWOL[[#This Row],[LSTMPP]]*$I$3</f>
        <v>43.621568502850252</v>
      </c>
      <c r="E4">
        <v>43</v>
      </c>
      <c r="F4">
        <f>ABS(TableWOL[[#This Row],[PP]]-TableWOL[[#This Row],[AP]])</f>
        <v>0.621568502850252</v>
      </c>
    </row>
    <row r="5" spans="1:9" x14ac:dyDescent="0.2">
      <c r="A5" t="s">
        <v>165</v>
      </c>
      <c r="B5">
        <v>18.15789473684211</v>
      </c>
      <c r="C5">
        <v>16.883729511089001</v>
      </c>
      <c r="D5">
        <f>TableWOL[[#This Row],[ARIMAPP]]*$I$2+TableWOL[[#This Row],[LSTMPP]]*$I$3</f>
        <v>20.604247165523876</v>
      </c>
      <c r="E5">
        <v>43</v>
      </c>
      <c r="F5">
        <f>ABS(TableWOL[[#This Row],[PP]]-TableWOL[[#This Row],[AP]])</f>
        <v>22.395752834476124</v>
      </c>
      <c r="H5" t="s">
        <v>2</v>
      </c>
      <c r="I5">
        <f>SUM(ABS(TableWOL[[#This Row],[PP]]-TableWOL[[#This Row],[AP]]))</f>
        <v>22.395752834476124</v>
      </c>
    </row>
    <row r="6" spans="1:9" x14ac:dyDescent="0.2">
      <c r="A6" t="s">
        <v>166</v>
      </c>
      <c r="B6">
        <v>45.741943085696157</v>
      </c>
      <c r="C6">
        <v>27.003737519045501</v>
      </c>
      <c r="D6">
        <f>TableWOL[[#This Row],[ARIMAPP]]*$I$2+TableWOL[[#This Row],[LSTMPP]]*$I$3</f>
        <v>42.313850962644182</v>
      </c>
      <c r="E6">
        <v>54</v>
      </c>
      <c r="F6">
        <f>ABS(TableWOL[[#This Row],[PP]]-TableWOL[[#This Row],[AP]])</f>
        <v>11.686149037355818</v>
      </c>
    </row>
    <row r="7" spans="1:9" x14ac:dyDescent="0.2">
      <c r="A7" t="s">
        <v>167</v>
      </c>
      <c r="B7">
        <v>60.748764029187598</v>
      </c>
      <c r="C7">
        <v>24.808075420254681</v>
      </c>
      <c r="D7">
        <f>TableWOL[[#This Row],[ARIMAPP]]*$I$2+TableWOL[[#This Row],[LSTMPP]]*$I$3</f>
        <v>49.368191395480459</v>
      </c>
      <c r="E7">
        <v>39</v>
      </c>
      <c r="F7">
        <f>ABS(TableWOL[[#This Row],[PP]]-TableWOL[[#This Row],[AP]])</f>
        <v>10.368191395480459</v>
      </c>
      <c r="H7" t="s">
        <v>3</v>
      </c>
      <c r="I7">
        <f>AVERAGE(TableWOL[DIFF])/10</f>
        <v>1.2258811487638159</v>
      </c>
    </row>
    <row r="8" spans="1:9" x14ac:dyDescent="0.2">
      <c r="A8" t="s">
        <v>168</v>
      </c>
      <c r="B8">
        <v>16.810754851688881</v>
      </c>
      <c r="C8">
        <v>16.84191637102677</v>
      </c>
      <c r="D8">
        <f>TableWOL[[#This Row],[ARIMAPP]]*$I$2+TableWOL[[#This Row],[LSTMPP]]*$I$3</f>
        <v>19.823429951316548</v>
      </c>
      <c r="E8">
        <v>31</v>
      </c>
      <c r="F8">
        <f>ABS(TableWOL[[#This Row],[PP]]-TableWOL[[#This Row],[AP]])</f>
        <v>11.176570048683452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32</v>
      </c>
      <c r="B2">
        <v>23.29896907216494</v>
      </c>
      <c r="C2">
        <v>21.822977104784801</v>
      </c>
      <c r="D2">
        <f>TableBOU[[#This Row],[ARIMAPP]]*$I$2+TableBOU[[#This Row],[LSTMPP]]*$I$3</f>
        <v>24.825643353511801</v>
      </c>
      <c r="E2">
        <v>26</v>
      </c>
      <c r="F2">
        <f>ABS(TableBOU[[#This Row],[PP]]-TableBOU[[#This Row],[AP]])</f>
        <v>1.1743566464881994</v>
      </c>
      <c r="H2" t="s">
        <v>0</v>
      </c>
      <c r="I2">
        <v>0.71109564539000003</v>
      </c>
    </row>
    <row r="3" spans="1:9" x14ac:dyDescent="0.2">
      <c r="A3" t="s">
        <v>33</v>
      </c>
      <c r="B3">
        <v>17.057374649071178</v>
      </c>
      <c r="C3">
        <v>15.800844157182841</v>
      </c>
      <c r="D3">
        <f>TableBOU[[#This Row],[ARIMAPP]]*$I$2+TableBOU[[#This Row],[LSTMPP]]*$I$3</f>
        <v>18.108488423625015</v>
      </c>
      <c r="E3">
        <v>29</v>
      </c>
      <c r="F3">
        <f>ABS(TableBOU[[#This Row],[PP]]-TableBOU[[#This Row],[AP]])</f>
        <v>10.891511576374985</v>
      </c>
      <c r="H3" t="s">
        <v>1</v>
      </c>
      <c r="I3">
        <v>0.37840152902000002</v>
      </c>
    </row>
    <row r="4" spans="1:9" x14ac:dyDescent="0.2">
      <c r="A4" t="s">
        <v>34</v>
      </c>
      <c r="B4">
        <v>54.526161069237993</v>
      </c>
      <c r="C4">
        <v>28.924499784905489</v>
      </c>
      <c r="D4">
        <f>TableBOU[[#This Row],[ARIMAPP]]*$I$2+TableBOU[[#This Row],[LSTMPP]]*$I$3</f>
        <v>49.718390640915786</v>
      </c>
      <c r="E4">
        <v>48</v>
      </c>
      <c r="F4">
        <f>ABS(TableBOU[[#This Row],[PP]]-TableBOU[[#This Row],[AP]])</f>
        <v>1.7183906409157856</v>
      </c>
    </row>
    <row r="5" spans="1:9" x14ac:dyDescent="0.2">
      <c r="A5" t="s">
        <v>35</v>
      </c>
      <c r="B5">
        <v>38.205128205128197</v>
      </c>
      <c r="C5">
        <v>39.24141179976489</v>
      </c>
      <c r="D5">
        <f>TableBOU[[#This Row],[ARIMAPP]]*$I$2+TableBOU[[#This Row],[LSTMPP]]*$I$3</f>
        <v>42.016510524167835</v>
      </c>
      <c r="E5">
        <v>23</v>
      </c>
      <c r="F5">
        <f>ABS(TableBOU[[#This Row],[PP]]-TableBOU[[#This Row],[AP]])</f>
        <v>19.016510524167835</v>
      </c>
      <c r="H5" t="s">
        <v>2</v>
      </c>
      <c r="I5">
        <f>SUM(ABS(TableBOU[[#This Row],[PP]]-TableBOU[[#This Row],[AP]]))</f>
        <v>19.016510524167835</v>
      </c>
    </row>
    <row r="6" spans="1:9" x14ac:dyDescent="0.2">
      <c r="A6" t="s">
        <v>36</v>
      </c>
      <c r="B6">
        <v>25.437005863525162</v>
      </c>
      <c r="C6">
        <v>20.80071296034172</v>
      </c>
      <c r="D6">
        <f>TableBOU[[#This Row],[ARIMAPP]]*$I$2+TableBOU[[#This Row],[LSTMPP]]*$I$3</f>
        <v>25.959165690212078</v>
      </c>
      <c r="E6">
        <v>28</v>
      </c>
      <c r="F6">
        <f>ABS(TableBOU[[#This Row],[PP]]-TableBOU[[#This Row],[AP]])</f>
        <v>2.0408343097879218</v>
      </c>
    </row>
    <row r="7" spans="1:9" x14ac:dyDescent="0.2">
      <c r="A7" t="s">
        <v>37</v>
      </c>
      <c r="B7">
        <v>36.374883652022532</v>
      </c>
      <c r="C7">
        <v>37.637200352265971</v>
      </c>
      <c r="D7">
        <f>TableBOU[[#This Row],[ARIMAPP]]*$I$2+TableBOU[[#This Row],[LSTMPP]]*$I$3</f>
        <v>40.107995527850647</v>
      </c>
      <c r="E7">
        <v>32</v>
      </c>
      <c r="F7">
        <f>ABS(TableBOU[[#This Row],[PP]]-TableBOU[[#This Row],[AP]])</f>
        <v>8.1079955278506475</v>
      </c>
      <c r="H7" t="s">
        <v>3</v>
      </c>
      <c r="I7">
        <f>AVERAGE(TableBOU[DIFF])/10</f>
        <v>0.88280446967916748</v>
      </c>
    </row>
    <row r="8" spans="1:9" x14ac:dyDescent="0.2">
      <c r="A8" t="s">
        <v>38</v>
      </c>
      <c r="B8">
        <v>24.615384615384599</v>
      </c>
      <c r="C8">
        <v>24.61229996034152</v>
      </c>
      <c r="D8">
        <f>TableBOU[[#This Row],[ARIMAPP]]*$I$2+TableBOU[[#This Row],[LSTMPP]]*$I$3</f>
        <v>26.817224747292109</v>
      </c>
      <c r="E8">
        <v>41</v>
      </c>
      <c r="F8">
        <f>ABS(TableBOU[[#This Row],[PP]]-TableBOU[[#This Row],[AP]])</f>
        <v>14.182775252707891</v>
      </c>
    </row>
    <row r="9" spans="1:9" x14ac:dyDescent="0.2">
      <c r="A9" t="s">
        <v>39</v>
      </c>
      <c r="B9">
        <v>19.615384615384599</v>
      </c>
      <c r="C9">
        <v>17.431341306035101</v>
      </c>
      <c r="D9">
        <f>TableBOU[[#This Row],[ARIMAPP]]*$I$2+TableBOU[[#This Row],[LSTMPP]]*$I$3</f>
        <v>20.544460785723153</v>
      </c>
      <c r="E9">
        <v>29</v>
      </c>
      <c r="F9">
        <f>ABS(TableBOU[[#This Row],[PP]]-TableBOU[[#This Row],[AP]])</f>
        <v>8.4555392142768468</v>
      </c>
    </row>
    <row r="10" spans="1:9" x14ac:dyDescent="0.2">
      <c r="A10" t="s">
        <v>40</v>
      </c>
      <c r="B10">
        <v>24.17147455230706</v>
      </c>
      <c r="C10">
        <v>26.28763459388275</v>
      </c>
      <c r="D10">
        <f>TableBOU[[#This Row],[ARIMAPP]]*$I$2+TableBOU[[#This Row],[LSTMPP]]*$I$3</f>
        <v>27.135511421445031</v>
      </c>
      <c r="E10">
        <v>41</v>
      </c>
      <c r="F10">
        <f>ABS(TableBOU[[#This Row],[PP]]-TableBOU[[#This Row],[AP]])</f>
        <v>13.864488578554969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41</v>
      </c>
      <c r="B2">
        <v>25.245441025493989</v>
      </c>
      <c r="C2">
        <v>28.565030855753761</v>
      </c>
      <c r="D2">
        <f>TableBRE[[#This Row],[ARIMAPP]]*$I$2+TableBRE[[#This Row],[LSTMPP]]*$I$3</f>
        <v>26.928617595722237</v>
      </c>
      <c r="E2">
        <v>20</v>
      </c>
      <c r="F2">
        <f>ABS(TableBRE[[#This Row],[PP]]-TableBRE[[#This Row],[AP]])</f>
        <v>6.9286175957222369</v>
      </c>
      <c r="H2" t="s">
        <v>0</v>
      </c>
      <c r="I2">
        <v>0.34125592048999998</v>
      </c>
    </row>
    <row r="3" spans="1:9" x14ac:dyDescent="0.2">
      <c r="A3" t="s">
        <v>42</v>
      </c>
      <c r="B3">
        <v>29.85294117647058</v>
      </c>
      <c r="C3">
        <v>31.772970945839159</v>
      </c>
      <c r="D3">
        <f>TableBRE[[#This Row],[ARIMAPP]]*$I$2+TableBRE[[#This Row],[LSTMPP]]*$I$3</f>
        <v>30.557611871028236</v>
      </c>
      <c r="E3">
        <v>23</v>
      </c>
      <c r="F3">
        <f>ABS(TableBRE[[#This Row],[PP]]-TableBRE[[#This Row],[AP]])</f>
        <v>7.5576118710282358</v>
      </c>
      <c r="H3" t="s">
        <v>1</v>
      </c>
      <c r="I3">
        <v>0.64111470675000004</v>
      </c>
    </row>
    <row r="4" spans="1:9" x14ac:dyDescent="0.2">
      <c r="A4" t="s">
        <v>43</v>
      </c>
      <c r="B4">
        <v>25.999999999999979</v>
      </c>
      <c r="C4">
        <v>27.949408327069619</v>
      </c>
      <c r="D4">
        <f>TableBRE[[#This Row],[ARIMAPP]]*$I$2+TableBRE[[#This Row],[LSTMPP]]*$I$3</f>
        <v>26.791430656185241</v>
      </c>
      <c r="E4">
        <v>20</v>
      </c>
      <c r="F4">
        <f>ABS(TableBRE[[#This Row],[PP]]-TableBRE[[#This Row],[AP]])</f>
        <v>6.7914306561852413</v>
      </c>
    </row>
    <row r="5" spans="1:9" x14ac:dyDescent="0.2">
      <c r="A5" t="s">
        <v>44</v>
      </c>
      <c r="B5">
        <v>31.694493192510411</v>
      </c>
      <c r="C5">
        <v>32.165343848141262</v>
      </c>
      <c r="D5">
        <f>TableBRE[[#This Row],[ARIMAPP]]*$I$2+TableBRE[[#This Row],[LSTMPP]]*$I$3</f>
        <v>31.437608437588182</v>
      </c>
      <c r="E5">
        <v>31</v>
      </c>
      <c r="F5">
        <f>ABS(TableBRE[[#This Row],[PP]]-TableBRE[[#This Row],[AP]])</f>
        <v>0.43760843758818169</v>
      </c>
      <c r="H5" t="s">
        <v>2</v>
      </c>
      <c r="I5">
        <f>SUM(ABS(TableBRE[[#This Row],[PP]]-TableBRE[[#This Row],[AP]]))</f>
        <v>0.43760843758818169</v>
      </c>
    </row>
    <row r="6" spans="1:9" x14ac:dyDescent="0.2">
      <c r="A6" t="s">
        <v>45</v>
      </c>
      <c r="B6">
        <v>33.991947073596677</v>
      </c>
      <c r="C6">
        <v>25.94587423494329</v>
      </c>
      <c r="D6">
        <f>TableBRE[[#This Row],[ARIMAPP]]*$I$2+TableBRE[[#This Row],[LSTMPP]]*$I$3</f>
        <v>28.234234739355642</v>
      </c>
      <c r="E6">
        <v>21</v>
      </c>
      <c r="F6">
        <f>ABS(TableBRE[[#This Row],[PP]]-TableBRE[[#This Row],[AP]])</f>
        <v>7.2342347393556423</v>
      </c>
    </row>
    <row r="7" spans="1:9" x14ac:dyDescent="0.2">
      <c r="A7" t="s">
        <v>46</v>
      </c>
      <c r="B7">
        <v>18.24561403508774</v>
      </c>
      <c r="C7">
        <v>18.000216531813379</v>
      </c>
      <c r="D7">
        <f>TableBRE[[#This Row],[ARIMAPP]]*$I$2+TableBRE[[#This Row],[LSTMPP]]*$I$3</f>
        <v>17.766627355679166</v>
      </c>
      <c r="E7">
        <v>39</v>
      </c>
      <c r="F7">
        <f>ABS(TableBRE[[#This Row],[PP]]-TableBRE[[#This Row],[AP]])</f>
        <v>21.233372644320834</v>
      </c>
      <c r="H7" t="s">
        <v>3</v>
      </c>
      <c r="I7">
        <f>AVERAGE(TableBRE[DIFF])/10</f>
        <v>0.83815665019015406</v>
      </c>
    </row>
    <row r="8" spans="1:9" x14ac:dyDescent="0.2">
      <c r="A8" t="s">
        <v>47</v>
      </c>
      <c r="B8">
        <v>23.606557377049182</v>
      </c>
      <c r="C8">
        <v>19.331969552579661</v>
      </c>
      <c r="D8">
        <f>TableBRE[[#This Row],[ARIMAPP]]*$I$2+TableBRE[[#This Row],[LSTMPP]]*$I$3</f>
        <v>20.449887457906954</v>
      </c>
      <c r="E8">
        <v>27</v>
      </c>
      <c r="F8">
        <f>ABS(TableBRE[[#This Row],[PP]]-TableBRE[[#This Row],[AP]])</f>
        <v>6.5501125420930464</v>
      </c>
    </row>
    <row r="9" spans="1:9" x14ac:dyDescent="0.2">
      <c r="A9" t="s">
        <v>48</v>
      </c>
      <c r="B9">
        <v>28.571428571428569</v>
      </c>
      <c r="C9">
        <v>31.086928913636179</v>
      </c>
      <c r="D9">
        <f>TableBRE[[#This Row],[ARIMAPP]]*$I$2+TableBRE[[#This Row],[LSTMPP]]*$I$3</f>
        <v>29.680456471081101</v>
      </c>
      <c r="E9">
        <v>40</v>
      </c>
      <c r="F9">
        <f>ABS(TableBRE[[#This Row],[PP]]-TableBRE[[#This Row],[AP]])</f>
        <v>10.319543528918899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49</v>
      </c>
      <c r="B2">
        <v>30.842696629213489</v>
      </c>
      <c r="C2">
        <v>32.41746648847905</v>
      </c>
      <c r="D2">
        <f>TableBHA[[#This Row],[ARIMAPP]]*$I$2+TableBHA[[#This Row],[LSTMPP]]*$I$3</f>
        <v>40.624932290612364</v>
      </c>
      <c r="E2">
        <v>50</v>
      </c>
      <c r="F2">
        <f>ABS(TableBHA[[#This Row],[PP]]-TableBHA[[#This Row],[AP]])</f>
        <v>9.3750677093876362</v>
      </c>
      <c r="H2" t="s">
        <v>0</v>
      </c>
      <c r="I2">
        <v>1.3171653821</v>
      </c>
    </row>
    <row r="3" spans="1:9" x14ac:dyDescent="0.2">
      <c r="A3" t="s">
        <v>50</v>
      </c>
      <c r="B3">
        <v>35.090909090909108</v>
      </c>
      <c r="C3">
        <v>29.710326467000581</v>
      </c>
      <c r="D3">
        <f>TableBHA[[#This Row],[ARIMAPP]]*$I$2+TableBHA[[#This Row],[LSTMPP]]*$I$3</f>
        <v>46.220530680963655</v>
      </c>
      <c r="E3">
        <v>54</v>
      </c>
      <c r="F3">
        <f>ABS(TableBHA[[#This Row],[PP]]-TableBHA[[#This Row],[AP]])</f>
        <v>7.7794693190363446</v>
      </c>
      <c r="H3" t="s">
        <v>1</v>
      </c>
      <c r="I3">
        <v>0</v>
      </c>
    </row>
    <row r="4" spans="1:9" x14ac:dyDescent="0.2">
      <c r="A4" t="s">
        <v>51</v>
      </c>
      <c r="B4">
        <v>29.98378106103187</v>
      </c>
      <c r="C4">
        <v>33.233289254057667</v>
      </c>
      <c r="D4">
        <f>TableBHA[[#This Row],[ARIMAPP]]*$I$2+TableBHA[[#This Row],[LSTMPP]]*$I$3</f>
        <v>39.493598438056786</v>
      </c>
      <c r="E4">
        <v>30</v>
      </c>
      <c r="F4">
        <f>ABS(TableBHA[[#This Row],[PP]]-TableBHA[[#This Row],[AP]])</f>
        <v>9.4935984380567859</v>
      </c>
    </row>
    <row r="5" spans="1:9" x14ac:dyDescent="0.2">
      <c r="A5" t="s">
        <v>52</v>
      </c>
      <c r="B5">
        <v>24.130434782608699</v>
      </c>
      <c r="C5">
        <v>21.950070249994891</v>
      </c>
      <c r="D5">
        <f>TableBHA[[#This Row],[ARIMAPP]]*$I$2+TableBHA[[#This Row],[LSTMPP]]*$I$3</f>
        <v>31.783773350673918</v>
      </c>
      <c r="E5">
        <v>38</v>
      </c>
      <c r="F5">
        <f>ABS(TableBHA[[#This Row],[PP]]-TableBHA[[#This Row],[AP]])</f>
        <v>6.2162266493260816</v>
      </c>
      <c r="H5" t="s">
        <v>2</v>
      </c>
      <c r="I5">
        <f>SUM(ABS(TableBHA[[#This Row],[PP]]-TableBHA[[#This Row],[AP]]))</f>
        <v>6.2162266493260816</v>
      </c>
    </row>
    <row r="6" spans="1:9" x14ac:dyDescent="0.2">
      <c r="A6" t="s">
        <v>53</v>
      </c>
      <c r="B6">
        <v>15.25729509103652</v>
      </c>
      <c r="C6">
        <v>12.36444560371018</v>
      </c>
      <c r="D6">
        <f>TableBHA[[#This Row],[ARIMAPP]]*$I$2+TableBHA[[#This Row],[LSTMPP]]*$I$3</f>
        <v>20.096380918397571</v>
      </c>
      <c r="E6">
        <v>26</v>
      </c>
      <c r="F6">
        <f>ABS(TableBHA[[#This Row],[PP]]-TableBHA[[#This Row],[AP]])</f>
        <v>5.9036190816024288</v>
      </c>
    </row>
    <row r="7" spans="1:9" x14ac:dyDescent="0.2">
      <c r="A7" t="s">
        <v>54</v>
      </c>
      <c r="B7">
        <v>20.434782608695649</v>
      </c>
      <c r="C7">
        <v>23.353264020552722</v>
      </c>
      <c r="D7">
        <f>TableBHA[[#This Row],[ARIMAPP]]*$I$2+TableBHA[[#This Row],[LSTMPP]]*$I$3</f>
        <v>26.915988242913038</v>
      </c>
      <c r="E7">
        <v>25</v>
      </c>
      <c r="F7">
        <f>ABS(TableBHA[[#This Row],[PP]]-TableBHA[[#This Row],[AP]])</f>
        <v>1.9159882429130377</v>
      </c>
      <c r="H7" t="s">
        <v>3</v>
      </c>
      <c r="I7">
        <f>AVERAGE(TableBHA[DIFF])/10</f>
        <v>0.77462589915984237</v>
      </c>
    </row>
    <row r="8" spans="1:9" x14ac:dyDescent="0.2">
      <c r="A8" t="s">
        <v>55</v>
      </c>
      <c r="B8">
        <v>35.333333333333321</v>
      </c>
      <c r="C8">
        <v>33.800689020569749</v>
      </c>
      <c r="D8">
        <f>TableBHA[[#This Row],[ARIMAPP]]*$I$2+TableBHA[[#This Row],[LSTMPP]]*$I$3</f>
        <v>46.539843500866652</v>
      </c>
      <c r="E8">
        <v>33</v>
      </c>
      <c r="F8">
        <f>ABS(TableBHA[[#This Row],[PP]]-TableBHA[[#This Row],[AP]])</f>
        <v>13.539843500866652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56</v>
      </c>
      <c r="B2">
        <v>23.743939809497959</v>
      </c>
      <c r="C2">
        <v>22.765328732473041</v>
      </c>
      <c r="D2">
        <f>TableBUR[[#This Row],[ARIMAPP]]*$I$2+TableBUR[[#This Row],[LSTMPP]]*$I$3</f>
        <v>23.683729620869649</v>
      </c>
      <c r="E2">
        <v>23</v>
      </c>
      <c r="F2">
        <f>ABS(TableBUR[[#This Row],[PP]]-TableBUR[[#This Row],[AP]])</f>
        <v>0.68372962086964861</v>
      </c>
      <c r="H2" t="s">
        <v>0</v>
      </c>
      <c r="I2">
        <v>0.99746418710999996</v>
      </c>
    </row>
    <row r="3" spans="1:9" x14ac:dyDescent="0.2">
      <c r="A3" t="s">
        <v>57</v>
      </c>
      <c r="B3">
        <v>15.22727272727273</v>
      </c>
      <c r="C3">
        <v>15.25958850669759</v>
      </c>
      <c r="D3">
        <f>TableBUR[[#This Row],[ARIMAPP]]*$I$2+TableBUR[[#This Row],[LSTMPP]]*$I$3</f>
        <v>15.188659212811366</v>
      </c>
      <c r="E3">
        <v>23</v>
      </c>
      <c r="F3">
        <f>ABS(TableBUR[[#This Row],[PP]]-TableBUR[[#This Row],[AP]])</f>
        <v>7.8113407871886338</v>
      </c>
      <c r="H3" t="s">
        <v>1</v>
      </c>
      <c r="I3">
        <v>0</v>
      </c>
    </row>
    <row r="4" spans="1:9" x14ac:dyDescent="0.2">
      <c r="A4" t="s">
        <v>58</v>
      </c>
      <c r="B4">
        <v>18.75</v>
      </c>
      <c r="C4">
        <v>15.463452280489641</v>
      </c>
      <c r="D4">
        <f>TableBUR[[#This Row],[ARIMAPP]]*$I$2+TableBUR[[#This Row],[LSTMPP]]*$I$3</f>
        <v>18.702453508312498</v>
      </c>
      <c r="E4">
        <v>32</v>
      </c>
      <c r="F4">
        <f>ABS(TableBUR[[#This Row],[PP]]-TableBUR[[#This Row],[AP]])</f>
        <v>13.297546491687502</v>
      </c>
    </row>
    <row r="5" spans="1:9" x14ac:dyDescent="0.2">
      <c r="A5" t="s">
        <v>59</v>
      </c>
      <c r="B5">
        <v>33.571428571428577</v>
      </c>
      <c r="C5">
        <v>39.846463683344908</v>
      </c>
      <c r="D5">
        <f>TableBUR[[#This Row],[ARIMAPP]]*$I$2+TableBUR[[#This Row],[LSTMPP]]*$I$3</f>
        <v>33.486297710121434</v>
      </c>
      <c r="E5">
        <v>23</v>
      </c>
      <c r="F5">
        <f>ABS(TableBUR[[#This Row],[PP]]-TableBUR[[#This Row],[AP]])</f>
        <v>10.486297710121434</v>
      </c>
      <c r="H5" t="s">
        <v>2</v>
      </c>
      <c r="I5">
        <f>SUM(ABS(TableBUR[[#This Row],[PP]]-TableBUR[[#This Row],[AP]]))</f>
        <v>10.486297710121434</v>
      </c>
    </row>
    <row r="7" spans="1:9" x14ac:dyDescent="0.2">
      <c r="H7" t="s">
        <v>3</v>
      </c>
      <c r="I7">
        <f>AVERAGE(TableBUR[DIFF])/10</f>
        <v>0.80697286524668033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60</v>
      </c>
      <c r="B2">
        <v>43.789272876530347</v>
      </c>
      <c r="C2">
        <v>55.765495035170517</v>
      </c>
      <c r="D2">
        <f>TableCHE[[#This Row],[ARIMAPP]]*$I$2+TableCHE[[#This Row],[LSTMPP]]*$I$3</f>
        <v>49.179425025904102</v>
      </c>
      <c r="E2">
        <v>30</v>
      </c>
      <c r="F2">
        <f>ABS(TableCHE[[#This Row],[PP]]-TableCHE[[#This Row],[AP]])</f>
        <v>19.179425025904102</v>
      </c>
      <c r="H2" t="s">
        <v>0</v>
      </c>
      <c r="I2">
        <v>1.0889904364</v>
      </c>
    </row>
    <row r="3" spans="1:9" x14ac:dyDescent="0.2">
      <c r="A3" t="s">
        <v>61</v>
      </c>
      <c r="B3">
        <v>27.925100175693611</v>
      </c>
      <c r="C3">
        <v>28.543033164845429</v>
      </c>
      <c r="D3">
        <f>TableCHE[[#This Row],[ARIMAPP]]*$I$2+TableCHE[[#This Row],[LSTMPP]]*$I$3</f>
        <v>31.174511419835305</v>
      </c>
      <c r="E3">
        <v>43</v>
      </c>
      <c r="F3">
        <f>ABS(TableCHE[[#This Row],[PP]]-TableCHE[[#This Row],[AP]])</f>
        <v>11.825488580164695</v>
      </c>
      <c r="H3" t="s">
        <v>1</v>
      </c>
      <c r="I3">
        <v>2.6778667445000001E-2</v>
      </c>
    </row>
    <row r="4" spans="1:9" x14ac:dyDescent="0.2">
      <c r="A4" t="s">
        <v>62</v>
      </c>
      <c r="B4">
        <v>26.86296402585387</v>
      </c>
      <c r="C4">
        <v>33.441030789632819</v>
      </c>
      <c r="D4">
        <f>TableCHE[[#This Row],[ARIMAPP]]*$I$2+TableCHE[[#This Row],[LSTMPP]]*$I$3</f>
        <v>30.149017160045691</v>
      </c>
      <c r="E4">
        <v>42</v>
      </c>
      <c r="F4">
        <f>ABS(TableCHE[[#This Row],[PP]]-TableCHE[[#This Row],[AP]])</f>
        <v>11.850982839954309</v>
      </c>
    </row>
    <row r="5" spans="1:9" x14ac:dyDescent="0.2">
      <c r="A5" t="s">
        <v>63</v>
      </c>
      <c r="B5">
        <v>28.275862068965509</v>
      </c>
      <c r="C5">
        <v>16.764019740768589</v>
      </c>
      <c r="D5">
        <f>TableCHE[[#This Row],[ARIMAPP]]*$I$2+TableCHE[[#This Row],[LSTMPP]]*$I$3</f>
        <v>31.241061483748414</v>
      </c>
      <c r="E5">
        <v>23</v>
      </c>
      <c r="F5">
        <f>ABS(TableCHE[[#This Row],[PP]]-TableCHE[[#This Row],[AP]])</f>
        <v>8.241061483748414</v>
      </c>
      <c r="H5" t="s">
        <v>2</v>
      </c>
      <c r="I5">
        <f>SUM(ABS(TableCHE[[#This Row],[PP]]-TableCHE[[#This Row],[AP]]))</f>
        <v>8.241061483748414</v>
      </c>
    </row>
    <row r="6" spans="1:9" x14ac:dyDescent="0.2">
      <c r="A6" t="s">
        <v>64</v>
      </c>
      <c r="B6">
        <v>24.285714285714281</v>
      </c>
      <c r="C6">
        <v>27.478598059829849</v>
      </c>
      <c r="D6">
        <f>TableCHE[[#This Row],[ARIMAPP]]*$I$2+TableCHE[[#This Row],[LSTMPP]]*$I$3</f>
        <v>27.182750837584717</v>
      </c>
      <c r="E6">
        <v>32</v>
      </c>
      <c r="F6">
        <f>ABS(TableCHE[[#This Row],[PP]]-TableCHE[[#This Row],[AP]])</f>
        <v>4.8172491624152833</v>
      </c>
    </row>
    <row r="7" spans="1:9" x14ac:dyDescent="0.2">
      <c r="A7" t="s">
        <v>65</v>
      </c>
      <c r="B7">
        <v>25.757575757575751</v>
      </c>
      <c r="C7">
        <v>23.524720864454949</v>
      </c>
      <c r="D7">
        <f>TableCHE[[#This Row],[ARIMAPP]]*$I$2+TableCHE[[#This Row],[LSTMPP]]*$I$3</f>
        <v>28.679714341614169</v>
      </c>
      <c r="E7">
        <v>30</v>
      </c>
      <c r="F7">
        <f>ABS(TableCHE[[#This Row],[PP]]-TableCHE[[#This Row],[AP]])</f>
        <v>1.3202856583858313</v>
      </c>
      <c r="H7" t="s">
        <v>3</v>
      </c>
      <c r="I7">
        <f>AVERAGE(TableCHE[DIFF])/10</f>
        <v>0.93284320718056757</v>
      </c>
    </row>
    <row r="8" spans="1:9" x14ac:dyDescent="0.2">
      <c r="A8" t="s">
        <v>66</v>
      </c>
      <c r="B8">
        <v>33.888888888888893</v>
      </c>
      <c r="C8">
        <v>38.493041142834549</v>
      </c>
      <c r="D8">
        <f>TableCHE[[#This Row],[ARIMAPP]]*$I$2+TableCHE[[#This Row],[LSTMPP]]*$I$3</f>
        <v>37.935468247932903</v>
      </c>
      <c r="E8">
        <v>46</v>
      </c>
      <c r="F8">
        <f>ABS(TableCHE[[#This Row],[PP]]-TableCHE[[#This Row],[AP]])</f>
        <v>8.0645317520670972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67</v>
      </c>
      <c r="B2">
        <v>27.70114942528738</v>
      </c>
      <c r="C2">
        <v>26.89841839598461</v>
      </c>
      <c r="D2">
        <f>TableCRY[[#This Row],[ARIMAPP]]*$I$2+TableCRY[[#This Row],[LSTMPP]]*$I$3</f>
        <v>35.048643990368369</v>
      </c>
      <c r="E2">
        <v>37</v>
      </c>
      <c r="F2">
        <f>ABS(TableCRY[[#This Row],[PP]]-TableCRY[[#This Row],[AP]])</f>
        <v>1.9513560096316311</v>
      </c>
      <c r="H2" t="s">
        <v>0</v>
      </c>
      <c r="I2">
        <v>1.2652413957999999</v>
      </c>
    </row>
    <row r="3" spans="1:9" x14ac:dyDescent="0.2">
      <c r="A3" t="s">
        <v>68</v>
      </c>
      <c r="B3">
        <v>30.597265533774589</v>
      </c>
      <c r="C3">
        <v>27.273831687184291</v>
      </c>
      <c r="D3">
        <f>TableCRY[[#This Row],[ARIMAPP]]*$I$2+TableCRY[[#This Row],[LSTMPP]]*$I$3</f>
        <v>38.712930020106114</v>
      </c>
      <c r="E3">
        <v>28</v>
      </c>
      <c r="F3">
        <f>ABS(TableCRY[[#This Row],[PP]]-TableCRY[[#This Row],[AP]])</f>
        <v>10.712930020106114</v>
      </c>
      <c r="H3" t="s">
        <v>1</v>
      </c>
      <c r="I3">
        <v>1.1250674113E-7</v>
      </c>
    </row>
    <row r="4" spans="1:9" x14ac:dyDescent="0.2">
      <c r="A4" t="s">
        <v>69</v>
      </c>
      <c r="B4">
        <v>36.086956521739147</v>
      </c>
      <c r="C4">
        <v>30.524404046538109</v>
      </c>
      <c r="D4">
        <f>TableCRY[[#This Row],[ARIMAPP]]*$I$2+TableCRY[[#This Row],[LSTMPP]]*$I$3</f>
        <v>45.658714673940374</v>
      </c>
      <c r="E4">
        <v>55</v>
      </c>
      <c r="F4">
        <f>ABS(TableCRY[[#This Row],[PP]]-TableCRY[[#This Row],[AP]])</f>
        <v>9.3412853260596265</v>
      </c>
    </row>
    <row r="5" spans="1:9" x14ac:dyDescent="0.2">
      <c r="A5" t="s">
        <v>70</v>
      </c>
      <c r="B5">
        <v>27.49153337807709</v>
      </c>
      <c r="C5">
        <v>28.86115948266767</v>
      </c>
      <c r="D5">
        <f>TableCRY[[#This Row],[ARIMAPP]]*$I$2+TableCRY[[#This Row],[LSTMPP]]*$I$3</f>
        <v>34.783429311035547</v>
      </c>
      <c r="E5">
        <v>26</v>
      </c>
      <c r="F5">
        <f>ABS(TableCRY[[#This Row],[PP]]-TableCRY[[#This Row],[AP]])</f>
        <v>8.7834293110355475</v>
      </c>
      <c r="H5" t="s">
        <v>2</v>
      </c>
      <c r="I5">
        <f>SUM(ABS(TableCRY[[#This Row],[PP]]-TableCRY[[#This Row],[AP]]))</f>
        <v>8.7834293110355475</v>
      </c>
    </row>
    <row r="6" spans="1:9" x14ac:dyDescent="0.2">
      <c r="A6" t="s">
        <v>71</v>
      </c>
      <c r="B6">
        <v>22.29729729729732</v>
      </c>
      <c r="C6">
        <v>20.984024810627979</v>
      </c>
      <c r="D6">
        <f>TableCRY[[#This Row],[ARIMAPP]]*$I$2+TableCRY[[#This Row],[LSTMPP]]*$I$3</f>
        <v>28.211465915844276</v>
      </c>
      <c r="E6">
        <v>47</v>
      </c>
      <c r="F6">
        <f>ABS(TableCRY[[#This Row],[PP]]-TableCRY[[#This Row],[AP]])</f>
        <v>18.788534084155724</v>
      </c>
    </row>
    <row r="7" spans="1:9" x14ac:dyDescent="0.2">
      <c r="A7" t="s">
        <v>72</v>
      </c>
      <c r="B7">
        <v>26.226415094339622</v>
      </c>
      <c r="C7">
        <v>26.330380376553261</v>
      </c>
      <c r="D7">
        <f>TableCRY[[#This Row],[ARIMAPP]]*$I$2+TableCRY[[#This Row],[LSTMPP]]*$I$3</f>
        <v>33.182749003137744</v>
      </c>
      <c r="E7">
        <v>24</v>
      </c>
      <c r="F7">
        <f>ABS(TableCRY[[#This Row],[PP]]-TableCRY[[#This Row],[AP]])</f>
        <v>9.1827490031377437</v>
      </c>
      <c r="H7" t="s">
        <v>3</v>
      </c>
      <c r="I7">
        <f>AVERAGE(TableCRY[DIFF])/10</f>
        <v>0.9793380625687732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73</v>
      </c>
      <c r="B2">
        <v>32.453987730061328</v>
      </c>
      <c r="C2">
        <v>25.35947238396794</v>
      </c>
      <c r="D2">
        <f>TableEVE[[#This Row],[ARIMAPP]]*$I$2+TableEVE[[#This Row],[LSTMPP]]*$I$3</f>
        <v>25.204583875404353</v>
      </c>
      <c r="E2">
        <v>20</v>
      </c>
      <c r="F2">
        <f>ABS(TableEVE[[#This Row],[PP]]-TableEVE[[#This Row],[AP]])</f>
        <v>5.204583875404353</v>
      </c>
      <c r="H2" t="s">
        <v>0</v>
      </c>
      <c r="I2">
        <v>0.57232205430000005</v>
      </c>
    </row>
    <row r="3" spans="1:9" x14ac:dyDescent="0.2">
      <c r="A3" t="s">
        <v>74</v>
      </c>
      <c r="B3">
        <v>35.773195876288632</v>
      </c>
      <c r="C3">
        <v>36.59226045669682</v>
      </c>
      <c r="D3">
        <f>TableEVE[[#This Row],[ARIMAPP]]*$I$2+TableEVE[[#This Row],[LSTMPP]]*$I$3</f>
        <v>30.041148412920961</v>
      </c>
      <c r="E3">
        <v>26</v>
      </c>
      <c r="F3">
        <f>ABS(TableEVE[[#This Row],[PP]]-TableEVE[[#This Row],[AP]])</f>
        <v>4.0411484129209612</v>
      </c>
      <c r="H3" t="s">
        <v>1</v>
      </c>
      <c r="I3">
        <v>0.26145855273000002</v>
      </c>
    </row>
    <row r="4" spans="1:9" x14ac:dyDescent="0.2">
      <c r="A4" t="s">
        <v>75</v>
      </c>
      <c r="B4">
        <v>23.20754716981132</v>
      </c>
      <c r="C4">
        <v>23.691802772879772</v>
      </c>
      <c r="D4">
        <f>TableEVE[[#This Row],[ARIMAPP]]*$I$2+TableEVE[[#This Row],[LSTMPP]]*$I$3</f>
        <v>19.476615536052314</v>
      </c>
      <c r="E4">
        <v>27</v>
      </c>
      <c r="F4">
        <f>ABS(TableEVE[[#This Row],[PP]]-TableEVE[[#This Row],[AP]])</f>
        <v>7.5233844639476857</v>
      </c>
    </row>
    <row r="5" spans="1:9" x14ac:dyDescent="0.2">
      <c r="A5" t="s">
        <v>76</v>
      </c>
      <c r="B5">
        <v>33.900186556609818</v>
      </c>
      <c r="C5">
        <v>35.087366862332189</v>
      </c>
      <c r="D5">
        <f>TableEVE[[#This Row],[ARIMAPP]]*$I$2+TableEVE[[#This Row],[LSTMPP]]*$I$3</f>
        <v>28.575716570164111</v>
      </c>
      <c r="E5">
        <v>32</v>
      </c>
      <c r="F5">
        <f>ABS(TableEVE[[#This Row],[PP]]-TableEVE[[#This Row],[AP]])</f>
        <v>3.4242834298358886</v>
      </c>
      <c r="H5" t="s">
        <v>2</v>
      </c>
      <c r="I5">
        <f>SUM(ABS(TableEVE[[#This Row],[PP]]-TableEVE[[#This Row],[AP]]))</f>
        <v>3.4242834298358886</v>
      </c>
    </row>
    <row r="6" spans="1:9" x14ac:dyDescent="0.2">
      <c r="A6" t="s">
        <v>77</v>
      </c>
      <c r="B6">
        <v>31.629213483146081</v>
      </c>
      <c r="C6">
        <v>27.487116182153851</v>
      </c>
      <c r="D6">
        <f>TableEVE[[#This Row],[ARIMAPP]]*$I$2+TableEVE[[#This Row],[LSTMPP]]*$I$3</f>
        <v>25.288838052274734</v>
      </c>
      <c r="E6">
        <v>29</v>
      </c>
      <c r="F6">
        <f>ABS(TableEVE[[#This Row],[PP]]-TableEVE[[#This Row],[AP]])</f>
        <v>3.711161947725266</v>
      </c>
    </row>
    <row r="7" spans="1:9" x14ac:dyDescent="0.2">
      <c r="A7" t="s">
        <v>78</v>
      </c>
      <c r="B7">
        <v>22.207497570738621</v>
      </c>
      <c r="C7">
        <v>20.01094615309734</v>
      </c>
      <c r="D7">
        <f>TableEVE[[#This Row],[ARIMAPP]]*$I$2+TableEVE[[#This Row],[LSTMPP]]*$I$3</f>
        <v>17.94187365049418</v>
      </c>
      <c r="E7">
        <v>20</v>
      </c>
      <c r="F7">
        <f>ABS(TableEVE[[#This Row],[PP]]-TableEVE[[#This Row],[AP]])</f>
        <v>2.0581263495058195</v>
      </c>
      <c r="H7" t="s">
        <v>3</v>
      </c>
      <c r="I7">
        <f>AVERAGE(TableEVE[DIFF])/10</f>
        <v>0.42827393863103991</v>
      </c>
    </row>
    <row r="8" spans="1:9" x14ac:dyDescent="0.2">
      <c r="A8" t="s">
        <v>79</v>
      </c>
      <c r="B8">
        <v>29.348262035308689</v>
      </c>
      <c r="C8">
        <v>26.733901679080809</v>
      </c>
      <c r="D8">
        <f>TableEVE[[#This Row],[ARIMAPP]]*$I$2+TableEVE[[#This Row],[LSTMPP]]*$I$3</f>
        <v>23.786464860021155</v>
      </c>
      <c r="E8">
        <v>30</v>
      </c>
      <c r="F8">
        <f>ABS(TableEVE[[#This Row],[PP]]-TableEVE[[#This Row],[AP]])</f>
        <v>6.2135351399788448</v>
      </c>
    </row>
    <row r="9" spans="1:9" x14ac:dyDescent="0.2">
      <c r="A9" t="s">
        <v>80</v>
      </c>
      <c r="B9">
        <v>39.396551724137929</v>
      </c>
      <c r="C9">
        <v>40.45654213832524</v>
      </c>
      <c r="D9">
        <f>TableEVE[[#This Row],[ARIMAPP]]*$I$2+TableEVE[[#This Row],[LSTMPP]]*$I$3</f>
        <v>33.125224371041604</v>
      </c>
      <c r="E9">
        <v>25</v>
      </c>
      <c r="F9">
        <f>ABS(TableEVE[[#This Row],[PP]]-TableEVE[[#This Row],[AP]])</f>
        <v>8.1252243710416039</v>
      </c>
    </row>
    <row r="10" spans="1:9" x14ac:dyDescent="0.2">
      <c r="A10" t="s">
        <v>81</v>
      </c>
      <c r="B10">
        <v>30.945714131756311</v>
      </c>
      <c r="C10">
        <v>24.667605535488381</v>
      </c>
      <c r="D10">
        <f>TableEVE[[#This Row],[ARIMAPP]]*$I$2+TableEVE[[#This Row],[LSTMPP]]*$I$3</f>
        <v>24.160471126290645</v>
      </c>
      <c r="E10">
        <v>23</v>
      </c>
      <c r="F10">
        <f>ABS(TableEVE[[#This Row],[PP]]-TableEVE[[#This Row],[AP]])</f>
        <v>1.1604711262906449</v>
      </c>
    </row>
    <row r="11" spans="1:9" x14ac:dyDescent="0.2">
      <c r="A11" t="s">
        <v>82</v>
      </c>
      <c r="B11">
        <v>24.43483572546619</v>
      </c>
      <c r="C11">
        <v>21.609275411616519</v>
      </c>
      <c r="D11">
        <f>TableEVE[[#This Row],[ARIMAPP]]*$I$2+TableEVE[[#This Row],[LSTMPP]]*$I$3</f>
        <v>19.634525253547071</v>
      </c>
      <c r="E11">
        <v>21</v>
      </c>
      <c r="F11">
        <f>ABS(TableEVE[[#This Row],[PP]]-TableEVE[[#This Row],[AP]])</f>
        <v>1.3654747464529287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BOU</vt:lpstr>
      <vt:lpstr>BRE</vt:lpstr>
      <vt:lpstr>BHA</vt:lpstr>
      <vt:lpstr>BUR</vt:lpstr>
      <vt:lpstr>CHE</vt:lpstr>
      <vt:lpstr>CRY</vt:lpstr>
      <vt:lpstr>EVE</vt:lpstr>
      <vt:lpstr>FUL</vt:lpstr>
      <vt:lpstr>LIV</vt:lpstr>
      <vt:lpstr>LUT</vt:lpstr>
      <vt:lpstr>MCI</vt:lpstr>
      <vt:lpstr>MUN</vt:lpstr>
      <vt:lpstr>NEW</vt:lpstr>
      <vt:lpstr>NFO</vt:lpstr>
      <vt:lpstr>SHU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2024-04-19T14:33:31Z</dcterms:created>
  <dcterms:modified xsi:type="dcterms:W3CDTF">2024-04-19T14:49:03Z</dcterms:modified>
</cp:coreProperties>
</file>