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rridog/Documents/GitHub/FPL-Predictor/Predictions/2023-24/"/>
    </mc:Choice>
  </mc:AlternateContent>
  <xr:revisionPtr revIDLastSave="0" documentId="13_ncr:1_{A68E0BAA-108C-404A-8A45-DDA9CEF078E2}" xr6:coauthVersionLast="47" xr6:coauthVersionMax="47" xr10:uidLastSave="{00000000-0000-0000-0000-000000000000}"/>
  <bookViews>
    <workbookView xWindow="240" yWindow="760" windowWidth="27180" windowHeight="18540" xr2:uid="{00000000-000D-0000-FFFF-FFFF00000000}"/>
  </bookViews>
  <sheets>
    <sheet name="Sheet1" sheetId="1" r:id="rId1"/>
  </sheets>
  <definedNames>
    <definedName name="solver_adj" localSheetId="0" hidden="1">Sheet1!$AJ$2:$AJ$143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Sheet1!$AJ$2:$AJ$143</definedName>
    <definedName name="solver_lhs2" localSheetId="0" hidden="1">Sheet1!$AM$11:$AM$30</definedName>
    <definedName name="solver_lhs3" localSheetId="0" hidden="1">Sheet1!$AM$4</definedName>
    <definedName name="solver_lhs4" localSheetId="0" hidden="1">Sheet1!$AM$6:$AM$9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opt" localSheetId="0" hidden="1">Sheet1!$AM$2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el3" localSheetId="0" hidden="1">1</definedName>
    <definedName name="solver_rel4" localSheetId="0" hidden="1">2</definedName>
    <definedName name="solver_rhs1" localSheetId="0" hidden="1">"binary"</definedName>
    <definedName name="solver_rhs2" localSheetId="0" hidden="1">Sheet1!$AN$11:$AN$30</definedName>
    <definedName name="solver_rhs3" localSheetId="0" hidden="1">Sheet1!$AN$4</definedName>
    <definedName name="solver_rhs4" localSheetId="0" hidden="1">Sheet1!$AN$6:$AN$9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136" i="1" l="1"/>
  <c r="AH140" i="1"/>
  <c r="AH123" i="1"/>
  <c r="AH122" i="1"/>
  <c r="AH93" i="1"/>
  <c r="AH92" i="1"/>
  <c r="AH91" i="1"/>
  <c r="AH89" i="1"/>
  <c r="AH50" i="1"/>
  <c r="AH49" i="1"/>
  <c r="AH48" i="1"/>
  <c r="AH47" i="1"/>
  <c r="AM2" i="1"/>
  <c r="AH143" i="1"/>
  <c r="AH142" i="1"/>
  <c r="AH141" i="1"/>
  <c r="AH86" i="1"/>
  <c r="AH87" i="1"/>
  <c r="AH138" i="1"/>
  <c r="AH137" i="1"/>
  <c r="AH135" i="1"/>
  <c r="AH134" i="1"/>
  <c r="AH133" i="1"/>
  <c r="AH132" i="1"/>
  <c r="AH131" i="1"/>
  <c r="AH130" i="1"/>
  <c r="AH129" i="1"/>
  <c r="AH128" i="1"/>
  <c r="AH127" i="1"/>
  <c r="AH126" i="1"/>
  <c r="AH125" i="1"/>
  <c r="AH124" i="1"/>
  <c r="AH121" i="1"/>
  <c r="AH120" i="1"/>
  <c r="AH119" i="1"/>
  <c r="AH118" i="1"/>
  <c r="AH117" i="1"/>
  <c r="AH116" i="1"/>
  <c r="AH115" i="1"/>
  <c r="AH114" i="1"/>
  <c r="AH100" i="1"/>
  <c r="AH112" i="1"/>
  <c r="AH111" i="1"/>
  <c r="AH110" i="1"/>
  <c r="AH109" i="1"/>
  <c r="AH108" i="1"/>
  <c r="AH107" i="1"/>
  <c r="AH106" i="1"/>
  <c r="AH105" i="1"/>
  <c r="AH104" i="1"/>
  <c r="AH103" i="1"/>
  <c r="AH102" i="1"/>
  <c r="AH101" i="1"/>
  <c r="AH58" i="1"/>
  <c r="AH99" i="1"/>
  <c r="AH98" i="1"/>
  <c r="AH97" i="1"/>
  <c r="AH96" i="1"/>
  <c r="AH95" i="1"/>
  <c r="AH94" i="1"/>
  <c r="AH43" i="1"/>
  <c r="AH12" i="1"/>
  <c r="AH85" i="1"/>
  <c r="AH84" i="1"/>
  <c r="AH83" i="1"/>
  <c r="AH82" i="1"/>
  <c r="AH81" i="1"/>
  <c r="AH80" i="1"/>
  <c r="AH79" i="1"/>
  <c r="AH78" i="1"/>
  <c r="AH77" i="1"/>
  <c r="AH76" i="1"/>
  <c r="AH75" i="1"/>
  <c r="AH74" i="1"/>
  <c r="AH73" i="1"/>
  <c r="AH72" i="1"/>
  <c r="AH71" i="1"/>
  <c r="AH70" i="1"/>
  <c r="AH69" i="1"/>
  <c r="AH68" i="1"/>
  <c r="AH67" i="1"/>
  <c r="AH66" i="1"/>
  <c r="AH65" i="1"/>
  <c r="AH64" i="1"/>
  <c r="AH63" i="1"/>
  <c r="AH62" i="1"/>
  <c r="AH61" i="1"/>
  <c r="AH60" i="1"/>
  <c r="AH59" i="1"/>
  <c r="AH8" i="1"/>
  <c r="AH57" i="1"/>
  <c r="AH56" i="1"/>
  <c r="AH55" i="1"/>
  <c r="AH54" i="1"/>
  <c r="AH53" i="1"/>
  <c r="AH52" i="1"/>
  <c r="AH51" i="1"/>
  <c r="AH46" i="1"/>
  <c r="AH45" i="1"/>
  <c r="AH44" i="1"/>
  <c r="AH113" i="1"/>
  <c r="AH139" i="1"/>
  <c r="AH41" i="1"/>
  <c r="AH40" i="1"/>
  <c r="AH39" i="1"/>
  <c r="AH38" i="1"/>
  <c r="AM30" i="1"/>
  <c r="AH37" i="1"/>
  <c r="AM29" i="1"/>
  <c r="AH36" i="1"/>
  <c r="AM28" i="1"/>
  <c r="AH35" i="1"/>
  <c r="AM27" i="1"/>
  <c r="AH34" i="1"/>
  <c r="AM26" i="1"/>
  <c r="AH33" i="1"/>
  <c r="AM25" i="1"/>
  <c r="AH32" i="1"/>
  <c r="AM24" i="1"/>
  <c r="AH31" i="1"/>
  <c r="AM23" i="1"/>
  <c r="AH30" i="1"/>
  <c r="AM22" i="1"/>
  <c r="AH29" i="1"/>
  <c r="AM21" i="1"/>
  <c r="AH28" i="1"/>
  <c r="AM20" i="1"/>
  <c r="AH27" i="1"/>
  <c r="AM19" i="1"/>
  <c r="AH26" i="1"/>
  <c r="AM18" i="1"/>
  <c r="AH25" i="1"/>
  <c r="AM17" i="1"/>
  <c r="AH24" i="1"/>
  <c r="AM16" i="1"/>
  <c r="AH23" i="1"/>
  <c r="AM15" i="1"/>
  <c r="AH22" i="1"/>
  <c r="AM14" i="1"/>
  <c r="AH21" i="1"/>
  <c r="AM13" i="1"/>
  <c r="AH88" i="1"/>
  <c r="AM12" i="1"/>
  <c r="AH19" i="1"/>
  <c r="AM11" i="1"/>
  <c r="AH18" i="1"/>
  <c r="AH17" i="1"/>
  <c r="AH16" i="1"/>
  <c r="AH15" i="1"/>
  <c r="AH14" i="1"/>
  <c r="AH13" i="1"/>
  <c r="AH42" i="1"/>
  <c r="AH11" i="1"/>
  <c r="AH10" i="1"/>
  <c r="AM9" i="1"/>
  <c r="AH9" i="1"/>
  <c r="AM8" i="1"/>
  <c r="AH20" i="1"/>
  <c r="AM7" i="1"/>
  <c r="AH7" i="1"/>
  <c r="AM6" i="1"/>
  <c r="AH6" i="1"/>
  <c r="AH5" i="1"/>
  <c r="AM4" i="1"/>
  <c r="AH4" i="1"/>
  <c r="AH3" i="1"/>
  <c r="AH2" i="1"/>
</calcChain>
</file>

<file path=xl/sharedStrings.xml><?xml version="1.0" encoding="utf-8"?>
<sst xmlns="http://schemas.openxmlformats.org/spreadsheetml/2006/main" count="773" uniqueCount="341">
  <si>
    <t>Total Points</t>
  </si>
  <si>
    <t>MAX</t>
  </si>
  <si>
    <t>Total Cost</t>
  </si>
  <si>
    <t>GKP</t>
  </si>
  <si>
    <t>DEF</t>
  </si>
  <si>
    <t>MID</t>
  </si>
  <si>
    <t>FWD</t>
  </si>
  <si>
    <t>Cost</t>
  </si>
  <si>
    <t>ARS</t>
  </si>
  <si>
    <t>AVL</t>
  </si>
  <si>
    <t>BOU</t>
  </si>
  <si>
    <t>BRE</t>
  </si>
  <si>
    <t>BHA</t>
  </si>
  <si>
    <t>BUR</t>
  </si>
  <si>
    <t>CHE</t>
  </si>
  <si>
    <t>CRY</t>
  </si>
  <si>
    <t>EVE</t>
  </si>
  <si>
    <t>FUL</t>
  </si>
  <si>
    <t>LIV</t>
  </si>
  <si>
    <t>LUT</t>
  </si>
  <si>
    <t>MCI</t>
  </si>
  <si>
    <t>MUN</t>
  </si>
  <si>
    <t>NEW</t>
  </si>
  <si>
    <t>NFO</t>
  </si>
  <si>
    <t>SHU</t>
  </si>
  <si>
    <t>TOT</t>
  </si>
  <si>
    <t>WHU</t>
  </si>
  <si>
    <t>WOL</t>
  </si>
  <si>
    <t>First Name</t>
  </si>
  <si>
    <t>Surname</t>
  </si>
  <si>
    <t>Web Name</t>
  </si>
  <si>
    <t>Position</t>
  </si>
  <si>
    <t>Team</t>
  </si>
  <si>
    <t>ID</t>
  </si>
  <si>
    <t>ARIMA</t>
  </si>
  <si>
    <t>LSTM</t>
  </si>
  <si>
    <t>NEXT</t>
  </si>
  <si>
    <t>Health</t>
  </si>
  <si>
    <t>Selected</t>
  </si>
  <si>
    <t>Gabriel</t>
  </si>
  <si>
    <t>dos Santos Magalhães</t>
  </si>
  <si>
    <t>Kai</t>
  </si>
  <si>
    <t>Havertz</t>
  </si>
  <si>
    <t>Fernando de Jesus</t>
  </si>
  <si>
    <t>G.Jesus</t>
  </si>
  <si>
    <t>Martinelli Silva</t>
  </si>
  <si>
    <t>Martinelli</t>
  </si>
  <si>
    <t>Martin</t>
  </si>
  <si>
    <t>Ødegaard</t>
  </si>
  <si>
    <t>Bukayo</t>
  </si>
  <si>
    <t>Saka</t>
  </si>
  <si>
    <t>William</t>
  </si>
  <si>
    <t>Saliba</t>
  </si>
  <si>
    <t>Leandro</t>
  </si>
  <si>
    <t>Trossard</t>
  </si>
  <si>
    <t>Benjamin</t>
  </si>
  <si>
    <t>White</t>
  </si>
  <si>
    <t>Oleksandr</t>
  </si>
  <si>
    <t>Zinchenko</t>
  </si>
  <si>
    <t>David</t>
  </si>
  <si>
    <t>Raya Martin</t>
  </si>
  <si>
    <t>Raya</t>
  </si>
  <si>
    <t>Declan</t>
  </si>
  <si>
    <t>Rice</t>
  </si>
  <si>
    <t>Leon</t>
  </si>
  <si>
    <t>Bailey</t>
  </si>
  <si>
    <t>Lucas</t>
  </si>
  <si>
    <t>Digne</t>
  </si>
  <si>
    <t>Ezri</t>
  </si>
  <si>
    <t>Konsa Ngoyo</t>
  </si>
  <si>
    <t>Konsa</t>
  </si>
  <si>
    <t>Emiliano</t>
  </si>
  <si>
    <t>Martínez Romero</t>
  </si>
  <si>
    <t>Martinez</t>
  </si>
  <si>
    <t>John</t>
  </si>
  <si>
    <t>McGinn</t>
  </si>
  <si>
    <t>Youri</t>
  </si>
  <si>
    <t>Tielemans</t>
  </si>
  <si>
    <t>Ollie</t>
  </si>
  <si>
    <t>Watkins</t>
  </si>
  <si>
    <t>Pau</t>
  </si>
  <si>
    <t>Torres</t>
  </si>
  <si>
    <t>Moussa</t>
  </si>
  <si>
    <t>Diaby</t>
  </si>
  <si>
    <t>Ryan</t>
  </si>
  <si>
    <t>Christie</t>
  </si>
  <si>
    <t>Lewis</t>
  </si>
  <si>
    <t>Cook</t>
  </si>
  <si>
    <t>L.Cook</t>
  </si>
  <si>
    <t>Justin</t>
  </si>
  <si>
    <t>Kluivert</t>
  </si>
  <si>
    <t>Norberto</t>
  </si>
  <si>
    <t>Murara Neto</t>
  </si>
  <si>
    <t>Neto</t>
  </si>
  <si>
    <t>Antoine</t>
  </si>
  <si>
    <t>Semenyo</t>
  </si>
  <si>
    <t>Marcos</t>
  </si>
  <si>
    <t>Senesi</t>
  </si>
  <si>
    <t>Adam</t>
  </si>
  <si>
    <t>Smith</t>
  </si>
  <si>
    <t>Dominic</t>
  </si>
  <si>
    <t>Solanke</t>
  </si>
  <si>
    <t>Marcus</t>
  </si>
  <si>
    <t>Tavernier</t>
  </si>
  <si>
    <t>Illia</t>
  </si>
  <si>
    <t>Zabarnyi</t>
  </si>
  <si>
    <t>Milos</t>
  </si>
  <si>
    <t>Kerkez</t>
  </si>
  <si>
    <t>Nathan</t>
  </si>
  <si>
    <t>Collins</t>
  </si>
  <si>
    <t>Mark</t>
  </si>
  <si>
    <t>Flekken</t>
  </si>
  <si>
    <t>Mathias</t>
  </si>
  <si>
    <t>Jensen</t>
  </si>
  <si>
    <t>Christian</t>
  </si>
  <si>
    <t>Nørgaard</t>
  </si>
  <si>
    <t>Ethan</t>
  </si>
  <si>
    <t>Pinnock</t>
  </si>
  <si>
    <t>Mads</t>
  </si>
  <si>
    <t>Roerslev Rasmussen</t>
  </si>
  <si>
    <t>Roerslev</t>
  </si>
  <si>
    <t>Yoane</t>
  </si>
  <si>
    <t>Wissa</t>
  </si>
  <si>
    <t>Simon</t>
  </si>
  <si>
    <t>Adingra</t>
  </si>
  <si>
    <t>Dunk</t>
  </si>
  <si>
    <t>Pascal</t>
  </si>
  <si>
    <t>Groß</t>
  </si>
  <si>
    <t>Gross</t>
  </si>
  <si>
    <t>João Pedro</t>
  </si>
  <si>
    <t>Junqueira de Jesus</t>
  </si>
  <si>
    <t>Jan Paul</t>
  </si>
  <si>
    <t>van Hecke</t>
  </si>
  <si>
    <t>Van Hecke</t>
  </si>
  <si>
    <t>Danny</t>
  </si>
  <si>
    <t>Welbeck</t>
  </si>
  <si>
    <t>Josh</t>
  </si>
  <si>
    <t>Brownhill</t>
  </si>
  <si>
    <t>Dara</t>
  </si>
  <si>
    <t>O'Shea</t>
  </si>
  <si>
    <t>Jacob</t>
  </si>
  <si>
    <t>Bruun Larsen</t>
  </si>
  <si>
    <t>Wilson</t>
  </si>
  <si>
    <t>Odobert</t>
  </si>
  <si>
    <t>Levi</t>
  </si>
  <si>
    <t>Colwill</t>
  </si>
  <si>
    <t>Enzo</t>
  </si>
  <si>
    <t>Fernández</t>
  </si>
  <si>
    <t>Conor</t>
  </si>
  <si>
    <t>Gallagher</t>
  </si>
  <si>
    <t>Mykhailo</t>
  </si>
  <si>
    <t>Mudryk</t>
  </si>
  <si>
    <t>Nicolas</t>
  </si>
  <si>
    <t>Jackson</t>
  </si>
  <si>
    <t>N.Jackson</t>
  </si>
  <si>
    <t>Raheem</t>
  </si>
  <si>
    <t>Sterling</t>
  </si>
  <si>
    <t>Thiago</t>
  </si>
  <si>
    <t>Emiliano da Silva</t>
  </si>
  <si>
    <t>T.Silva</t>
  </si>
  <si>
    <t>Cole</t>
  </si>
  <si>
    <t>Palmer</t>
  </si>
  <si>
    <t>Axel</t>
  </si>
  <si>
    <t>Disasi</t>
  </si>
  <si>
    <t>Joachim</t>
  </si>
  <si>
    <t>Andersen</t>
  </si>
  <si>
    <t>Jordan</t>
  </si>
  <si>
    <t>Ayew</t>
  </si>
  <si>
    <t>J.Ayew</t>
  </si>
  <si>
    <t>Eberechi</t>
  </si>
  <si>
    <t>Eze</t>
  </si>
  <si>
    <t>Jefferson</t>
  </si>
  <si>
    <t>Lerma Solís</t>
  </si>
  <si>
    <t>Lerma</t>
  </si>
  <si>
    <t>Jean-Philippe</t>
  </si>
  <si>
    <t>Mateta</t>
  </si>
  <si>
    <t>Tyrick</t>
  </si>
  <si>
    <t>Mitchell</t>
  </si>
  <si>
    <t>Calvert-Lewin</t>
  </si>
  <si>
    <t>Dwight</t>
  </si>
  <si>
    <t>McNeil</t>
  </si>
  <si>
    <t>Vitalii</t>
  </si>
  <si>
    <t>Mykolenko</t>
  </si>
  <si>
    <t>Pickford</t>
  </si>
  <si>
    <t>Ashley</t>
  </si>
  <si>
    <t>Young</t>
  </si>
  <si>
    <t>Alex</t>
  </si>
  <si>
    <t>Iwobi</t>
  </si>
  <si>
    <t>Andreas</t>
  </si>
  <si>
    <t>Hoelgebaum Pereira</t>
  </si>
  <si>
    <t>Bobby</t>
  </si>
  <si>
    <t>De Cordova-Reid</t>
  </si>
  <si>
    <t>Bernd</t>
  </si>
  <si>
    <t>Leno</t>
  </si>
  <si>
    <t>João</t>
  </si>
  <si>
    <t>Palhinha Gonçalves</t>
  </si>
  <si>
    <t>J.Palhinha</t>
  </si>
  <si>
    <t>Antonee</t>
  </si>
  <si>
    <t>Robinson</t>
  </si>
  <si>
    <t>Willian</t>
  </si>
  <si>
    <t>Borges da Silva</t>
  </si>
  <si>
    <t>Calvin</t>
  </si>
  <si>
    <t>Bassey</t>
  </si>
  <si>
    <t>Timothy</t>
  </si>
  <si>
    <t>Castagne</t>
  </si>
  <si>
    <t>Alisson</t>
  </si>
  <si>
    <t>Ramses Becker</t>
  </si>
  <si>
    <t>A.Becker</t>
  </si>
  <si>
    <t>Darwin</t>
  </si>
  <si>
    <t>Núñez Ribeiro</t>
  </si>
  <si>
    <t>Cody</t>
  </si>
  <si>
    <t>Gakpo</t>
  </si>
  <si>
    <t>Joe</t>
  </si>
  <si>
    <t>Gomez</t>
  </si>
  <si>
    <t>Luis</t>
  </si>
  <si>
    <t>Díaz</t>
  </si>
  <si>
    <t>Luis Díaz</t>
  </si>
  <si>
    <t>Alexis</t>
  </si>
  <si>
    <t>Mac Allister</t>
  </si>
  <si>
    <t>Mohamed</t>
  </si>
  <si>
    <t>Salah</t>
  </si>
  <si>
    <t>Virgil</t>
  </si>
  <si>
    <t>van Dijk</t>
  </si>
  <si>
    <t>Alfie</t>
  </si>
  <si>
    <t>Doughty</t>
  </si>
  <si>
    <t>Carlton</t>
  </si>
  <si>
    <t>Morris</t>
  </si>
  <si>
    <t>Chiedozie</t>
  </si>
  <si>
    <t>Ogbene</t>
  </si>
  <si>
    <t>Tahith</t>
  </si>
  <si>
    <t>Chong</t>
  </si>
  <si>
    <t>Thomas</t>
  </si>
  <si>
    <t>Kaminski</t>
  </si>
  <si>
    <t>Ross</t>
  </si>
  <si>
    <t>Barkley</t>
  </si>
  <si>
    <t>Manuel</t>
  </si>
  <si>
    <t>Akanji</t>
  </si>
  <si>
    <t>Aké</t>
  </si>
  <si>
    <t>Julián</t>
  </si>
  <si>
    <t>Álvarez</t>
  </si>
  <si>
    <t>J.Alvarez</t>
  </si>
  <si>
    <t>Bernardo</t>
  </si>
  <si>
    <t>Veiga de Carvalho e Silva</t>
  </si>
  <si>
    <t>Rúben</t>
  </si>
  <si>
    <t>Gato Alves Dias</t>
  </si>
  <si>
    <t>Ederson</t>
  </si>
  <si>
    <t>Santana de Moraes</t>
  </si>
  <si>
    <t>Ederson M.</t>
  </si>
  <si>
    <t>Phil</t>
  </si>
  <si>
    <t>Foden</t>
  </si>
  <si>
    <t>Erling</t>
  </si>
  <si>
    <t>Haaland</t>
  </si>
  <si>
    <t>Rodrigo</t>
  </si>
  <si>
    <t>Hernandez</t>
  </si>
  <si>
    <t>Kyle</t>
  </si>
  <si>
    <t>Walker</t>
  </si>
  <si>
    <t>Bruno</t>
  </si>
  <si>
    <t>Borges Fernandes</t>
  </si>
  <si>
    <t>B.Fernandes</t>
  </si>
  <si>
    <t>Diogo</t>
  </si>
  <si>
    <t>Dalot Teixeira</t>
  </si>
  <si>
    <t>Dalot</t>
  </si>
  <si>
    <t>Alejandro</t>
  </si>
  <si>
    <t>Garnacho</t>
  </si>
  <si>
    <t>Rashford</t>
  </si>
  <si>
    <t>André</t>
  </si>
  <si>
    <t>Onana</t>
  </si>
  <si>
    <t>Rasmus</t>
  </si>
  <si>
    <t>Højlund</t>
  </si>
  <si>
    <t>Guimarães Rodriguez Moura</t>
  </si>
  <si>
    <t>Bruno G.</t>
  </si>
  <si>
    <t>Dan</t>
  </si>
  <si>
    <t>Burn</t>
  </si>
  <si>
    <t>Anthony</t>
  </si>
  <si>
    <t>Gordon</t>
  </si>
  <si>
    <t>Alexander</t>
  </si>
  <si>
    <t>Isak</t>
  </si>
  <si>
    <t>Sean</t>
  </si>
  <si>
    <t>Longstaff</t>
  </si>
  <si>
    <t>Fabian</t>
  </si>
  <si>
    <t>Schär</t>
  </si>
  <si>
    <t>Kieran</t>
  </si>
  <si>
    <t>Trippier</t>
  </si>
  <si>
    <t>Callum</t>
  </si>
  <si>
    <t>Hudson-Odoi</t>
  </si>
  <si>
    <t>Elanga</t>
  </si>
  <si>
    <t>Danilo</t>
  </si>
  <si>
    <t>dos Santos de Oliveira</t>
  </si>
  <si>
    <t>Morgan</t>
  </si>
  <si>
    <t>Gibbs-White</t>
  </si>
  <si>
    <t>Chris</t>
  </si>
  <si>
    <t>Wood</t>
  </si>
  <si>
    <t>Cameron</t>
  </si>
  <si>
    <t>Archer</t>
  </si>
  <si>
    <t>Gustavo</t>
  </si>
  <si>
    <t>Hamer</t>
  </si>
  <si>
    <t>Brennan</t>
  </si>
  <si>
    <t>Johnson</t>
  </si>
  <si>
    <t>Pedro</t>
  </si>
  <si>
    <t>Porro</t>
  </si>
  <si>
    <t>Pedro Porro</t>
  </si>
  <si>
    <t>Son</t>
  </si>
  <si>
    <t>Heung-min</t>
  </si>
  <si>
    <t>Guglielmo</t>
  </si>
  <si>
    <t>Vicario</t>
  </si>
  <si>
    <t>Alphonse</t>
  </si>
  <si>
    <t>Areola</t>
  </si>
  <si>
    <t>Jarrod</t>
  </si>
  <si>
    <t>Bowen</t>
  </si>
  <si>
    <t>Vladimír</t>
  </si>
  <si>
    <t>Coufal</t>
  </si>
  <si>
    <t>Tolentino Coelho de Lima</t>
  </si>
  <si>
    <t>L.Paquetá</t>
  </si>
  <si>
    <t>Kurt</t>
  </si>
  <si>
    <t>Zouma</t>
  </si>
  <si>
    <t>Edson</t>
  </si>
  <si>
    <t>Álvarez Velázquez</t>
  </si>
  <si>
    <t>James</t>
  </si>
  <si>
    <t>Ward-Prowse</t>
  </si>
  <si>
    <t>Mohammed</t>
  </si>
  <si>
    <t>Kudus</t>
  </si>
  <si>
    <t>Rayan</t>
  </si>
  <si>
    <t>Aït-Nouri</t>
  </si>
  <si>
    <t>Craig</t>
  </si>
  <si>
    <t>Dawson</t>
  </si>
  <si>
    <t>Hwang</t>
  </si>
  <si>
    <t>Hee-chan</t>
  </si>
  <si>
    <t>Hee Chan</t>
  </si>
  <si>
    <t>Max</t>
  </si>
  <si>
    <t>Kilman</t>
  </si>
  <si>
    <t>José</t>
  </si>
  <si>
    <t>Malheiro de Sá</t>
  </si>
  <si>
    <t>José Sá</t>
  </si>
  <si>
    <t>Pablo</t>
  </si>
  <si>
    <t>Sarabia</t>
  </si>
  <si>
    <t>Toti António</t>
  </si>
  <si>
    <t>Gomes</t>
  </si>
  <si>
    <t>Toti</t>
  </si>
  <si>
    <t>Matheus</t>
  </si>
  <si>
    <t>Santos Carneiro Da Cunha</t>
  </si>
  <si>
    <t>Cunha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</si>
</sst>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J143" totalsRowShown="0">
  <autoFilter ref="A1:AJ143" xr:uid="{00000000-0009-0000-0100-000001000000}">
    <filterColumn colId="35">
      <filters>
        <filter val="1"/>
      </filters>
    </filterColumn>
  </autoFilter>
  <sortState xmlns:xlrd2="http://schemas.microsoft.com/office/spreadsheetml/2017/richdata2" ref="A7:AJ140">
    <sortCondition descending="1" ref="AH1:AH143"/>
  </sortState>
  <tableColumns count="36">
    <tableColumn id="1" xr3:uid="{00000000-0010-0000-0000-000001000000}" name="First Name"/>
    <tableColumn id="2" xr3:uid="{00000000-0010-0000-0000-000002000000}" name="Surname"/>
    <tableColumn id="3" xr3:uid="{00000000-0010-0000-0000-000003000000}" name="Web Name"/>
    <tableColumn id="4" xr3:uid="{00000000-0010-0000-0000-000004000000}" name="Position"/>
    <tableColumn id="5" xr3:uid="{00000000-0010-0000-0000-000005000000}" name="GKP"/>
    <tableColumn id="6" xr3:uid="{00000000-0010-0000-0000-000006000000}" name="DEF"/>
    <tableColumn id="7" xr3:uid="{00000000-0010-0000-0000-000007000000}" name="MID"/>
    <tableColumn id="8" xr3:uid="{00000000-0010-0000-0000-000008000000}" name="FWD"/>
    <tableColumn id="9" xr3:uid="{00000000-0010-0000-0000-000009000000}" name="Team"/>
    <tableColumn id="10" xr3:uid="{00000000-0010-0000-0000-00000A000000}" name="ARS"/>
    <tableColumn id="11" xr3:uid="{00000000-0010-0000-0000-00000B000000}" name="AVL"/>
    <tableColumn id="12" xr3:uid="{00000000-0010-0000-0000-00000C000000}" name="BOU"/>
    <tableColumn id="13" xr3:uid="{00000000-0010-0000-0000-00000D000000}" name="BRE"/>
    <tableColumn id="14" xr3:uid="{00000000-0010-0000-0000-00000E000000}" name="BHA"/>
    <tableColumn id="15" xr3:uid="{00000000-0010-0000-0000-00000F000000}" name="BUR"/>
    <tableColumn id="16" xr3:uid="{00000000-0010-0000-0000-000010000000}" name="CHE"/>
    <tableColumn id="17" xr3:uid="{00000000-0010-0000-0000-000011000000}" name="CRY"/>
    <tableColumn id="18" xr3:uid="{00000000-0010-0000-0000-000012000000}" name="EVE"/>
    <tableColumn id="19" xr3:uid="{00000000-0010-0000-0000-000013000000}" name="FUL"/>
    <tableColumn id="20" xr3:uid="{00000000-0010-0000-0000-000014000000}" name="LIV"/>
    <tableColumn id="21" xr3:uid="{00000000-0010-0000-0000-000015000000}" name="LUT"/>
    <tableColumn id="22" xr3:uid="{00000000-0010-0000-0000-000016000000}" name="MCI"/>
    <tableColumn id="23" xr3:uid="{00000000-0010-0000-0000-000017000000}" name="MUN"/>
    <tableColumn id="24" xr3:uid="{00000000-0010-0000-0000-000018000000}" name="NEW"/>
    <tableColumn id="25" xr3:uid="{00000000-0010-0000-0000-000019000000}" name="NFO"/>
    <tableColumn id="26" xr3:uid="{00000000-0010-0000-0000-00001A000000}" name="SHU"/>
    <tableColumn id="27" xr3:uid="{00000000-0010-0000-0000-00001B000000}" name="TOT"/>
    <tableColumn id="28" xr3:uid="{00000000-0010-0000-0000-00001C000000}" name="WHU"/>
    <tableColumn id="29" xr3:uid="{00000000-0010-0000-0000-00001D000000}" name="WOL"/>
    <tableColumn id="30" xr3:uid="{00000000-0010-0000-0000-00001E000000}" name="Cost"/>
    <tableColumn id="31" xr3:uid="{00000000-0010-0000-0000-00001F000000}" name="ID"/>
    <tableColumn id="32" xr3:uid="{00000000-0010-0000-0000-000020000000}" name="ARIMA"/>
    <tableColumn id="33" xr3:uid="{00000000-0010-0000-0000-000021000000}" name="LSTM"/>
    <tableColumn id="35" xr3:uid="{00000000-0010-0000-0000-000023000000}" name="NEXT"/>
    <tableColumn id="36" xr3:uid="{00000000-0010-0000-0000-000024000000}" name="Health"/>
    <tableColumn id="38" xr3:uid="{00000000-0010-0000-0000-000026000000}" name="Select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43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5" max="8" width="0" hidden="1" customWidth="1"/>
    <col min="10" max="29" width="0" hidden="1" customWidth="1"/>
    <col min="31" max="33" width="0" hidden="1" customWidth="1"/>
  </cols>
  <sheetData>
    <row r="1" spans="1:40" x14ac:dyDescent="0.2">
      <c r="A1" t="s">
        <v>28</v>
      </c>
      <c r="B1" t="s">
        <v>29</v>
      </c>
      <c r="C1" t="s">
        <v>30</v>
      </c>
      <c r="D1" t="s">
        <v>31</v>
      </c>
      <c r="E1" t="s">
        <v>3</v>
      </c>
      <c r="F1" t="s">
        <v>4</v>
      </c>
      <c r="G1" t="s">
        <v>5</v>
      </c>
      <c r="H1" t="s">
        <v>6</v>
      </c>
      <c r="I1" t="s">
        <v>32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7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</row>
    <row r="2" spans="1:40" x14ac:dyDescent="0.2">
      <c r="A2" t="s">
        <v>39</v>
      </c>
      <c r="B2" t="s">
        <v>40</v>
      </c>
      <c r="C2" s="1" t="s">
        <v>39</v>
      </c>
      <c r="D2" t="s">
        <v>4</v>
      </c>
      <c r="E2">
        <v>0</v>
      </c>
      <c r="F2">
        <v>1</v>
      </c>
      <c r="G2">
        <v>0</v>
      </c>
      <c r="H2">
        <v>0</v>
      </c>
      <c r="I2" t="s">
        <v>8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5.4</v>
      </c>
      <c r="AE2">
        <v>4</v>
      </c>
      <c r="AF2">
        <v>24.120482169986559</v>
      </c>
      <c r="AG2">
        <v>0</v>
      </c>
      <c r="AH2">
        <f>12.1759742153241*1</f>
        <v>12.1759742153241</v>
      </c>
      <c r="AI2">
        <v>1</v>
      </c>
      <c r="AJ2">
        <v>1</v>
      </c>
      <c r="AL2" t="s">
        <v>0</v>
      </c>
      <c r="AM2">
        <f>SUMPRODUCT(Table1[Selected], Table1[NEXT])</f>
        <v>175.91156252678604</v>
      </c>
      <c r="AN2" t="s">
        <v>1</v>
      </c>
    </row>
    <row r="3" spans="1:40" hidden="1" x14ac:dyDescent="0.2">
      <c r="A3" t="s">
        <v>41</v>
      </c>
      <c r="B3" t="s">
        <v>42</v>
      </c>
      <c r="C3" t="s">
        <v>42</v>
      </c>
      <c r="D3" t="s">
        <v>5</v>
      </c>
      <c r="E3">
        <v>0</v>
      </c>
      <c r="F3">
        <v>0</v>
      </c>
      <c r="G3">
        <v>1</v>
      </c>
      <c r="H3">
        <v>0</v>
      </c>
      <c r="I3" t="s">
        <v>8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7.4</v>
      </c>
      <c r="AE3">
        <v>5</v>
      </c>
      <c r="AF3">
        <v>20.838844897966251</v>
      </c>
      <c r="AG3">
        <v>0</v>
      </c>
      <c r="AH3">
        <f>8.6143367413091*1</f>
        <v>8.6143367413090992</v>
      </c>
      <c r="AI3">
        <v>1</v>
      </c>
      <c r="AJ3">
        <v>0</v>
      </c>
    </row>
    <row r="4" spans="1:40" hidden="1" x14ac:dyDescent="0.2">
      <c r="A4" t="s">
        <v>39</v>
      </c>
      <c r="B4" t="s">
        <v>43</v>
      </c>
      <c r="C4" t="s">
        <v>44</v>
      </c>
      <c r="D4" t="s">
        <v>6</v>
      </c>
      <c r="E4">
        <v>0</v>
      </c>
      <c r="F4">
        <v>0</v>
      </c>
      <c r="G4">
        <v>0</v>
      </c>
      <c r="H4">
        <v>1</v>
      </c>
      <c r="I4" t="s">
        <v>8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7.7</v>
      </c>
      <c r="AE4">
        <v>6</v>
      </c>
      <c r="AF4">
        <v>24.037037037037049</v>
      </c>
      <c r="AG4">
        <v>0</v>
      </c>
      <c r="AH4">
        <f>10.3754569670209*1</f>
        <v>10.3754569670209</v>
      </c>
      <c r="AI4">
        <v>1</v>
      </c>
      <c r="AJ4">
        <v>0</v>
      </c>
      <c r="AL4" t="s">
        <v>2</v>
      </c>
      <c r="AM4">
        <f>SUMPRODUCT(Table1[Selected],Table1[Cost])</f>
        <v>96.4</v>
      </c>
      <c r="AN4">
        <v>100</v>
      </c>
    </row>
    <row r="5" spans="1:40" hidden="1" x14ac:dyDescent="0.2">
      <c r="A5" t="s">
        <v>39</v>
      </c>
      <c r="B5" t="s">
        <v>45</v>
      </c>
      <c r="C5" t="s">
        <v>46</v>
      </c>
      <c r="D5" t="s">
        <v>5</v>
      </c>
      <c r="E5">
        <v>0</v>
      </c>
      <c r="F5">
        <v>0</v>
      </c>
      <c r="G5">
        <v>1</v>
      </c>
      <c r="H5">
        <v>0</v>
      </c>
      <c r="I5" t="s">
        <v>8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7.6</v>
      </c>
      <c r="AE5">
        <v>10</v>
      </c>
      <c r="AF5">
        <v>28.190476190476179</v>
      </c>
      <c r="AG5">
        <v>0</v>
      </c>
      <c r="AH5">
        <f>12.1682665023746*1</f>
        <v>12.1682665023746</v>
      </c>
      <c r="AI5">
        <v>1</v>
      </c>
      <c r="AJ5">
        <v>0</v>
      </c>
    </row>
    <row r="6" spans="1:40" x14ac:dyDescent="0.2">
      <c r="A6" t="s">
        <v>47</v>
      </c>
      <c r="B6" t="s">
        <v>48</v>
      </c>
      <c r="C6" s="1" t="s">
        <v>48</v>
      </c>
      <c r="D6" t="s">
        <v>5</v>
      </c>
      <c r="E6">
        <v>0</v>
      </c>
      <c r="F6">
        <v>0</v>
      </c>
      <c r="G6">
        <v>1</v>
      </c>
      <c r="H6">
        <v>0</v>
      </c>
      <c r="I6" t="s">
        <v>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8.6</v>
      </c>
      <c r="AE6">
        <v>12</v>
      </c>
      <c r="AF6">
        <v>31.18027077401938</v>
      </c>
      <c r="AG6">
        <v>0</v>
      </c>
      <c r="AH6">
        <f>13.4587951558849*1</f>
        <v>13.4587951558849</v>
      </c>
      <c r="AI6">
        <v>1</v>
      </c>
      <c r="AJ6">
        <v>1</v>
      </c>
      <c r="AL6" t="s">
        <v>3</v>
      </c>
      <c r="AM6">
        <f>SUMPRODUCT(Table1[Selected],Table1[GKP])</f>
        <v>2</v>
      </c>
      <c r="AN6">
        <v>2</v>
      </c>
    </row>
    <row r="7" spans="1:40" x14ac:dyDescent="0.2">
      <c r="A7" t="s">
        <v>49</v>
      </c>
      <c r="B7" t="s">
        <v>50</v>
      </c>
      <c r="C7" s="1" t="s">
        <v>50</v>
      </c>
      <c r="D7" t="s">
        <v>5</v>
      </c>
      <c r="E7">
        <v>0</v>
      </c>
      <c r="F7">
        <v>0</v>
      </c>
      <c r="G7">
        <v>1</v>
      </c>
      <c r="H7">
        <v>0</v>
      </c>
      <c r="I7" t="s">
        <v>8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9</v>
      </c>
      <c r="AE7">
        <v>17</v>
      </c>
      <c r="AF7">
        <v>35.909393187306492</v>
      </c>
      <c r="AG7">
        <v>0</v>
      </c>
      <c r="AH7">
        <f>15.0245447584523*1</f>
        <v>15.024544758452301</v>
      </c>
      <c r="AI7">
        <v>1</v>
      </c>
      <c r="AJ7">
        <v>1</v>
      </c>
      <c r="AL7" t="s">
        <v>4</v>
      </c>
      <c r="AM7">
        <f>SUMPRODUCT(Table1[Selected],Table1[DEF])</f>
        <v>5</v>
      </c>
      <c r="AN7">
        <v>5</v>
      </c>
    </row>
    <row r="8" spans="1:40" x14ac:dyDescent="0.2">
      <c r="A8" t="s">
        <v>160</v>
      </c>
      <c r="B8" t="s">
        <v>161</v>
      </c>
      <c r="C8" s="1" t="s">
        <v>161</v>
      </c>
      <c r="D8" t="s">
        <v>5</v>
      </c>
      <c r="E8">
        <v>0</v>
      </c>
      <c r="F8">
        <v>0</v>
      </c>
      <c r="G8">
        <v>1</v>
      </c>
      <c r="H8">
        <v>0</v>
      </c>
      <c r="I8" t="s">
        <v>14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6.1</v>
      </c>
      <c r="AE8">
        <v>283</v>
      </c>
      <c r="AF8">
        <v>112.889106153996</v>
      </c>
      <c r="AG8">
        <v>22.955612747050811</v>
      </c>
      <c r="AH8">
        <f>14.4665579232423*1</f>
        <v>14.4665579232423</v>
      </c>
      <c r="AI8">
        <v>1</v>
      </c>
      <c r="AJ8">
        <v>1</v>
      </c>
      <c r="AL8" t="s">
        <v>5</v>
      </c>
      <c r="AM8">
        <f>SUMPRODUCT(Table1[Selected],Table1[MID])</f>
        <v>5</v>
      </c>
      <c r="AN8">
        <v>5</v>
      </c>
    </row>
    <row r="9" spans="1:40" hidden="1" x14ac:dyDescent="0.2">
      <c r="A9" t="s">
        <v>53</v>
      </c>
      <c r="B9" t="s">
        <v>54</v>
      </c>
      <c r="C9" t="s">
        <v>54</v>
      </c>
      <c r="D9" t="s">
        <v>5</v>
      </c>
      <c r="E9">
        <v>0</v>
      </c>
      <c r="F9">
        <v>0</v>
      </c>
      <c r="G9">
        <v>1</v>
      </c>
      <c r="H9">
        <v>0</v>
      </c>
      <c r="I9" t="s">
        <v>8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6.5</v>
      </c>
      <c r="AE9">
        <v>22</v>
      </c>
      <c r="AF9">
        <v>22.88816302796128</v>
      </c>
      <c r="AG9">
        <v>0</v>
      </c>
      <c r="AH9">
        <f>9.71784242025606*1</f>
        <v>9.7178424202560603</v>
      </c>
      <c r="AI9">
        <v>1</v>
      </c>
      <c r="AJ9">
        <v>0</v>
      </c>
      <c r="AL9" t="s">
        <v>6</v>
      </c>
      <c r="AM9">
        <f>SUMPRODUCT(Table1[Selected],Table1[FWD])</f>
        <v>3</v>
      </c>
      <c r="AN9">
        <v>3</v>
      </c>
    </row>
    <row r="10" spans="1:40" x14ac:dyDescent="0.2">
      <c r="A10" t="s">
        <v>55</v>
      </c>
      <c r="B10" t="s">
        <v>56</v>
      </c>
      <c r="C10" s="1" t="s">
        <v>56</v>
      </c>
      <c r="D10" t="s">
        <v>4</v>
      </c>
      <c r="E10">
        <v>0</v>
      </c>
      <c r="F10">
        <v>1</v>
      </c>
      <c r="G10">
        <v>0</v>
      </c>
      <c r="H10">
        <v>0</v>
      </c>
      <c r="I10" t="s">
        <v>8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</v>
      </c>
      <c r="AE10">
        <v>23</v>
      </c>
      <c r="AF10">
        <v>26.732055873675101</v>
      </c>
      <c r="AG10">
        <v>0</v>
      </c>
      <c r="AH10">
        <f>11.875337896846*1</f>
        <v>11.875337896846</v>
      </c>
      <c r="AI10">
        <v>1</v>
      </c>
      <c r="AJ10">
        <v>1</v>
      </c>
    </row>
    <row r="11" spans="1:40" hidden="1" x14ac:dyDescent="0.2">
      <c r="A11" t="s">
        <v>57</v>
      </c>
      <c r="B11" t="s">
        <v>58</v>
      </c>
      <c r="C11" t="s">
        <v>58</v>
      </c>
      <c r="D11" t="s">
        <v>4</v>
      </c>
      <c r="E11">
        <v>0</v>
      </c>
      <c r="F11">
        <v>1</v>
      </c>
      <c r="G11">
        <v>0</v>
      </c>
      <c r="H11">
        <v>0</v>
      </c>
      <c r="I11" t="s">
        <v>8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</v>
      </c>
      <c r="AE11">
        <v>25</v>
      </c>
      <c r="AF11">
        <v>20.654867256637178</v>
      </c>
      <c r="AG11">
        <v>0</v>
      </c>
      <c r="AH11">
        <f>8.91556168302124*1</f>
        <v>8.9155616830212399</v>
      </c>
      <c r="AI11">
        <v>1</v>
      </c>
      <c r="AJ11">
        <v>0</v>
      </c>
      <c r="AL11" t="s">
        <v>8</v>
      </c>
      <c r="AM11">
        <f>SUMPRODUCT(Table1[Selected],Table1[ARS])</f>
        <v>5</v>
      </c>
      <c r="AN11">
        <v>5</v>
      </c>
    </row>
    <row r="12" spans="1:40" x14ac:dyDescent="0.2">
      <c r="A12" t="s">
        <v>219</v>
      </c>
      <c r="B12" t="s">
        <v>220</v>
      </c>
      <c r="C12" s="1" t="s">
        <v>220</v>
      </c>
      <c r="D12" t="s">
        <v>5</v>
      </c>
      <c r="E12">
        <v>0</v>
      </c>
      <c r="F12">
        <v>0</v>
      </c>
      <c r="G12">
        <v>1</v>
      </c>
      <c r="H12">
        <v>0</v>
      </c>
      <c r="I12" t="s">
        <v>18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13.5</v>
      </c>
      <c r="AE12">
        <v>438</v>
      </c>
      <c r="AF12">
        <v>0</v>
      </c>
      <c r="AG12">
        <v>39.337956157655213</v>
      </c>
      <c r="AH12">
        <f>13.0048811771523*1</f>
        <v>13.004881177152299</v>
      </c>
      <c r="AI12">
        <v>1</v>
      </c>
      <c r="AJ12">
        <v>1</v>
      </c>
      <c r="AL12" t="s">
        <v>9</v>
      </c>
      <c r="AM12">
        <f>SUMPRODUCT(Table1[Selected],Table1[AVL])</f>
        <v>0</v>
      </c>
      <c r="AN12">
        <v>5</v>
      </c>
    </row>
    <row r="13" spans="1:40" hidden="1" x14ac:dyDescent="0.2">
      <c r="A13" t="s">
        <v>62</v>
      </c>
      <c r="B13" t="s">
        <v>63</v>
      </c>
      <c r="C13" t="s">
        <v>63</v>
      </c>
      <c r="D13" t="s">
        <v>5</v>
      </c>
      <c r="E13">
        <v>0</v>
      </c>
      <c r="F13">
        <v>0</v>
      </c>
      <c r="G13">
        <v>1</v>
      </c>
      <c r="H13">
        <v>0</v>
      </c>
      <c r="I13" t="s">
        <v>8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5.5</v>
      </c>
      <c r="AE13">
        <v>27</v>
      </c>
      <c r="AF13">
        <v>22.56678126947164</v>
      </c>
      <c r="AG13">
        <v>0</v>
      </c>
      <c r="AH13">
        <f>9.92451119676887*1</f>
        <v>9.9245111967688704</v>
      </c>
      <c r="AI13">
        <v>1</v>
      </c>
      <c r="AJ13">
        <v>0</v>
      </c>
      <c r="AL13" t="s">
        <v>10</v>
      </c>
      <c r="AM13">
        <f>SUMPRODUCT(Table1[Selected],Table1[BOU])</f>
        <v>3</v>
      </c>
      <c r="AN13">
        <v>5</v>
      </c>
    </row>
    <row r="14" spans="1:40" hidden="1" x14ac:dyDescent="0.2">
      <c r="A14" t="s">
        <v>64</v>
      </c>
      <c r="B14" t="s">
        <v>65</v>
      </c>
      <c r="C14" t="s">
        <v>65</v>
      </c>
      <c r="D14" t="s">
        <v>5</v>
      </c>
      <c r="E14">
        <v>0</v>
      </c>
      <c r="F14">
        <v>0</v>
      </c>
      <c r="G14">
        <v>1</v>
      </c>
      <c r="H14">
        <v>0</v>
      </c>
      <c r="I14" t="s">
        <v>9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5.5</v>
      </c>
      <c r="AE14">
        <v>39</v>
      </c>
      <c r="AF14">
        <v>19.4041684522313</v>
      </c>
      <c r="AG14">
        <v>0</v>
      </c>
      <c r="AH14">
        <f>4.52130366186307*1</f>
        <v>4.5213036618630698</v>
      </c>
      <c r="AI14">
        <v>1</v>
      </c>
      <c r="AJ14">
        <v>0</v>
      </c>
      <c r="AL14" t="s">
        <v>11</v>
      </c>
      <c r="AM14">
        <f>SUMPRODUCT(Table1[Selected],Table1[BRE])</f>
        <v>0</v>
      </c>
      <c r="AN14">
        <v>5</v>
      </c>
    </row>
    <row r="15" spans="1:40" hidden="1" x14ac:dyDescent="0.2">
      <c r="A15" t="s">
        <v>66</v>
      </c>
      <c r="B15" t="s">
        <v>67</v>
      </c>
      <c r="C15" t="s">
        <v>67</v>
      </c>
      <c r="D15" t="s">
        <v>4</v>
      </c>
      <c r="E15">
        <v>0</v>
      </c>
      <c r="F15">
        <v>1</v>
      </c>
      <c r="G15">
        <v>0</v>
      </c>
      <c r="H15">
        <v>0</v>
      </c>
      <c r="I15" t="s">
        <v>9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4.5999999999999996</v>
      </c>
      <c r="AE15">
        <v>47</v>
      </c>
      <c r="AF15">
        <v>11.907276091098741</v>
      </c>
      <c r="AG15">
        <v>0</v>
      </c>
      <c r="AH15">
        <f>1.55458519512243*1</f>
        <v>1.5545851951224301</v>
      </c>
      <c r="AI15">
        <v>1</v>
      </c>
      <c r="AJ15">
        <v>0</v>
      </c>
      <c r="AL15" t="s">
        <v>12</v>
      </c>
      <c r="AM15">
        <f>SUMPRODUCT(Table1[Selected],Table1[BHA])</f>
        <v>0</v>
      </c>
      <c r="AN15">
        <v>5</v>
      </c>
    </row>
    <row r="16" spans="1:40" hidden="1" x14ac:dyDescent="0.2">
      <c r="A16" t="s">
        <v>68</v>
      </c>
      <c r="B16" t="s">
        <v>69</v>
      </c>
      <c r="C16" t="s">
        <v>70</v>
      </c>
      <c r="D16" t="s">
        <v>4</v>
      </c>
      <c r="E16">
        <v>0</v>
      </c>
      <c r="F16">
        <v>1</v>
      </c>
      <c r="G16">
        <v>0</v>
      </c>
      <c r="H16">
        <v>0</v>
      </c>
      <c r="I16" t="s">
        <v>9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4.5</v>
      </c>
      <c r="AE16">
        <v>53</v>
      </c>
      <c r="AF16">
        <v>14.27631578947368</v>
      </c>
      <c r="AG16">
        <v>0</v>
      </c>
      <c r="AH16">
        <f>3.3264789993842*1</f>
        <v>3.3264789993842001</v>
      </c>
      <c r="AI16">
        <v>1</v>
      </c>
      <c r="AJ16">
        <v>0</v>
      </c>
      <c r="AL16" t="s">
        <v>13</v>
      </c>
      <c r="AM16">
        <f>SUMPRODUCT(Table1[Selected],Table1[BUR])</f>
        <v>0</v>
      </c>
      <c r="AN16">
        <v>5</v>
      </c>
    </row>
    <row r="17" spans="1:40" hidden="1" x14ac:dyDescent="0.2">
      <c r="A17" t="s">
        <v>71</v>
      </c>
      <c r="B17" t="s">
        <v>72</v>
      </c>
      <c r="C17" t="s">
        <v>73</v>
      </c>
      <c r="D17" t="s">
        <v>3</v>
      </c>
      <c r="E17">
        <v>1</v>
      </c>
      <c r="F17">
        <v>0</v>
      </c>
      <c r="G17">
        <v>0</v>
      </c>
      <c r="H17">
        <v>0</v>
      </c>
      <c r="I17" t="s">
        <v>9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5.3</v>
      </c>
      <c r="AE17">
        <v>54</v>
      </c>
      <c r="AF17">
        <v>17.803030303030301</v>
      </c>
      <c r="AG17">
        <v>0</v>
      </c>
      <c r="AH17">
        <f>4.1482275470606*1</f>
        <v>4.1482275470605998</v>
      </c>
      <c r="AI17">
        <v>1</v>
      </c>
      <c r="AJ17">
        <v>0</v>
      </c>
      <c r="AL17" t="s">
        <v>14</v>
      </c>
      <c r="AM17">
        <f>SUMPRODUCT(Table1[Selected],Table1[CHE])</f>
        <v>1</v>
      </c>
      <c r="AN17">
        <v>5</v>
      </c>
    </row>
    <row r="18" spans="1:40" hidden="1" x14ac:dyDescent="0.2">
      <c r="A18" t="s">
        <v>74</v>
      </c>
      <c r="B18" t="s">
        <v>75</v>
      </c>
      <c r="C18" t="s">
        <v>75</v>
      </c>
      <c r="D18" t="s">
        <v>5</v>
      </c>
      <c r="E18">
        <v>0</v>
      </c>
      <c r="F18">
        <v>0</v>
      </c>
      <c r="G18">
        <v>1</v>
      </c>
      <c r="H18">
        <v>0</v>
      </c>
      <c r="I18" t="s">
        <v>9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5.3</v>
      </c>
      <c r="AE18">
        <v>55</v>
      </c>
      <c r="AF18">
        <v>15.286624203821651</v>
      </c>
      <c r="AG18">
        <v>0</v>
      </c>
      <c r="AH18">
        <f>3.56188775419108*1</f>
        <v>3.5618877541910798</v>
      </c>
      <c r="AI18">
        <v>1</v>
      </c>
      <c r="AJ18">
        <v>0</v>
      </c>
      <c r="AL18" t="s">
        <v>15</v>
      </c>
      <c r="AM18">
        <f>SUMPRODUCT(Table1[Selected],Table1[CRY])</f>
        <v>0</v>
      </c>
      <c r="AN18">
        <v>5</v>
      </c>
    </row>
    <row r="19" spans="1:40" hidden="1" x14ac:dyDescent="0.2">
      <c r="A19" t="s">
        <v>76</v>
      </c>
      <c r="B19" t="s">
        <v>77</v>
      </c>
      <c r="C19" t="s">
        <v>77</v>
      </c>
      <c r="D19" t="s">
        <v>5</v>
      </c>
      <c r="E19">
        <v>0</v>
      </c>
      <c r="F19">
        <v>0</v>
      </c>
      <c r="G19">
        <v>1</v>
      </c>
      <c r="H19">
        <v>0</v>
      </c>
      <c r="I19" t="s">
        <v>9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5.6</v>
      </c>
      <c r="AE19">
        <v>62</v>
      </c>
      <c r="AF19">
        <v>13.153916741984981</v>
      </c>
      <c r="AG19">
        <v>0</v>
      </c>
      <c r="AH19">
        <f>3.06495236215803*1</f>
        <v>3.0649523621580301</v>
      </c>
      <c r="AI19">
        <v>1</v>
      </c>
      <c r="AJ19">
        <v>0</v>
      </c>
      <c r="AL19" t="s">
        <v>16</v>
      </c>
      <c r="AM19">
        <f>SUMPRODUCT(Table1[Selected],Table1[EVE])</f>
        <v>0</v>
      </c>
      <c r="AN19">
        <v>5</v>
      </c>
    </row>
    <row r="20" spans="1:40" x14ac:dyDescent="0.2">
      <c r="A20" t="s">
        <v>51</v>
      </c>
      <c r="B20" t="s">
        <v>52</v>
      </c>
      <c r="C20" s="1" t="s">
        <v>52</v>
      </c>
      <c r="D20" t="s">
        <v>4</v>
      </c>
      <c r="E20">
        <v>0</v>
      </c>
      <c r="F20">
        <v>1</v>
      </c>
      <c r="G20">
        <v>0</v>
      </c>
      <c r="H20">
        <v>0</v>
      </c>
      <c r="I20" t="s">
        <v>8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5.9</v>
      </c>
      <c r="AE20">
        <v>18</v>
      </c>
      <c r="AF20">
        <v>26.386587209142029</v>
      </c>
      <c r="AG20">
        <v>0</v>
      </c>
      <c r="AH20">
        <f>12.6001257855342*1</f>
        <v>12.6001257855342</v>
      </c>
      <c r="AI20">
        <v>1</v>
      </c>
      <c r="AJ20">
        <v>1</v>
      </c>
      <c r="AL20" t="s">
        <v>17</v>
      </c>
      <c r="AM20">
        <f>SUMPRODUCT(Table1[Selected],Table1[FUL])</f>
        <v>0</v>
      </c>
      <c r="AN20">
        <v>5</v>
      </c>
    </row>
    <row r="21" spans="1:40" hidden="1" x14ac:dyDescent="0.2">
      <c r="A21" t="s">
        <v>80</v>
      </c>
      <c r="B21" t="s">
        <v>81</v>
      </c>
      <c r="C21" t="s">
        <v>80</v>
      </c>
      <c r="D21" t="s">
        <v>4</v>
      </c>
      <c r="E21">
        <v>0</v>
      </c>
      <c r="F21">
        <v>1</v>
      </c>
      <c r="G21">
        <v>0</v>
      </c>
      <c r="H21">
        <v>0</v>
      </c>
      <c r="I21" t="s">
        <v>9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4.5999999999999996</v>
      </c>
      <c r="AE21">
        <v>66</v>
      </c>
      <c r="AF21">
        <v>15.8</v>
      </c>
      <c r="AG21">
        <v>0</v>
      </c>
      <c r="AH21">
        <f>3.681507817936*1</f>
        <v>3.6815078179360001</v>
      </c>
      <c r="AI21">
        <v>1</v>
      </c>
      <c r="AJ21">
        <v>0</v>
      </c>
      <c r="AL21" t="s">
        <v>18</v>
      </c>
      <c r="AM21">
        <f>SUMPRODUCT(Table1[Selected],Table1[LIV])</f>
        <v>2</v>
      </c>
      <c r="AN21">
        <v>5</v>
      </c>
    </row>
    <row r="22" spans="1:40" hidden="1" x14ac:dyDescent="0.2">
      <c r="A22" t="s">
        <v>82</v>
      </c>
      <c r="B22" t="s">
        <v>83</v>
      </c>
      <c r="C22" t="s">
        <v>83</v>
      </c>
      <c r="D22" t="s">
        <v>5</v>
      </c>
      <c r="E22">
        <v>0</v>
      </c>
      <c r="F22">
        <v>0</v>
      </c>
      <c r="G22">
        <v>1</v>
      </c>
      <c r="H22">
        <v>0</v>
      </c>
      <c r="I22" t="s">
        <v>9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6.3</v>
      </c>
      <c r="AE22">
        <v>67</v>
      </c>
      <c r="AF22">
        <v>18.484848484848481</v>
      </c>
      <c r="AG22">
        <v>0</v>
      </c>
      <c r="AH22">
        <f>4.30709583609696*1</f>
        <v>4.30709583609696</v>
      </c>
      <c r="AI22">
        <v>1</v>
      </c>
      <c r="AJ22">
        <v>0</v>
      </c>
      <c r="AL22" t="s">
        <v>19</v>
      </c>
      <c r="AM22">
        <f>SUMPRODUCT(Table1[Selected],Table1[LUT])</f>
        <v>1</v>
      </c>
      <c r="AN22">
        <v>5</v>
      </c>
    </row>
    <row r="23" spans="1:40" hidden="1" x14ac:dyDescent="0.2">
      <c r="A23" t="s">
        <v>84</v>
      </c>
      <c r="B23" t="s">
        <v>85</v>
      </c>
      <c r="C23" t="s">
        <v>85</v>
      </c>
      <c r="D23" t="s">
        <v>5</v>
      </c>
      <c r="E23">
        <v>0</v>
      </c>
      <c r="F23">
        <v>0</v>
      </c>
      <c r="G23">
        <v>1</v>
      </c>
      <c r="H23">
        <v>0</v>
      </c>
      <c r="I23" t="s">
        <v>10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</v>
      </c>
      <c r="AE23">
        <v>82</v>
      </c>
      <c r="AF23">
        <v>12.590163934426229</v>
      </c>
      <c r="AG23">
        <v>15.20022939885976</v>
      </c>
      <c r="AH23">
        <f>4.99775707201183*1</f>
        <v>4.9977570720118303</v>
      </c>
      <c r="AI23">
        <v>1</v>
      </c>
      <c r="AJ23">
        <v>0</v>
      </c>
      <c r="AL23" t="s">
        <v>20</v>
      </c>
      <c r="AM23">
        <f>SUMPRODUCT(Table1[Selected],Table1[MCI])</f>
        <v>0</v>
      </c>
      <c r="AN23">
        <v>5</v>
      </c>
    </row>
    <row r="24" spans="1:40" hidden="1" x14ac:dyDescent="0.2">
      <c r="A24" t="s">
        <v>86</v>
      </c>
      <c r="B24" t="s">
        <v>87</v>
      </c>
      <c r="C24" t="s">
        <v>88</v>
      </c>
      <c r="D24" t="s">
        <v>5</v>
      </c>
      <c r="E24">
        <v>0</v>
      </c>
      <c r="F24">
        <v>0</v>
      </c>
      <c r="G24">
        <v>1</v>
      </c>
      <c r="H24">
        <v>0</v>
      </c>
      <c r="I24" t="s">
        <v>10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</v>
      </c>
      <c r="AE24">
        <v>83</v>
      </c>
      <c r="AF24">
        <v>11.10638297872341</v>
      </c>
      <c r="AG24">
        <v>8.2445996280214811</v>
      </c>
      <c r="AH24">
        <f>3.65770976879235*1</f>
        <v>3.6577097687923499</v>
      </c>
      <c r="AI24">
        <v>1</v>
      </c>
      <c r="AJ24">
        <v>0</v>
      </c>
      <c r="AL24" t="s">
        <v>21</v>
      </c>
      <c r="AM24">
        <f>SUMPRODUCT(Table1[Selected],Table1[MUN])</f>
        <v>0</v>
      </c>
      <c r="AN24">
        <v>5</v>
      </c>
    </row>
    <row r="25" spans="1:40" hidden="1" x14ac:dyDescent="0.2">
      <c r="A25" t="s">
        <v>89</v>
      </c>
      <c r="B25" t="s">
        <v>90</v>
      </c>
      <c r="C25" t="s">
        <v>90</v>
      </c>
      <c r="D25" t="s">
        <v>5</v>
      </c>
      <c r="E25">
        <v>0</v>
      </c>
      <c r="F25">
        <v>0</v>
      </c>
      <c r="G25">
        <v>1</v>
      </c>
      <c r="H25">
        <v>0</v>
      </c>
      <c r="I25" t="s">
        <v>10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4.5999999999999996</v>
      </c>
      <c r="AE25">
        <v>89</v>
      </c>
      <c r="AF25">
        <v>34.182217885827697</v>
      </c>
      <c r="AG25">
        <v>20.736225602548139</v>
      </c>
      <c r="AH25">
        <f>10.1643580415806*1</f>
        <v>10.1643580415806</v>
      </c>
      <c r="AI25">
        <v>1</v>
      </c>
      <c r="AJ25">
        <v>0</v>
      </c>
      <c r="AL25" t="s">
        <v>22</v>
      </c>
      <c r="AM25">
        <f>SUMPRODUCT(Table1[Selected],Table1[NEW])</f>
        <v>0</v>
      </c>
      <c r="AN25">
        <v>5</v>
      </c>
    </row>
    <row r="26" spans="1:40" x14ac:dyDescent="0.2">
      <c r="A26" t="s">
        <v>91</v>
      </c>
      <c r="B26" t="s">
        <v>92</v>
      </c>
      <c r="C26" s="1" t="s">
        <v>93</v>
      </c>
      <c r="D26" t="s">
        <v>3</v>
      </c>
      <c r="E26">
        <v>1</v>
      </c>
      <c r="F26">
        <v>0</v>
      </c>
      <c r="G26">
        <v>0</v>
      </c>
      <c r="H26">
        <v>0</v>
      </c>
      <c r="I26" t="s">
        <v>10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4.7</v>
      </c>
      <c r="AE26">
        <v>94</v>
      </c>
      <c r="AF26">
        <v>22.590427056114368</v>
      </c>
      <c r="AG26">
        <v>24.66053236143285</v>
      </c>
      <c r="AH26">
        <f>10.2526762557561*1</f>
        <v>10.2526762557561</v>
      </c>
      <c r="AI26">
        <v>1</v>
      </c>
      <c r="AJ26">
        <v>1</v>
      </c>
      <c r="AL26" t="s">
        <v>23</v>
      </c>
      <c r="AM26">
        <f>SUMPRODUCT(Table1[Selected],Table1[NFO])</f>
        <v>0</v>
      </c>
      <c r="AN26">
        <v>5</v>
      </c>
    </row>
    <row r="27" spans="1:40" hidden="1" x14ac:dyDescent="0.2">
      <c r="A27" t="s">
        <v>94</v>
      </c>
      <c r="B27" t="s">
        <v>95</v>
      </c>
      <c r="C27" t="s">
        <v>95</v>
      </c>
      <c r="D27" t="s">
        <v>6</v>
      </c>
      <c r="E27">
        <v>0</v>
      </c>
      <c r="F27">
        <v>0</v>
      </c>
      <c r="G27">
        <v>0</v>
      </c>
      <c r="H27">
        <v>1</v>
      </c>
      <c r="I27" t="s">
        <v>10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4.5</v>
      </c>
      <c r="AE27">
        <v>99</v>
      </c>
      <c r="AF27">
        <v>17.5</v>
      </c>
      <c r="AG27">
        <v>14.688542172004</v>
      </c>
      <c r="AH27">
        <f>6.10547183597891*1</f>
        <v>6.1054718359789097</v>
      </c>
      <c r="AI27">
        <v>1</v>
      </c>
      <c r="AJ27">
        <v>0</v>
      </c>
      <c r="AL27" t="s">
        <v>24</v>
      </c>
      <c r="AM27">
        <f>SUMPRODUCT(Table1[Selected],Table1[SHU])</f>
        <v>2</v>
      </c>
      <c r="AN27">
        <v>5</v>
      </c>
    </row>
    <row r="28" spans="1:40" x14ac:dyDescent="0.2">
      <c r="A28" t="s">
        <v>96</v>
      </c>
      <c r="B28" t="s">
        <v>97</v>
      </c>
      <c r="C28" s="1" t="s">
        <v>97</v>
      </c>
      <c r="D28" t="s">
        <v>4</v>
      </c>
      <c r="E28">
        <v>0</v>
      </c>
      <c r="F28">
        <v>1</v>
      </c>
      <c r="G28">
        <v>0</v>
      </c>
      <c r="H28">
        <v>0</v>
      </c>
      <c r="I28" t="s">
        <v>10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4.4000000000000004</v>
      </c>
      <c r="AE28">
        <v>100</v>
      </c>
      <c r="AF28">
        <v>17.963164565295791</v>
      </c>
      <c r="AG28">
        <v>16.81159229008728</v>
      </c>
      <c r="AH28">
        <f>7.48262867362415*1</f>
        <v>7.4826286736241503</v>
      </c>
      <c r="AI28">
        <v>1</v>
      </c>
      <c r="AJ28">
        <v>1</v>
      </c>
      <c r="AL28" t="s">
        <v>25</v>
      </c>
      <c r="AM28">
        <f>SUMPRODUCT(Table1[Selected],Table1[TOT])</f>
        <v>0</v>
      </c>
      <c r="AN28">
        <v>5</v>
      </c>
    </row>
    <row r="29" spans="1:40" hidden="1" x14ac:dyDescent="0.2">
      <c r="A29" t="s">
        <v>98</v>
      </c>
      <c r="B29" t="s">
        <v>99</v>
      </c>
      <c r="C29" t="s">
        <v>99</v>
      </c>
      <c r="D29" t="s">
        <v>4</v>
      </c>
      <c r="E29">
        <v>0</v>
      </c>
      <c r="F29">
        <v>1</v>
      </c>
      <c r="G29">
        <v>0</v>
      </c>
      <c r="H29">
        <v>0</v>
      </c>
      <c r="I29" t="s">
        <v>10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4.4000000000000004</v>
      </c>
      <c r="AE29">
        <v>101</v>
      </c>
      <c r="AF29">
        <v>14.130841121495321</v>
      </c>
      <c r="AG29">
        <v>11.73897923107894</v>
      </c>
      <c r="AH29">
        <f>4.81143599217494*1</f>
        <v>4.8114359921749399</v>
      </c>
      <c r="AI29">
        <v>1</v>
      </c>
      <c r="AJ29">
        <v>0</v>
      </c>
      <c r="AL29" t="s">
        <v>26</v>
      </c>
      <c r="AM29">
        <f>SUMPRODUCT(Table1[Selected],Table1[WHU])</f>
        <v>0</v>
      </c>
      <c r="AN29">
        <v>5</v>
      </c>
    </row>
    <row r="30" spans="1:40" x14ac:dyDescent="0.2">
      <c r="A30" t="s">
        <v>100</v>
      </c>
      <c r="B30" t="s">
        <v>101</v>
      </c>
      <c r="C30" s="1" t="s">
        <v>101</v>
      </c>
      <c r="D30" t="s">
        <v>6</v>
      </c>
      <c r="E30">
        <v>0</v>
      </c>
      <c r="F30">
        <v>0</v>
      </c>
      <c r="G30">
        <v>0</v>
      </c>
      <c r="H30">
        <v>1</v>
      </c>
      <c r="I30" t="s">
        <v>10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7.2</v>
      </c>
      <c r="AE30">
        <v>102</v>
      </c>
      <c r="AF30">
        <v>29.86971379241135</v>
      </c>
      <c r="AG30">
        <v>16.88071161072773</v>
      </c>
      <c r="AH30">
        <f>9.14889214119001*1</f>
        <v>9.1488921411900108</v>
      </c>
      <c r="AI30">
        <v>1</v>
      </c>
      <c r="AJ30">
        <v>1</v>
      </c>
      <c r="AL30" t="s">
        <v>27</v>
      </c>
      <c r="AM30">
        <f>SUMPRODUCT(Table1[Selected],Table1[WOL])</f>
        <v>1</v>
      </c>
      <c r="AN30">
        <v>5</v>
      </c>
    </row>
    <row r="31" spans="1:40" hidden="1" x14ac:dyDescent="0.2">
      <c r="A31" t="s">
        <v>102</v>
      </c>
      <c r="B31" t="s">
        <v>103</v>
      </c>
      <c r="C31" t="s">
        <v>103</v>
      </c>
      <c r="D31" t="s">
        <v>5</v>
      </c>
      <c r="E31">
        <v>0</v>
      </c>
      <c r="F31">
        <v>0</v>
      </c>
      <c r="G31">
        <v>1</v>
      </c>
      <c r="H31">
        <v>0</v>
      </c>
      <c r="I31" t="s">
        <v>10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5.0999999999999996</v>
      </c>
      <c r="AE31">
        <v>103</v>
      </c>
      <c r="AF31">
        <v>21.612376418372751</v>
      </c>
      <c r="AG31">
        <v>25.655562407056269</v>
      </c>
      <c r="AH31">
        <f>8.37867612377869*1</f>
        <v>8.3786761237786909</v>
      </c>
      <c r="AI31">
        <v>1</v>
      </c>
      <c r="AJ31">
        <v>0</v>
      </c>
    </row>
    <row r="32" spans="1:40" hidden="1" x14ac:dyDescent="0.2">
      <c r="A32" t="s">
        <v>104</v>
      </c>
      <c r="B32" t="s">
        <v>105</v>
      </c>
      <c r="C32" t="s">
        <v>105</v>
      </c>
      <c r="D32" t="s">
        <v>4</v>
      </c>
      <c r="E32">
        <v>0</v>
      </c>
      <c r="F32">
        <v>1</v>
      </c>
      <c r="G32">
        <v>0</v>
      </c>
      <c r="H32">
        <v>0</v>
      </c>
      <c r="I32" t="s">
        <v>10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4.5</v>
      </c>
      <c r="AE32">
        <v>106</v>
      </c>
      <c r="AF32">
        <v>13.33333333333333</v>
      </c>
      <c r="AG32">
        <v>11.075676624898589</v>
      </c>
      <c r="AH32">
        <f>4.68504681421172*1</f>
        <v>4.6850468142117201</v>
      </c>
      <c r="AI32">
        <v>1</v>
      </c>
      <c r="AJ32">
        <v>0</v>
      </c>
    </row>
    <row r="33" spans="1:36" hidden="1" x14ac:dyDescent="0.2">
      <c r="A33" t="s">
        <v>106</v>
      </c>
      <c r="B33" t="s">
        <v>107</v>
      </c>
      <c r="C33" t="s">
        <v>107</v>
      </c>
      <c r="D33" t="s">
        <v>4</v>
      </c>
      <c r="E33">
        <v>0</v>
      </c>
      <c r="F33">
        <v>1</v>
      </c>
      <c r="G33">
        <v>0</v>
      </c>
      <c r="H33">
        <v>0</v>
      </c>
      <c r="I33" t="s">
        <v>10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4.4000000000000004</v>
      </c>
      <c r="AE33">
        <v>107</v>
      </c>
      <c r="AF33">
        <v>12.48</v>
      </c>
      <c r="AG33">
        <v>10.05471628044852</v>
      </c>
      <c r="AH33">
        <f>4.20564266401006*1</f>
        <v>4.2056426640100604</v>
      </c>
      <c r="AI33">
        <v>1</v>
      </c>
      <c r="AJ33">
        <v>0</v>
      </c>
    </row>
    <row r="34" spans="1:36" hidden="1" x14ac:dyDescent="0.2">
      <c r="A34" t="s">
        <v>108</v>
      </c>
      <c r="B34" t="s">
        <v>109</v>
      </c>
      <c r="C34" t="s">
        <v>109</v>
      </c>
      <c r="D34" t="s">
        <v>4</v>
      </c>
      <c r="E34">
        <v>0</v>
      </c>
      <c r="F34">
        <v>1</v>
      </c>
      <c r="G34">
        <v>0</v>
      </c>
      <c r="H34">
        <v>0</v>
      </c>
      <c r="I34" t="s">
        <v>11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4.5</v>
      </c>
      <c r="AE34">
        <v>125</v>
      </c>
      <c r="AF34">
        <v>12.04225352112676</v>
      </c>
      <c r="AG34">
        <v>14.94598313834743</v>
      </c>
      <c r="AH34">
        <f>2.60038939191607*1</f>
        <v>2.6003893919160701</v>
      </c>
      <c r="AI34">
        <v>1</v>
      </c>
      <c r="AJ34">
        <v>0</v>
      </c>
    </row>
    <row r="35" spans="1:36" hidden="1" x14ac:dyDescent="0.2">
      <c r="A35" t="s">
        <v>110</v>
      </c>
      <c r="B35" t="s">
        <v>111</v>
      </c>
      <c r="C35" t="s">
        <v>111</v>
      </c>
      <c r="D35" t="s">
        <v>3</v>
      </c>
      <c r="E35">
        <v>1</v>
      </c>
      <c r="F35">
        <v>0</v>
      </c>
      <c r="G35">
        <v>0</v>
      </c>
      <c r="H35">
        <v>0</v>
      </c>
      <c r="I35" t="s">
        <v>11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4.5999999999999996</v>
      </c>
      <c r="AE35">
        <v>130</v>
      </c>
      <c r="AF35">
        <v>16.129032258064509</v>
      </c>
      <c r="AG35">
        <v>11.899002728755789</v>
      </c>
      <c r="AH35">
        <f>1.91218478800741*1</f>
        <v>1.9121847880074101</v>
      </c>
      <c r="AI35">
        <v>1</v>
      </c>
      <c r="AJ35">
        <v>0</v>
      </c>
    </row>
    <row r="36" spans="1:36" hidden="1" x14ac:dyDescent="0.2">
      <c r="A36" t="s">
        <v>112</v>
      </c>
      <c r="B36" t="s">
        <v>113</v>
      </c>
      <c r="C36" t="s">
        <v>113</v>
      </c>
      <c r="D36" t="s">
        <v>5</v>
      </c>
      <c r="E36">
        <v>0</v>
      </c>
      <c r="F36">
        <v>0</v>
      </c>
      <c r="G36">
        <v>1</v>
      </c>
      <c r="H36">
        <v>0</v>
      </c>
      <c r="I36" t="s">
        <v>11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5.3</v>
      </c>
      <c r="AE36">
        <v>135</v>
      </c>
      <c r="AF36">
        <v>14.23898899111868</v>
      </c>
      <c r="AG36">
        <v>16.80315361836524</v>
      </c>
      <c r="AH36">
        <f>3.10441889186214*1</f>
        <v>3.10441889186214</v>
      </c>
      <c r="AI36">
        <v>1</v>
      </c>
      <c r="AJ36">
        <v>0</v>
      </c>
    </row>
    <row r="37" spans="1:36" hidden="1" x14ac:dyDescent="0.2">
      <c r="A37" t="s">
        <v>114</v>
      </c>
      <c r="B37" t="s">
        <v>115</v>
      </c>
      <c r="C37" t="s">
        <v>115</v>
      </c>
      <c r="D37" t="s">
        <v>5</v>
      </c>
      <c r="E37">
        <v>0</v>
      </c>
      <c r="F37">
        <v>0</v>
      </c>
      <c r="G37">
        <v>1</v>
      </c>
      <c r="H37">
        <v>0</v>
      </c>
      <c r="I37" t="s">
        <v>11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5.2</v>
      </c>
      <c r="AE37">
        <v>139</v>
      </c>
      <c r="AF37">
        <v>14.48717948717948</v>
      </c>
      <c r="AG37">
        <v>19.465769297501989</v>
      </c>
      <c r="AH37">
        <f>3.53482535034758*1</f>
        <v>3.5348253503475799</v>
      </c>
      <c r="AI37">
        <v>1</v>
      </c>
      <c r="AJ37">
        <v>0</v>
      </c>
    </row>
    <row r="38" spans="1:36" hidden="1" x14ac:dyDescent="0.2">
      <c r="A38" t="s">
        <v>116</v>
      </c>
      <c r="B38" t="s">
        <v>117</v>
      </c>
      <c r="C38" t="s">
        <v>117</v>
      </c>
      <c r="D38" t="s">
        <v>4</v>
      </c>
      <c r="E38">
        <v>0</v>
      </c>
      <c r="F38">
        <v>1</v>
      </c>
      <c r="G38">
        <v>0</v>
      </c>
      <c r="H38">
        <v>0</v>
      </c>
      <c r="I38" t="s">
        <v>11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4.5</v>
      </c>
      <c r="AE38">
        <v>141</v>
      </c>
      <c r="AF38">
        <v>15.24390243902439</v>
      </c>
      <c r="AG38">
        <v>15.78250569457219</v>
      </c>
      <c r="AH38">
        <f>3.1148410288474*1</f>
        <v>3.1148410288474002</v>
      </c>
      <c r="AI38">
        <v>1</v>
      </c>
      <c r="AJ38">
        <v>0</v>
      </c>
    </row>
    <row r="39" spans="1:36" hidden="1" x14ac:dyDescent="0.2">
      <c r="A39" t="s">
        <v>118</v>
      </c>
      <c r="B39" t="s">
        <v>119</v>
      </c>
      <c r="C39" t="s">
        <v>120</v>
      </c>
      <c r="D39" t="s">
        <v>4</v>
      </c>
      <c r="E39">
        <v>0</v>
      </c>
      <c r="F39">
        <v>1</v>
      </c>
      <c r="G39">
        <v>0</v>
      </c>
      <c r="H39">
        <v>0</v>
      </c>
      <c r="I39" t="s">
        <v>11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4.4000000000000004</v>
      </c>
      <c r="AE39">
        <v>142</v>
      </c>
      <c r="AF39">
        <v>19.431048759235232</v>
      </c>
      <c r="AG39">
        <v>8.2554689531519347</v>
      </c>
      <c r="AH39">
        <f>3.04223561695911*1</f>
        <v>3.0422356169591098</v>
      </c>
      <c r="AI39">
        <v>1</v>
      </c>
      <c r="AJ39">
        <v>0</v>
      </c>
    </row>
    <row r="40" spans="1:36" hidden="1" x14ac:dyDescent="0.2">
      <c r="A40" t="s">
        <v>121</v>
      </c>
      <c r="B40" t="s">
        <v>122</v>
      </c>
      <c r="C40" t="s">
        <v>122</v>
      </c>
      <c r="D40" t="s">
        <v>6</v>
      </c>
      <c r="E40">
        <v>0</v>
      </c>
      <c r="F40">
        <v>0</v>
      </c>
      <c r="G40">
        <v>0</v>
      </c>
      <c r="H40">
        <v>1</v>
      </c>
      <c r="I40" t="s">
        <v>11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5.7</v>
      </c>
      <c r="AE40">
        <v>147</v>
      </c>
      <c r="AF40">
        <v>15.115480415050079</v>
      </c>
      <c r="AG40">
        <v>17.57618364414002</v>
      </c>
      <c r="AH40">
        <f>2.82151525754921*1</f>
        <v>2.8215152575492102</v>
      </c>
      <c r="AI40">
        <v>1</v>
      </c>
      <c r="AJ40">
        <v>0</v>
      </c>
    </row>
    <row r="41" spans="1:36" hidden="1" x14ac:dyDescent="0.2">
      <c r="A41" t="s">
        <v>123</v>
      </c>
      <c r="B41" t="s">
        <v>124</v>
      </c>
      <c r="C41" t="s">
        <v>124</v>
      </c>
      <c r="D41" t="s">
        <v>5</v>
      </c>
      <c r="E41">
        <v>0</v>
      </c>
      <c r="F41">
        <v>0</v>
      </c>
      <c r="G41">
        <v>1</v>
      </c>
      <c r="H41">
        <v>0</v>
      </c>
      <c r="I41" t="s">
        <v>12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5</v>
      </c>
      <c r="AE41">
        <v>162</v>
      </c>
      <c r="AF41">
        <v>21.765991236105659</v>
      </c>
      <c r="AG41">
        <v>0</v>
      </c>
      <c r="AH41">
        <f>5.8735083706189*1</f>
        <v>5.8735083706189002</v>
      </c>
      <c r="AI41">
        <v>1</v>
      </c>
      <c r="AJ41">
        <v>0</v>
      </c>
    </row>
    <row r="42" spans="1:36" hidden="1" x14ac:dyDescent="0.2">
      <c r="A42" t="s">
        <v>59</v>
      </c>
      <c r="B42" t="s">
        <v>60</v>
      </c>
      <c r="C42" t="s">
        <v>61</v>
      </c>
      <c r="D42" t="s">
        <v>3</v>
      </c>
      <c r="E42">
        <v>1</v>
      </c>
      <c r="F42">
        <v>0</v>
      </c>
      <c r="G42">
        <v>0</v>
      </c>
      <c r="H42">
        <v>0</v>
      </c>
      <c r="I42" t="s">
        <v>8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5.0999999999999996</v>
      </c>
      <c r="AE42">
        <v>26</v>
      </c>
      <c r="AF42">
        <v>24.906976744186071</v>
      </c>
      <c r="AG42">
        <v>0</v>
      </c>
      <c r="AH42">
        <f>10.7509617341651*1</f>
        <v>10.7509617341651</v>
      </c>
      <c r="AI42">
        <v>1</v>
      </c>
      <c r="AJ42">
        <v>0</v>
      </c>
    </row>
    <row r="43" spans="1:36" x14ac:dyDescent="0.2">
      <c r="A43" t="s">
        <v>221</v>
      </c>
      <c r="B43" t="s">
        <v>222</v>
      </c>
      <c r="C43" s="1" t="s">
        <v>221</v>
      </c>
      <c r="D43" t="s">
        <v>4</v>
      </c>
      <c r="E43">
        <v>0</v>
      </c>
      <c r="F43">
        <v>1</v>
      </c>
      <c r="G43">
        <v>0</v>
      </c>
      <c r="H43">
        <v>0</v>
      </c>
      <c r="I43" t="s">
        <v>18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6.6</v>
      </c>
      <c r="AE43">
        <v>443</v>
      </c>
      <c r="AF43">
        <v>0</v>
      </c>
      <c r="AG43">
        <v>27.705605825683129</v>
      </c>
      <c r="AH43">
        <f>8.91209388029794*1</f>
        <v>8.9120938802979399</v>
      </c>
      <c r="AI43">
        <v>1</v>
      </c>
      <c r="AJ43">
        <v>1</v>
      </c>
    </row>
    <row r="44" spans="1:36" hidden="1" x14ac:dyDescent="0.2">
      <c r="A44" t="s">
        <v>129</v>
      </c>
      <c r="B44" t="s">
        <v>130</v>
      </c>
      <c r="C44" t="s">
        <v>129</v>
      </c>
      <c r="D44" t="s">
        <v>6</v>
      </c>
      <c r="E44">
        <v>0</v>
      </c>
      <c r="F44">
        <v>0</v>
      </c>
      <c r="G44">
        <v>0</v>
      </c>
      <c r="H44">
        <v>1</v>
      </c>
      <c r="I44" t="s">
        <v>12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5.2</v>
      </c>
      <c r="AE44">
        <v>174</v>
      </c>
      <c r="AF44">
        <v>22.579310831182021</v>
      </c>
      <c r="AG44">
        <v>0</v>
      </c>
      <c r="AH44">
        <f>8.41682234434247*1</f>
        <v>8.4168223443424708</v>
      </c>
      <c r="AI44">
        <v>1</v>
      </c>
      <c r="AJ44">
        <v>0</v>
      </c>
    </row>
    <row r="45" spans="1:36" hidden="1" x14ac:dyDescent="0.2">
      <c r="A45" t="s">
        <v>131</v>
      </c>
      <c r="B45" t="s">
        <v>132</v>
      </c>
      <c r="C45" t="s">
        <v>133</v>
      </c>
      <c r="D45" t="s">
        <v>4</v>
      </c>
      <c r="E45">
        <v>0</v>
      </c>
      <c r="F45">
        <v>1</v>
      </c>
      <c r="G45">
        <v>0</v>
      </c>
      <c r="H45">
        <v>0</v>
      </c>
      <c r="I45" t="s">
        <v>12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4.0999999999999996</v>
      </c>
      <c r="AE45">
        <v>188</v>
      </c>
      <c r="AF45">
        <v>15.015118719187999</v>
      </c>
      <c r="AG45">
        <v>0</v>
      </c>
      <c r="AH45">
        <f>3.29623243083935*1</f>
        <v>3.2962324308393498</v>
      </c>
      <c r="AI45">
        <v>1</v>
      </c>
      <c r="AJ45">
        <v>0</v>
      </c>
    </row>
    <row r="46" spans="1:36" hidden="1" x14ac:dyDescent="0.2">
      <c r="A46" t="s">
        <v>134</v>
      </c>
      <c r="B46" t="s">
        <v>135</v>
      </c>
      <c r="C46" t="s">
        <v>135</v>
      </c>
      <c r="D46" t="s">
        <v>6</v>
      </c>
      <c r="E46">
        <v>0</v>
      </c>
      <c r="F46">
        <v>0</v>
      </c>
      <c r="G46">
        <v>0</v>
      </c>
      <c r="H46">
        <v>1</v>
      </c>
      <c r="I46" t="s">
        <v>12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5.7</v>
      </c>
      <c r="AE46">
        <v>192</v>
      </c>
      <c r="AF46">
        <v>17.926084429800142</v>
      </c>
      <c r="AG46">
        <v>0</v>
      </c>
      <c r="AH46">
        <f>3.79288389461006*1</f>
        <v>3.79288389461006</v>
      </c>
      <c r="AI46">
        <v>1</v>
      </c>
      <c r="AJ46">
        <v>0</v>
      </c>
    </row>
    <row r="47" spans="1:36" hidden="1" x14ac:dyDescent="0.2">
      <c r="A47" t="s">
        <v>136</v>
      </c>
      <c r="B47" t="s">
        <v>137</v>
      </c>
      <c r="C47" t="s">
        <v>137</v>
      </c>
      <c r="D47" t="s">
        <v>5</v>
      </c>
      <c r="E47">
        <v>0</v>
      </c>
      <c r="F47">
        <v>0</v>
      </c>
      <c r="G47">
        <v>1</v>
      </c>
      <c r="H47">
        <v>0</v>
      </c>
      <c r="I47" t="s">
        <v>13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4.7</v>
      </c>
      <c r="AE47">
        <v>213</v>
      </c>
      <c r="AF47">
        <v>12.951619362938491</v>
      </c>
      <c r="AG47">
        <v>0</v>
      </c>
      <c r="AH47">
        <f>1.77905922365539*1*2</f>
        <v>3.5581184473107799</v>
      </c>
      <c r="AI47">
        <v>1</v>
      </c>
      <c r="AJ47">
        <v>0</v>
      </c>
    </row>
    <row r="48" spans="1:36" hidden="1" x14ac:dyDescent="0.2">
      <c r="A48" t="s">
        <v>138</v>
      </c>
      <c r="B48" t="s">
        <v>139</v>
      </c>
      <c r="C48" t="s">
        <v>139</v>
      </c>
      <c r="D48" t="s">
        <v>4</v>
      </c>
      <c r="E48">
        <v>0</v>
      </c>
      <c r="F48">
        <v>1</v>
      </c>
      <c r="G48">
        <v>0</v>
      </c>
      <c r="H48">
        <v>0</v>
      </c>
      <c r="I48" t="s">
        <v>13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4.4000000000000004</v>
      </c>
      <c r="AE48">
        <v>225</v>
      </c>
      <c r="AF48">
        <v>8.3333333333333321</v>
      </c>
      <c r="AG48">
        <v>0</v>
      </c>
      <c r="AH48">
        <f>1.66244031184999*1*2</f>
        <v>3.3248806236999799</v>
      </c>
      <c r="AI48">
        <v>1</v>
      </c>
      <c r="AJ48">
        <v>0</v>
      </c>
    </row>
    <row r="49" spans="1:36" hidden="1" x14ac:dyDescent="0.2">
      <c r="A49" t="s">
        <v>140</v>
      </c>
      <c r="B49" t="s">
        <v>141</v>
      </c>
      <c r="C49" t="s">
        <v>141</v>
      </c>
      <c r="D49" t="s">
        <v>5</v>
      </c>
      <c r="E49">
        <v>0</v>
      </c>
      <c r="F49">
        <v>0</v>
      </c>
      <c r="G49">
        <v>1</v>
      </c>
      <c r="H49">
        <v>0</v>
      </c>
      <c r="I49" t="s">
        <v>13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4.8</v>
      </c>
      <c r="AE49">
        <v>243</v>
      </c>
      <c r="AF49">
        <v>11.56119193402114</v>
      </c>
      <c r="AG49">
        <v>0</v>
      </c>
      <c r="AH49">
        <f>2.2820707714328*1*2</f>
        <v>4.5641415428655998</v>
      </c>
      <c r="AI49">
        <v>1</v>
      </c>
      <c r="AJ49">
        <v>0</v>
      </c>
    </row>
    <row r="50" spans="1:36" hidden="1" x14ac:dyDescent="0.2">
      <c r="A50" t="s">
        <v>142</v>
      </c>
      <c r="B50" t="s">
        <v>143</v>
      </c>
      <c r="C50" t="s">
        <v>143</v>
      </c>
      <c r="D50" t="s">
        <v>5</v>
      </c>
      <c r="E50">
        <v>0</v>
      </c>
      <c r="F50">
        <v>0</v>
      </c>
      <c r="G50">
        <v>1</v>
      </c>
      <c r="H50">
        <v>0</v>
      </c>
      <c r="I50" t="s">
        <v>13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</v>
      </c>
      <c r="AE50">
        <v>245</v>
      </c>
      <c r="AF50">
        <v>14.583333333333339</v>
      </c>
      <c r="AG50">
        <v>0</v>
      </c>
      <c r="AH50">
        <f>2.9092705457375*1*2</f>
        <v>5.8185410914749998</v>
      </c>
      <c r="AI50">
        <v>1</v>
      </c>
      <c r="AJ50">
        <v>0</v>
      </c>
    </row>
    <row r="51" spans="1:36" hidden="1" x14ac:dyDescent="0.2">
      <c r="A51" t="s">
        <v>144</v>
      </c>
      <c r="B51" t="s">
        <v>145</v>
      </c>
      <c r="C51" t="s">
        <v>145</v>
      </c>
      <c r="D51" t="s">
        <v>4</v>
      </c>
      <c r="E51">
        <v>0</v>
      </c>
      <c r="F51">
        <v>1</v>
      </c>
      <c r="G51">
        <v>0</v>
      </c>
      <c r="H51">
        <v>0</v>
      </c>
      <c r="I51" t="s">
        <v>14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4.5999999999999996</v>
      </c>
      <c r="AE51">
        <v>265</v>
      </c>
      <c r="AF51">
        <v>18.84615384615385</v>
      </c>
      <c r="AG51">
        <v>19.23888307683961</v>
      </c>
      <c r="AH51">
        <f>3.01962533985624*1</f>
        <v>3.01962533985624</v>
      </c>
      <c r="AI51">
        <v>1</v>
      </c>
      <c r="AJ51">
        <v>0</v>
      </c>
    </row>
    <row r="52" spans="1:36" hidden="1" x14ac:dyDescent="0.2">
      <c r="A52" t="s">
        <v>146</v>
      </c>
      <c r="B52" t="s">
        <v>147</v>
      </c>
      <c r="C52" t="s">
        <v>146</v>
      </c>
      <c r="D52" t="s">
        <v>5</v>
      </c>
      <c r="E52">
        <v>0</v>
      </c>
      <c r="F52">
        <v>0</v>
      </c>
      <c r="G52">
        <v>1</v>
      </c>
      <c r="H52">
        <v>0</v>
      </c>
      <c r="I52" t="s">
        <v>14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4.8</v>
      </c>
      <c r="AE52">
        <v>267</v>
      </c>
      <c r="AF52">
        <v>18.720930232558139</v>
      </c>
      <c r="AG52">
        <v>14.92028980567277</v>
      </c>
      <c r="AH52">
        <f>2.9701530158094*1</f>
        <v>2.9701530158093998</v>
      </c>
      <c r="AI52">
        <v>1</v>
      </c>
      <c r="AJ52">
        <v>0</v>
      </c>
    </row>
    <row r="53" spans="1:36" hidden="1" x14ac:dyDescent="0.2">
      <c r="A53" t="s">
        <v>148</v>
      </c>
      <c r="B53" t="s">
        <v>149</v>
      </c>
      <c r="C53" t="s">
        <v>149</v>
      </c>
      <c r="D53" t="s">
        <v>5</v>
      </c>
      <c r="E53">
        <v>0</v>
      </c>
      <c r="F53">
        <v>0</v>
      </c>
      <c r="G53">
        <v>1</v>
      </c>
      <c r="H53">
        <v>0</v>
      </c>
      <c r="I53" t="s">
        <v>14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5.4</v>
      </c>
      <c r="AE53">
        <v>269</v>
      </c>
      <c r="AF53">
        <v>24.60434238962435</v>
      </c>
      <c r="AG53">
        <v>18.039632920979379</v>
      </c>
      <c r="AH53">
        <f>3.60134665650881*1</f>
        <v>3.6013466565088099</v>
      </c>
      <c r="AI53">
        <v>1</v>
      </c>
      <c r="AJ53">
        <v>0</v>
      </c>
    </row>
    <row r="54" spans="1:36" hidden="1" x14ac:dyDescent="0.2">
      <c r="A54" t="s">
        <v>150</v>
      </c>
      <c r="B54" t="s">
        <v>151</v>
      </c>
      <c r="C54" t="s">
        <v>151</v>
      </c>
      <c r="D54" t="s">
        <v>5</v>
      </c>
      <c r="E54">
        <v>0</v>
      </c>
      <c r="F54">
        <v>0</v>
      </c>
      <c r="G54">
        <v>1</v>
      </c>
      <c r="H54">
        <v>0</v>
      </c>
      <c r="I54" t="s">
        <v>14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6.3</v>
      </c>
      <c r="AE54">
        <v>274</v>
      </c>
      <c r="AF54">
        <v>18.421052631578949</v>
      </c>
      <c r="AG54">
        <v>18.977331549913231</v>
      </c>
      <c r="AH54">
        <f>2.97129299340077*1</f>
        <v>2.9712929934007701</v>
      </c>
      <c r="AI54">
        <v>1</v>
      </c>
      <c r="AJ54">
        <v>0</v>
      </c>
    </row>
    <row r="55" spans="1:36" hidden="1" x14ac:dyDescent="0.2">
      <c r="A55" t="s">
        <v>152</v>
      </c>
      <c r="B55" t="s">
        <v>153</v>
      </c>
      <c r="C55" t="s">
        <v>154</v>
      </c>
      <c r="D55" t="s">
        <v>6</v>
      </c>
      <c r="E55">
        <v>0</v>
      </c>
      <c r="F55">
        <v>0</v>
      </c>
      <c r="G55">
        <v>0</v>
      </c>
      <c r="H55">
        <v>1</v>
      </c>
      <c r="I55" t="s">
        <v>14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6.8</v>
      </c>
      <c r="AE55">
        <v>275</v>
      </c>
      <c r="AF55">
        <v>26.749999999999989</v>
      </c>
      <c r="AG55">
        <v>26.01478726034119</v>
      </c>
      <c r="AH55">
        <f>4.29803952096426*1</f>
        <v>4.2980395209642603</v>
      </c>
      <c r="AI55">
        <v>1</v>
      </c>
      <c r="AJ55">
        <v>0</v>
      </c>
    </row>
    <row r="56" spans="1:36" hidden="1" x14ac:dyDescent="0.2">
      <c r="A56" t="s">
        <v>155</v>
      </c>
      <c r="B56" t="s">
        <v>156</v>
      </c>
      <c r="C56" t="s">
        <v>156</v>
      </c>
      <c r="D56" t="s">
        <v>5</v>
      </c>
      <c r="E56">
        <v>0</v>
      </c>
      <c r="F56">
        <v>0</v>
      </c>
      <c r="G56">
        <v>1</v>
      </c>
      <c r="H56">
        <v>0</v>
      </c>
      <c r="I56" t="s">
        <v>14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6.8</v>
      </c>
      <c r="AE56">
        <v>280</v>
      </c>
      <c r="AF56">
        <v>27.31780356758539</v>
      </c>
      <c r="AG56">
        <v>39.027792958352208</v>
      </c>
      <c r="AH56">
        <f>4.72778358722922*1</f>
        <v>4.7277835872292204</v>
      </c>
      <c r="AI56">
        <v>1</v>
      </c>
      <c r="AJ56">
        <v>0</v>
      </c>
    </row>
    <row r="57" spans="1:36" hidden="1" x14ac:dyDescent="0.2">
      <c r="A57" t="s">
        <v>157</v>
      </c>
      <c r="B57" t="s">
        <v>158</v>
      </c>
      <c r="C57" t="s">
        <v>159</v>
      </c>
      <c r="D57" t="s">
        <v>4</v>
      </c>
      <c r="E57">
        <v>0</v>
      </c>
      <c r="F57">
        <v>1</v>
      </c>
      <c r="G57">
        <v>0</v>
      </c>
      <c r="H57">
        <v>0</v>
      </c>
      <c r="I57" t="s">
        <v>14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</v>
      </c>
      <c r="AE57">
        <v>281</v>
      </c>
      <c r="AF57">
        <v>24.062499999999989</v>
      </c>
      <c r="AG57">
        <v>23.542466586149779</v>
      </c>
      <c r="AH57">
        <f>3.80274507978076*1</f>
        <v>3.80274507978076</v>
      </c>
      <c r="AI57">
        <v>1</v>
      </c>
      <c r="AJ57">
        <v>0</v>
      </c>
    </row>
    <row r="58" spans="1:36" hidden="1" x14ac:dyDescent="0.2">
      <c r="A58" t="s">
        <v>248</v>
      </c>
      <c r="B58" t="s">
        <v>249</v>
      </c>
      <c r="C58" t="s">
        <v>249</v>
      </c>
      <c r="D58" t="s">
        <v>5</v>
      </c>
      <c r="E58">
        <v>0</v>
      </c>
      <c r="F58">
        <v>0</v>
      </c>
      <c r="G58">
        <v>1</v>
      </c>
      <c r="H58">
        <v>0</v>
      </c>
      <c r="I58" t="s">
        <v>20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8.1999999999999993</v>
      </c>
      <c r="AE58">
        <v>521</v>
      </c>
      <c r="AF58">
        <v>44.123969047497077</v>
      </c>
      <c r="AG58">
        <v>0</v>
      </c>
      <c r="AH58">
        <f>8.72248904408267*1</f>
        <v>8.7224890440826695</v>
      </c>
      <c r="AI58">
        <v>1</v>
      </c>
      <c r="AJ58">
        <v>0</v>
      </c>
    </row>
    <row r="59" spans="1:36" hidden="1" x14ac:dyDescent="0.2">
      <c r="A59" t="s">
        <v>162</v>
      </c>
      <c r="B59" t="s">
        <v>163</v>
      </c>
      <c r="C59" t="s">
        <v>163</v>
      </c>
      <c r="D59" t="s">
        <v>4</v>
      </c>
      <c r="E59">
        <v>0</v>
      </c>
      <c r="F59">
        <v>1</v>
      </c>
      <c r="G59">
        <v>0</v>
      </c>
      <c r="H59">
        <v>0</v>
      </c>
      <c r="I59" t="s">
        <v>14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4.9000000000000004</v>
      </c>
      <c r="AE59">
        <v>286</v>
      </c>
      <c r="AF59">
        <v>17.25</v>
      </c>
      <c r="AG59">
        <v>14.146394641412529</v>
      </c>
      <c r="AH59">
        <f>2.72083727189872*1</f>
        <v>2.7208372718987199</v>
      </c>
      <c r="AI59">
        <v>1</v>
      </c>
      <c r="AJ59">
        <v>0</v>
      </c>
    </row>
    <row r="60" spans="1:36" hidden="1" x14ac:dyDescent="0.2">
      <c r="A60" t="s">
        <v>164</v>
      </c>
      <c r="B60" t="s">
        <v>165</v>
      </c>
      <c r="C60" t="s">
        <v>165</v>
      </c>
      <c r="D60" t="s">
        <v>4</v>
      </c>
      <c r="E60">
        <v>0</v>
      </c>
      <c r="F60">
        <v>1</v>
      </c>
      <c r="G60">
        <v>0</v>
      </c>
      <c r="H60">
        <v>0</v>
      </c>
      <c r="I60" t="s">
        <v>15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4.7</v>
      </c>
      <c r="AE60">
        <v>311</v>
      </c>
      <c r="AF60">
        <v>17.583918031810111</v>
      </c>
      <c r="AG60">
        <v>0</v>
      </c>
      <c r="AH60">
        <f>7.07659999253852*1</f>
        <v>7.0765999925385197</v>
      </c>
      <c r="AI60">
        <v>1</v>
      </c>
      <c r="AJ60">
        <v>0</v>
      </c>
    </row>
    <row r="61" spans="1:36" hidden="1" x14ac:dyDescent="0.2">
      <c r="A61" t="s">
        <v>166</v>
      </c>
      <c r="B61" t="s">
        <v>167</v>
      </c>
      <c r="C61" t="s">
        <v>168</v>
      </c>
      <c r="D61" t="s">
        <v>5</v>
      </c>
      <c r="E61">
        <v>0</v>
      </c>
      <c r="F61">
        <v>0</v>
      </c>
      <c r="G61">
        <v>1</v>
      </c>
      <c r="H61">
        <v>0</v>
      </c>
      <c r="I61" t="s">
        <v>15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5.4</v>
      </c>
      <c r="AE61">
        <v>312</v>
      </c>
      <c r="AF61">
        <v>16.923913043478279</v>
      </c>
      <c r="AG61">
        <v>0</v>
      </c>
      <c r="AH61">
        <f>7.13761178717609*1</f>
        <v>7.1376117871760902</v>
      </c>
      <c r="AI61">
        <v>1</v>
      </c>
      <c r="AJ61">
        <v>0</v>
      </c>
    </row>
    <row r="62" spans="1:36" hidden="1" x14ac:dyDescent="0.2">
      <c r="A62" t="s">
        <v>169</v>
      </c>
      <c r="B62" t="s">
        <v>170</v>
      </c>
      <c r="C62" t="s">
        <v>170</v>
      </c>
      <c r="D62" t="s">
        <v>5</v>
      </c>
      <c r="E62">
        <v>0</v>
      </c>
      <c r="F62">
        <v>0</v>
      </c>
      <c r="G62">
        <v>1</v>
      </c>
      <c r="H62">
        <v>0</v>
      </c>
      <c r="I62" t="s">
        <v>15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</v>
      </c>
      <c r="AE62">
        <v>317</v>
      </c>
      <c r="AF62">
        <v>22.764705882352938</v>
      </c>
      <c r="AG62">
        <v>0</v>
      </c>
      <c r="AH62">
        <f>9.60094941518823*1</f>
        <v>9.6009494151882304</v>
      </c>
      <c r="AI62">
        <v>1</v>
      </c>
      <c r="AJ62">
        <v>0</v>
      </c>
    </row>
    <row r="63" spans="1:36" hidden="1" x14ac:dyDescent="0.2">
      <c r="A63" t="s">
        <v>171</v>
      </c>
      <c r="B63" t="s">
        <v>172</v>
      </c>
      <c r="C63" t="s">
        <v>173</v>
      </c>
      <c r="D63" t="s">
        <v>5</v>
      </c>
      <c r="E63">
        <v>0</v>
      </c>
      <c r="F63">
        <v>0</v>
      </c>
      <c r="G63">
        <v>1</v>
      </c>
      <c r="H63">
        <v>0</v>
      </c>
      <c r="I63" t="s">
        <v>15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4.7</v>
      </c>
      <c r="AE63">
        <v>322</v>
      </c>
      <c r="AF63">
        <v>15.574975627775061</v>
      </c>
      <c r="AG63">
        <v>0</v>
      </c>
      <c r="AH63">
        <f>6.73826866981992*1</f>
        <v>6.7382686698199201</v>
      </c>
      <c r="AI63">
        <v>1</v>
      </c>
      <c r="AJ63">
        <v>0</v>
      </c>
    </row>
    <row r="64" spans="1:36" hidden="1" x14ac:dyDescent="0.2">
      <c r="A64" t="s">
        <v>174</v>
      </c>
      <c r="B64" t="s">
        <v>175</v>
      </c>
      <c r="C64" t="s">
        <v>175</v>
      </c>
      <c r="D64" t="s">
        <v>6</v>
      </c>
      <c r="E64">
        <v>0</v>
      </c>
      <c r="F64">
        <v>0</v>
      </c>
      <c r="G64">
        <v>0</v>
      </c>
      <c r="H64">
        <v>1</v>
      </c>
      <c r="I64" t="s">
        <v>15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</v>
      </c>
      <c r="AE64">
        <v>323</v>
      </c>
      <c r="AF64">
        <v>15.142857142857141</v>
      </c>
      <c r="AG64">
        <v>0</v>
      </c>
      <c r="AH64">
        <f>6.38645656927619*1</f>
        <v>6.3864565692761897</v>
      </c>
      <c r="AI64">
        <v>1</v>
      </c>
      <c r="AJ64">
        <v>0</v>
      </c>
    </row>
    <row r="65" spans="1:36" hidden="1" x14ac:dyDescent="0.2">
      <c r="A65" t="s">
        <v>176</v>
      </c>
      <c r="B65" t="s">
        <v>177</v>
      </c>
      <c r="C65" t="s">
        <v>177</v>
      </c>
      <c r="D65" t="s">
        <v>4</v>
      </c>
      <c r="E65">
        <v>0</v>
      </c>
      <c r="F65">
        <v>1</v>
      </c>
      <c r="G65">
        <v>0</v>
      </c>
      <c r="H65">
        <v>0</v>
      </c>
      <c r="I65" t="s">
        <v>15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4.5</v>
      </c>
      <c r="AE65">
        <v>325</v>
      </c>
      <c r="AF65">
        <v>14.36045813579106</v>
      </c>
      <c r="AG65">
        <v>0</v>
      </c>
      <c r="AH65">
        <f>4.54230722268231*1</f>
        <v>4.54230722268231</v>
      </c>
      <c r="AI65">
        <v>1</v>
      </c>
      <c r="AJ65">
        <v>0</v>
      </c>
    </row>
    <row r="66" spans="1:36" hidden="1" x14ac:dyDescent="0.2">
      <c r="A66" t="s">
        <v>100</v>
      </c>
      <c r="B66" t="s">
        <v>178</v>
      </c>
      <c r="C66" t="s">
        <v>178</v>
      </c>
      <c r="D66" t="s">
        <v>6</v>
      </c>
      <c r="E66">
        <v>0</v>
      </c>
      <c r="F66">
        <v>0</v>
      </c>
      <c r="G66">
        <v>0</v>
      </c>
      <c r="H66">
        <v>1</v>
      </c>
      <c r="I66" t="s">
        <v>16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5.8</v>
      </c>
      <c r="AE66">
        <v>350</v>
      </c>
      <c r="AF66">
        <v>21.316364775833041</v>
      </c>
      <c r="AG66">
        <v>20.895395288719619</v>
      </c>
      <c r="AH66">
        <f>6.06253699512359*1</f>
        <v>6.0625369951235903</v>
      </c>
      <c r="AI66">
        <v>1</v>
      </c>
      <c r="AJ66">
        <v>0</v>
      </c>
    </row>
    <row r="67" spans="1:36" hidden="1" x14ac:dyDescent="0.2">
      <c r="A67" t="s">
        <v>179</v>
      </c>
      <c r="B67" t="s">
        <v>180</v>
      </c>
      <c r="C67" t="s">
        <v>180</v>
      </c>
      <c r="D67" t="s">
        <v>5</v>
      </c>
      <c r="E67">
        <v>0</v>
      </c>
      <c r="F67">
        <v>0</v>
      </c>
      <c r="G67">
        <v>1</v>
      </c>
      <c r="H67">
        <v>0</v>
      </c>
      <c r="I67" t="s">
        <v>16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5.4</v>
      </c>
      <c r="AE67">
        <v>360</v>
      </c>
      <c r="AF67">
        <v>18.73561373016426</v>
      </c>
      <c r="AG67">
        <v>17.424208255886558</v>
      </c>
      <c r="AH67">
        <f>5.14506693081795*1</f>
        <v>5.1450669308179497</v>
      </c>
      <c r="AI67">
        <v>1</v>
      </c>
      <c r="AJ67">
        <v>0</v>
      </c>
    </row>
    <row r="68" spans="1:36" hidden="1" x14ac:dyDescent="0.2">
      <c r="A68" t="s">
        <v>181</v>
      </c>
      <c r="B68" t="s">
        <v>182</v>
      </c>
      <c r="C68" t="s">
        <v>182</v>
      </c>
      <c r="D68" t="s">
        <v>4</v>
      </c>
      <c r="E68">
        <v>0</v>
      </c>
      <c r="F68">
        <v>1</v>
      </c>
      <c r="G68">
        <v>0</v>
      </c>
      <c r="H68">
        <v>0</v>
      </c>
      <c r="I68" t="s">
        <v>16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4.5999999999999996</v>
      </c>
      <c r="AE68">
        <v>361</v>
      </c>
      <c r="AF68">
        <v>16.097565289763779</v>
      </c>
      <c r="AG68">
        <v>16.561324081542299</v>
      </c>
      <c r="AH68">
        <f>3.9465495797246*1</f>
        <v>3.9465495797246</v>
      </c>
      <c r="AI68">
        <v>1</v>
      </c>
      <c r="AJ68">
        <v>0</v>
      </c>
    </row>
    <row r="69" spans="1:36" hidden="1" x14ac:dyDescent="0.2">
      <c r="A69" t="s">
        <v>166</v>
      </c>
      <c r="B69" t="s">
        <v>183</v>
      </c>
      <c r="C69" t="s">
        <v>183</v>
      </c>
      <c r="D69" t="s">
        <v>3</v>
      </c>
      <c r="E69">
        <v>1</v>
      </c>
      <c r="F69">
        <v>0</v>
      </c>
      <c r="G69">
        <v>0</v>
      </c>
      <c r="H69">
        <v>0</v>
      </c>
      <c r="I69" t="s">
        <v>16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4.7</v>
      </c>
      <c r="AE69">
        <v>364</v>
      </c>
      <c r="AF69">
        <v>21.176470588235269</v>
      </c>
      <c r="AG69">
        <v>20.577519913363471</v>
      </c>
      <c r="AH69">
        <f>5.84492225702361*1</f>
        <v>5.8449222570236099</v>
      </c>
      <c r="AI69">
        <v>1</v>
      </c>
      <c r="AJ69">
        <v>0</v>
      </c>
    </row>
    <row r="70" spans="1:36" hidden="1" x14ac:dyDescent="0.2">
      <c r="A70" t="s">
        <v>184</v>
      </c>
      <c r="B70" t="s">
        <v>185</v>
      </c>
      <c r="C70" t="s">
        <v>185</v>
      </c>
      <c r="D70" t="s">
        <v>4</v>
      </c>
      <c r="E70">
        <v>0</v>
      </c>
      <c r="F70">
        <v>1</v>
      </c>
      <c r="G70">
        <v>0</v>
      </c>
      <c r="H70">
        <v>0</v>
      </c>
      <c r="I70" t="s">
        <v>16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4.4000000000000004</v>
      </c>
      <c r="AE70">
        <v>369</v>
      </c>
      <c r="AF70">
        <v>14.120689655172409</v>
      </c>
      <c r="AG70">
        <v>14.160196574051319</v>
      </c>
      <c r="AH70">
        <f>3.87800826897153*1</f>
        <v>3.8780082689715298</v>
      </c>
      <c r="AI70">
        <v>1</v>
      </c>
      <c r="AJ70">
        <v>0</v>
      </c>
    </row>
    <row r="71" spans="1:36" hidden="1" x14ac:dyDescent="0.2">
      <c r="A71" t="s">
        <v>186</v>
      </c>
      <c r="B71" t="s">
        <v>187</v>
      </c>
      <c r="C71" t="s">
        <v>187</v>
      </c>
      <c r="D71" t="s">
        <v>5</v>
      </c>
      <c r="E71">
        <v>0</v>
      </c>
      <c r="F71">
        <v>0</v>
      </c>
      <c r="G71">
        <v>1</v>
      </c>
      <c r="H71">
        <v>0</v>
      </c>
      <c r="I71" t="s">
        <v>17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5.3</v>
      </c>
      <c r="AE71">
        <v>382</v>
      </c>
      <c r="AF71">
        <v>14.521159190447509</v>
      </c>
      <c r="AG71">
        <v>12.441614347695401</v>
      </c>
      <c r="AH71">
        <f>2.88123341181465*1</f>
        <v>2.8812334118146499</v>
      </c>
      <c r="AI71">
        <v>1</v>
      </c>
      <c r="AJ71">
        <v>0</v>
      </c>
    </row>
    <row r="72" spans="1:36" hidden="1" x14ac:dyDescent="0.2">
      <c r="A72" t="s">
        <v>188</v>
      </c>
      <c r="B72" t="s">
        <v>189</v>
      </c>
      <c r="C72" t="s">
        <v>188</v>
      </c>
      <c r="D72" t="s">
        <v>5</v>
      </c>
      <c r="E72">
        <v>0</v>
      </c>
      <c r="F72">
        <v>0</v>
      </c>
      <c r="G72">
        <v>1</v>
      </c>
      <c r="H72">
        <v>0</v>
      </c>
      <c r="I72" t="s">
        <v>17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5.3</v>
      </c>
      <c r="AE72">
        <v>383</v>
      </c>
      <c r="AF72">
        <v>18.38461538461539</v>
      </c>
      <c r="AG72">
        <v>15.850289358334919</v>
      </c>
      <c r="AH72">
        <f>3.82578365765984*1</f>
        <v>3.8257836576598399</v>
      </c>
      <c r="AI72">
        <v>1</v>
      </c>
      <c r="AJ72">
        <v>0</v>
      </c>
    </row>
    <row r="73" spans="1:36" hidden="1" x14ac:dyDescent="0.2">
      <c r="A73" t="s">
        <v>190</v>
      </c>
      <c r="B73" t="s">
        <v>191</v>
      </c>
      <c r="C73" t="s">
        <v>191</v>
      </c>
      <c r="D73" t="s">
        <v>5</v>
      </c>
      <c r="E73">
        <v>0</v>
      </c>
      <c r="F73">
        <v>0</v>
      </c>
      <c r="G73">
        <v>1</v>
      </c>
      <c r="H73">
        <v>0</v>
      </c>
      <c r="I73" t="s">
        <v>17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5.3</v>
      </c>
      <c r="AE73">
        <v>386</v>
      </c>
      <c r="AF73">
        <v>13.521057428841219</v>
      </c>
      <c r="AG73">
        <v>12.940855331653299</v>
      </c>
      <c r="AH73">
        <f>2.77416512773593*1</f>
        <v>2.7741651277359298</v>
      </c>
      <c r="AI73">
        <v>1</v>
      </c>
      <c r="AJ73">
        <v>0</v>
      </c>
    </row>
    <row r="74" spans="1:36" hidden="1" x14ac:dyDescent="0.2">
      <c r="A74" t="s">
        <v>192</v>
      </c>
      <c r="B74" t="s">
        <v>193</v>
      </c>
      <c r="C74" t="s">
        <v>193</v>
      </c>
      <c r="D74" t="s">
        <v>3</v>
      </c>
      <c r="E74">
        <v>1</v>
      </c>
      <c r="F74">
        <v>0</v>
      </c>
      <c r="G74">
        <v>0</v>
      </c>
      <c r="H74">
        <v>0</v>
      </c>
      <c r="I74" t="s">
        <v>17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4.8</v>
      </c>
      <c r="AE74">
        <v>391</v>
      </c>
      <c r="AF74">
        <v>17.535863783774889</v>
      </c>
      <c r="AG74">
        <v>18.137080300052489</v>
      </c>
      <c r="AH74">
        <f>3.81200320859212*1</f>
        <v>3.8120032085921198</v>
      </c>
      <c r="AI74">
        <v>1</v>
      </c>
      <c r="AJ74">
        <v>0</v>
      </c>
    </row>
    <row r="75" spans="1:36" hidden="1" x14ac:dyDescent="0.2">
      <c r="A75" t="s">
        <v>194</v>
      </c>
      <c r="B75" t="s">
        <v>195</v>
      </c>
      <c r="C75" t="s">
        <v>196</v>
      </c>
      <c r="D75" t="s">
        <v>5</v>
      </c>
      <c r="E75">
        <v>0</v>
      </c>
      <c r="F75">
        <v>0</v>
      </c>
      <c r="G75">
        <v>1</v>
      </c>
      <c r="H75">
        <v>0</v>
      </c>
      <c r="I75" t="s">
        <v>17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</v>
      </c>
      <c r="AE75">
        <v>396</v>
      </c>
      <c r="AF75">
        <v>13.12930470730586</v>
      </c>
      <c r="AG75">
        <v>11.653052015679441</v>
      </c>
      <c r="AH75">
        <f>2.96945664593983*1</f>
        <v>2.9694566459398302</v>
      </c>
      <c r="AI75">
        <v>1</v>
      </c>
      <c r="AJ75">
        <v>0</v>
      </c>
    </row>
    <row r="76" spans="1:36" hidden="1" x14ac:dyDescent="0.2">
      <c r="A76" t="s">
        <v>197</v>
      </c>
      <c r="B76" t="s">
        <v>198</v>
      </c>
      <c r="C76" t="s">
        <v>198</v>
      </c>
      <c r="D76" t="s">
        <v>4</v>
      </c>
      <c r="E76">
        <v>0</v>
      </c>
      <c r="F76">
        <v>1</v>
      </c>
      <c r="G76">
        <v>0</v>
      </c>
      <c r="H76">
        <v>0</v>
      </c>
      <c r="I76" t="s">
        <v>17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4.5999999999999996</v>
      </c>
      <c r="AE76">
        <v>399</v>
      </c>
      <c r="AF76">
        <v>12.88043478260871</v>
      </c>
      <c r="AG76">
        <v>10.92864824440054</v>
      </c>
      <c r="AH76">
        <f>2.39726855797568*1</f>
        <v>2.3972685579756798</v>
      </c>
      <c r="AI76">
        <v>1</v>
      </c>
      <c r="AJ76">
        <v>0</v>
      </c>
    </row>
    <row r="77" spans="1:36" hidden="1" x14ac:dyDescent="0.2">
      <c r="A77" t="s">
        <v>199</v>
      </c>
      <c r="B77" t="s">
        <v>200</v>
      </c>
      <c r="C77" t="s">
        <v>199</v>
      </c>
      <c r="D77" t="s">
        <v>5</v>
      </c>
      <c r="E77">
        <v>0</v>
      </c>
      <c r="F77">
        <v>0</v>
      </c>
      <c r="G77">
        <v>1</v>
      </c>
      <c r="H77">
        <v>0</v>
      </c>
      <c r="I77" t="s">
        <v>17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5.3</v>
      </c>
      <c r="AE77">
        <v>406</v>
      </c>
      <c r="AF77">
        <v>18.42592592592592</v>
      </c>
      <c r="AG77">
        <v>25.745437806210131</v>
      </c>
      <c r="AH77">
        <f>4.82292862663274*1</f>
        <v>4.8229286266327396</v>
      </c>
      <c r="AI77">
        <v>1</v>
      </c>
      <c r="AJ77">
        <v>0</v>
      </c>
    </row>
    <row r="78" spans="1:36" hidden="1" x14ac:dyDescent="0.2">
      <c r="A78" t="s">
        <v>201</v>
      </c>
      <c r="B78" t="s">
        <v>202</v>
      </c>
      <c r="C78" t="s">
        <v>202</v>
      </c>
      <c r="D78" t="s">
        <v>4</v>
      </c>
      <c r="E78">
        <v>0</v>
      </c>
      <c r="F78">
        <v>1</v>
      </c>
      <c r="G78">
        <v>0</v>
      </c>
      <c r="H78">
        <v>0</v>
      </c>
      <c r="I78" t="s">
        <v>17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4.4000000000000004</v>
      </c>
      <c r="AE78">
        <v>407</v>
      </c>
      <c r="AF78">
        <v>14.3752739221278</v>
      </c>
      <c r="AG78">
        <v>10.876811971141549</v>
      </c>
      <c r="AH78">
        <f>2.8357968496785*1</f>
        <v>2.8357968496785002</v>
      </c>
      <c r="AI78">
        <v>1</v>
      </c>
      <c r="AJ78">
        <v>0</v>
      </c>
    </row>
    <row r="79" spans="1:36" hidden="1" x14ac:dyDescent="0.2">
      <c r="A79" t="s">
        <v>203</v>
      </c>
      <c r="B79" t="s">
        <v>204</v>
      </c>
      <c r="C79" t="s">
        <v>204</v>
      </c>
      <c r="D79" t="s">
        <v>4</v>
      </c>
      <c r="E79">
        <v>0</v>
      </c>
      <c r="F79">
        <v>1</v>
      </c>
      <c r="G79">
        <v>0</v>
      </c>
      <c r="H79">
        <v>0</v>
      </c>
      <c r="I79" t="s">
        <v>17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4.5</v>
      </c>
      <c r="AE79">
        <v>413</v>
      </c>
      <c r="AF79">
        <v>16.20699020131325</v>
      </c>
      <c r="AG79">
        <v>14.217028042584429</v>
      </c>
      <c r="AH79">
        <f>3.11760581013354*1</f>
        <v>3.11760581013354</v>
      </c>
      <c r="AI79">
        <v>1</v>
      </c>
      <c r="AJ79">
        <v>0</v>
      </c>
    </row>
    <row r="80" spans="1:36" hidden="1" x14ac:dyDescent="0.2">
      <c r="A80" t="s">
        <v>205</v>
      </c>
      <c r="B80" t="s">
        <v>206</v>
      </c>
      <c r="C80" t="s">
        <v>207</v>
      </c>
      <c r="D80" t="s">
        <v>3</v>
      </c>
      <c r="E80">
        <v>1</v>
      </c>
      <c r="F80">
        <v>0</v>
      </c>
      <c r="G80">
        <v>0</v>
      </c>
      <c r="H80">
        <v>0</v>
      </c>
      <c r="I80" t="s">
        <v>18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5.7</v>
      </c>
      <c r="AE80">
        <v>421</v>
      </c>
      <c r="AF80">
        <v>0</v>
      </c>
      <c r="AG80">
        <v>25.768938989130159</v>
      </c>
      <c r="AH80">
        <f>8.04637419058941*1</f>
        <v>8.0463741905894093</v>
      </c>
      <c r="AI80">
        <v>1</v>
      </c>
      <c r="AJ80">
        <v>0</v>
      </c>
    </row>
    <row r="81" spans="1:36" hidden="1" x14ac:dyDescent="0.2">
      <c r="A81" t="s">
        <v>208</v>
      </c>
      <c r="B81" t="s">
        <v>209</v>
      </c>
      <c r="C81" t="s">
        <v>208</v>
      </c>
      <c r="D81" t="s">
        <v>6</v>
      </c>
      <c r="E81">
        <v>0</v>
      </c>
      <c r="F81">
        <v>0</v>
      </c>
      <c r="G81">
        <v>0</v>
      </c>
      <c r="H81">
        <v>1</v>
      </c>
      <c r="I81" t="s">
        <v>18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7.7</v>
      </c>
      <c r="AE81">
        <v>423</v>
      </c>
      <c r="AF81">
        <v>0</v>
      </c>
      <c r="AG81">
        <v>22.939590992456559</v>
      </c>
      <c r="AH81">
        <f>7.87944978748821*1</f>
        <v>7.8794497874882099</v>
      </c>
      <c r="AI81">
        <v>1</v>
      </c>
      <c r="AJ81">
        <v>0</v>
      </c>
    </row>
    <row r="82" spans="1:36" hidden="1" x14ac:dyDescent="0.2">
      <c r="A82" t="s">
        <v>210</v>
      </c>
      <c r="B82" t="s">
        <v>211</v>
      </c>
      <c r="C82" t="s">
        <v>211</v>
      </c>
      <c r="D82" t="s">
        <v>6</v>
      </c>
      <c r="E82">
        <v>0</v>
      </c>
      <c r="F82">
        <v>0</v>
      </c>
      <c r="G82">
        <v>0</v>
      </c>
      <c r="H82">
        <v>1</v>
      </c>
      <c r="I82" t="s">
        <v>18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7.1</v>
      </c>
      <c r="AE82">
        <v>427</v>
      </c>
      <c r="AF82">
        <v>0</v>
      </c>
      <c r="AG82">
        <v>19.102118363610721</v>
      </c>
      <c r="AH82">
        <f>6.34911788307964*1</f>
        <v>6.3491178830796402</v>
      </c>
      <c r="AI82">
        <v>1</v>
      </c>
      <c r="AJ82">
        <v>0</v>
      </c>
    </row>
    <row r="83" spans="1:36" hidden="1" x14ac:dyDescent="0.2">
      <c r="A83" t="s">
        <v>212</v>
      </c>
      <c r="B83" t="s">
        <v>213</v>
      </c>
      <c r="C83" t="s">
        <v>213</v>
      </c>
      <c r="D83" t="s">
        <v>4</v>
      </c>
      <c r="E83">
        <v>0</v>
      </c>
      <c r="F83">
        <v>1</v>
      </c>
      <c r="G83">
        <v>0</v>
      </c>
      <c r="H83">
        <v>0</v>
      </c>
      <c r="I83" t="s">
        <v>18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4.5999999999999996</v>
      </c>
      <c r="AE83">
        <v>428</v>
      </c>
      <c r="AF83">
        <v>0</v>
      </c>
      <c r="AG83">
        <v>16.453353933591771</v>
      </c>
      <c r="AH83">
        <f>6.04456356978561*1</f>
        <v>6.0445635697856099</v>
      </c>
      <c r="AI83">
        <v>1</v>
      </c>
      <c r="AJ83">
        <v>0</v>
      </c>
    </row>
    <row r="84" spans="1:36" hidden="1" x14ac:dyDescent="0.2">
      <c r="A84" t="s">
        <v>214</v>
      </c>
      <c r="B84" t="s">
        <v>215</v>
      </c>
      <c r="C84" t="s">
        <v>216</v>
      </c>
      <c r="D84" t="s">
        <v>5</v>
      </c>
      <c r="E84">
        <v>0</v>
      </c>
      <c r="F84">
        <v>0</v>
      </c>
      <c r="G84">
        <v>1</v>
      </c>
      <c r="H84">
        <v>0</v>
      </c>
      <c r="I84" t="s">
        <v>18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7.7</v>
      </c>
      <c r="AE84">
        <v>433</v>
      </c>
      <c r="AF84">
        <v>0</v>
      </c>
      <c r="AG84">
        <v>17.850272584230261</v>
      </c>
      <c r="AH84">
        <f>5.86278313291437*1</f>
        <v>5.8627831329143696</v>
      </c>
      <c r="AI84">
        <v>1</v>
      </c>
      <c r="AJ84">
        <v>0</v>
      </c>
    </row>
    <row r="85" spans="1:36" hidden="1" x14ac:dyDescent="0.2">
      <c r="A85" t="s">
        <v>217</v>
      </c>
      <c r="B85" t="s">
        <v>218</v>
      </c>
      <c r="C85" t="s">
        <v>218</v>
      </c>
      <c r="D85" t="s">
        <v>5</v>
      </c>
      <c r="E85">
        <v>0</v>
      </c>
      <c r="F85">
        <v>0</v>
      </c>
      <c r="G85">
        <v>1</v>
      </c>
      <c r="H85">
        <v>0</v>
      </c>
      <c r="I85" t="s">
        <v>18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5.9</v>
      </c>
      <c r="AE85">
        <v>434</v>
      </c>
      <c r="AF85">
        <v>0</v>
      </c>
      <c r="AG85">
        <v>14.771727604865569</v>
      </c>
      <c r="AH85">
        <f>4.45854525228012*1</f>
        <v>4.4585452522801203</v>
      </c>
      <c r="AI85">
        <v>1</v>
      </c>
      <c r="AJ85">
        <v>0</v>
      </c>
    </row>
    <row r="86" spans="1:36" x14ac:dyDescent="0.2">
      <c r="A86" t="s">
        <v>330</v>
      </c>
      <c r="B86" t="s">
        <v>331</v>
      </c>
      <c r="C86" s="1" t="s">
        <v>332</v>
      </c>
      <c r="D86" t="s">
        <v>3</v>
      </c>
      <c r="E86">
        <v>1</v>
      </c>
      <c r="F86">
        <v>0</v>
      </c>
      <c r="G86">
        <v>0</v>
      </c>
      <c r="H86">
        <v>0</v>
      </c>
      <c r="I86" t="s">
        <v>27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5</v>
      </c>
      <c r="AE86">
        <v>828</v>
      </c>
      <c r="AF86">
        <v>21.859644854970309</v>
      </c>
      <c r="AG86">
        <v>20.67945011041088</v>
      </c>
      <c r="AH86">
        <f>8.66359635324485*1</f>
        <v>8.6635963532448503</v>
      </c>
      <c r="AI86">
        <v>1</v>
      </c>
      <c r="AJ86">
        <v>1</v>
      </c>
    </row>
    <row r="87" spans="1:36" hidden="1" x14ac:dyDescent="0.2">
      <c r="A87" t="s">
        <v>328</v>
      </c>
      <c r="B87" t="s">
        <v>329</v>
      </c>
      <c r="C87" t="s">
        <v>329</v>
      </c>
      <c r="D87" t="s">
        <v>4</v>
      </c>
      <c r="E87">
        <v>0</v>
      </c>
      <c r="F87">
        <v>1</v>
      </c>
      <c r="G87">
        <v>0</v>
      </c>
      <c r="H87">
        <v>0</v>
      </c>
      <c r="I87" t="s">
        <v>27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4.5</v>
      </c>
      <c r="AE87">
        <v>823</v>
      </c>
      <c r="AF87">
        <v>17.69747899159664</v>
      </c>
      <c r="AG87">
        <v>16.557819142014829</v>
      </c>
      <c r="AH87">
        <f>7.21972720322463*1</f>
        <v>7.2197272032246298</v>
      </c>
      <c r="AI87">
        <v>1</v>
      </c>
      <c r="AJ87">
        <v>0</v>
      </c>
    </row>
    <row r="88" spans="1:36" hidden="1" x14ac:dyDescent="0.2">
      <c r="A88" t="s">
        <v>78</v>
      </c>
      <c r="B88" t="s">
        <v>79</v>
      </c>
      <c r="C88" t="s">
        <v>79</v>
      </c>
      <c r="D88" t="s">
        <v>6</v>
      </c>
      <c r="E88">
        <v>0</v>
      </c>
      <c r="F88">
        <v>0</v>
      </c>
      <c r="G88">
        <v>0</v>
      </c>
      <c r="H88">
        <v>1</v>
      </c>
      <c r="I88" t="s">
        <v>9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8.8000000000000007</v>
      </c>
      <c r="AE88">
        <v>64</v>
      </c>
      <c r="AF88">
        <v>30.642469830895649</v>
      </c>
      <c r="AG88">
        <v>0</v>
      </c>
      <c r="AH88">
        <f>7.13990457236141*1</f>
        <v>7.1399045723614103</v>
      </c>
      <c r="AI88">
        <v>1</v>
      </c>
      <c r="AJ88">
        <v>0</v>
      </c>
    </row>
    <row r="89" spans="1:36" x14ac:dyDescent="0.2">
      <c r="A89" t="s">
        <v>225</v>
      </c>
      <c r="B89" t="s">
        <v>226</v>
      </c>
      <c r="C89" s="1" t="s">
        <v>226</v>
      </c>
      <c r="D89" t="s">
        <v>6</v>
      </c>
      <c r="E89">
        <v>0</v>
      </c>
      <c r="F89">
        <v>0</v>
      </c>
      <c r="G89">
        <v>0</v>
      </c>
      <c r="H89">
        <v>1</v>
      </c>
      <c r="I89" t="s">
        <v>19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4.9000000000000004</v>
      </c>
      <c r="AE89">
        <v>475</v>
      </c>
      <c r="AF89">
        <v>18.5</v>
      </c>
      <c r="AG89">
        <v>22.918288251610299</v>
      </c>
      <c r="AH89">
        <f>6.87380974434004*1*2</f>
        <v>13.74761948868008</v>
      </c>
      <c r="AI89">
        <v>1</v>
      </c>
      <c r="AJ89">
        <v>1</v>
      </c>
    </row>
    <row r="90" spans="1:36" hidden="1" x14ac:dyDescent="0.2">
      <c r="A90" t="s">
        <v>227</v>
      </c>
      <c r="B90" t="s">
        <v>228</v>
      </c>
      <c r="C90" s="1" t="s">
        <v>228</v>
      </c>
      <c r="D90" t="s">
        <v>6</v>
      </c>
      <c r="E90">
        <v>0</v>
      </c>
      <c r="F90">
        <v>0</v>
      </c>
      <c r="G90">
        <v>0</v>
      </c>
      <c r="H90">
        <v>1</v>
      </c>
      <c r="I90" t="s">
        <v>19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4.8</v>
      </c>
      <c r="AE90">
        <v>477</v>
      </c>
      <c r="AF90">
        <v>13.8</v>
      </c>
      <c r="AG90">
        <v>15.144171637139619</v>
      </c>
      <c r="AH90">
        <v>0</v>
      </c>
      <c r="AI90">
        <v>0</v>
      </c>
      <c r="AJ90">
        <v>0</v>
      </c>
    </row>
    <row r="91" spans="1:36" hidden="1" x14ac:dyDescent="0.2">
      <c r="A91" t="s">
        <v>229</v>
      </c>
      <c r="B91" t="s">
        <v>230</v>
      </c>
      <c r="C91" t="s">
        <v>230</v>
      </c>
      <c r="D91" t="s">
        <v>5</v>
      </c>
      <c r="E91">
        <v>0</v>
      </c>
      <c r="F91">
        <v>0</v>
      </c>
      <c r="G91">
        <v>1</v>
      </c>
      <c r="H91">
        <v>0</v>
      </c>
      <c r="I91" t="s">
        <v>19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4.5999999999999996</v>
      </c>
      <c r="AE91">
        <v>494</v>
      </c>
      <c r="AF91">
        <v>6.7644161261226543</v>
      </c>
      <c r="AG91">
        <v>8.6919315507599801</v>
      </c>
      <c r="AH91">
        <f>2.07442916015432*1*2</f>
        <v>4.1488583203086398</v>
      </c>
      <c r="AI91">
        <v>1</v>
      </c>
      <c r="AJ91">
        <v>0</v>
      </c>
    </row>
    <row r="92" spans="1:36" hidden="1" x14ac:dyDescent="0.2">
      <c r="A92" t="s">
        <v>231</v>
      </c>
      <c r="B92" t="s">
        <v>232</v>
      </c>
      <c r="C92" t="s">
        <v>232</v>
      </c>
      <c r="D92" t="s">
        <v>3</v>
      </c>
      <c r="E92">
        <v>1</v>
      </c>
      <c r="F92">
        <v>0</v>
      </c>
      <c r="G92">
        <v>0</v>
      </c>
      <c r="H92">
        <v>0</v>
      </c>
      <c r="I92" t="s">
        <v>19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4.5</v>
      </c>
      <c r="AE92">
        <v>496</v>
      </c>
      <c r="AF92">
        <v>11.33333333333333</v>
      </c>
      <c r="AG92">
        <v>11.14432341335425</v>
      </c>
      <c r="AH92">
        <f>4.11493392296644*1*2</f>
        <v>8.2298678459328798</v>
      </c>
      <c r="AI92">
        <v>1</v>
      </c>
      <c r="AJ92">
        <v>0</v>
      </c>
    </row>
    <row r="93" spans="1:36" hidden="1" x14ac:dyDescent="0.2">
      <c r="A93" t="s">
        <v>233</v>
      </c>
      <c r="B93" t="s">
        <v>234</v>
      </c>
      <c r="C93" t="s">
        <v>234</v>
      </c>
      <c r="D93" t="s">
        <v>5</v>
      </c>
      <c r="E93">
        <v>0</v>
      </c>
      <c r="F93">
        <v>0</v>
      </c>
      <c r="G93">
        <v>1</v>
      </c>
      <c r="H93">
        <v>0</v>
      </c>
      <c r="I93" t="s">
        <v>19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4.7</v>
      </c>
      <c r="AE93">
        <v>497</v>
      </c>
      <c r="AF93">
        <v>15.808187107517449</v>
      </c>
      <c r="AG93">
        <v>13.0681028921736</v>
      </c>
      <c r="AH93">
        <f>4.54326085243059*1*2</f>
        <v>9.0865217048611804</v>
      </c>
      <c r="AI93">
        <v>1</v>
      </c>
      <c r="AJ93">
        <v>0</v>
      </c>
    </row>
    <row r="94" spans="1:36" hidden="1" x14ac:dyDescent="0.2">
      <c r="A94" t="s">
        <v>235</v>
      </c>
      <c r="B94" t="s">
        <v>236</v>
      </c>
      <c r="C94" t="s">
        <v>236</v>
      </c>
      <c r="D94" t="s">
        <v>4</v>
      </c>
      <c r="E94">
        <v>0</v>
      </c>
      <c r="F94">
        <v>1</v>
      </c>
      <c r="G94">
        <v>0</v>
      </c>
      <c r="H94">
        <v>0</v>
      </c>
      <c r="I94" t="s">
        <v>20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</v>
      </c>
      <c r="AE94">
        <v>510</v>
      </c>
      <c r="AF94">
        <v>19.515403186189818</v>
      </c>
      <c r="AG94">
        <v>0</v>
      </c>
      <c r="AH94">
        <f>3.52016221193514*1</f>
        <v>3.5201622119351401</v>
      </c>
      <c r="AI94">
        <v>1</v>
      </c>
      <c r="AJ94">
        <v>0</v>
      </c>
    </row>
    <row r="95" spans="1:36" hidden="1" x14ac:dyDescent="0.2">
      <c r="A95" t="s">
        <v>108</v>
      </c>
      <c r="B95" t="s">
        <v>237</v>
      </c>
      <c r="C95" t="s">
        <v>237</v>
      </c>
      <c r="D95" t="s">
        <v>4</v>
      </c>
      <c r="E95">
        <v>0</v>
      </c>
      <c r="F95">
        <v>1</v>
      </c>
      <c r="G95">
        <v>0</v>
      </c>
      <c r="H95">
        <v>0</v>
      </c>
      <c r="I95" t="s">
        <v>20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5</v>
      </c>
      <c r="AE95">
        <v>511</v>
      </c>
      <c r="AF95">
        <v>19.640287769784148</v>
      </c>
      <c r="AG95">
        <v>0</v>
      </c>
      <c r="AH95">
        <f>3.33180600565107*1</f>
        <v>3.3318060056510701</v>
      </c>
      <c r="AI95">
        <v>1</v>
      </c>
      <c r="AJ95">
        <v>0</v>
      </c>
    </row>
    <row r="96" spans="1:36" hidden="1" x14ac:dyDescent="0.2">
      <c r="A96" t="s">
        <v>238</v>
      </c>
      <c r="B96" t="s">
        <v>239</v>
      </c>
      <c r="C96" t="s">
        <v>240</v>
      </c>
      <c r="D96" t="s">
        <v>6</v>
      </c>
      <c r="E96">
        <v>0</v>
      </c>
      <c r="F96">
        <v>0</v>
      </c>
      <c r="G96">
        <v>0</v>
      </c>
      <c r="H96">
        <v>1</v>
      </c>
      <c r="I96" t="s">
        <v>20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6.4</v>
      </c>
      <c r="AE96">
        <v>512</v>
      </c>
      <c r="AF96">
        <v>22.37288135593219</v>
      </c>
      <c r="AG96">
        <v>0</v>
      </c>
      <c r="AH96">
        <f>3.79536702003389*1</f>
        <v>3.7953670200338898</v>
      </c>
      <c r="AI96">
        <v>1</v>
      </c>
      <c r="AJ96">
        <v>0</v>
      </c>
    </row>
    <row r="97" spans="1:36" hidden="1" x14ac:dyDescent="0.2">
      <c r="A97" t="s">
        <v>241</v>
      </c>
      <c r="B97" t="s">
        <v>242</v>
      </c>
      <c r="C97" t="s">
        <v>241</v>
      </c>
      <c r="D97" t="s">
        <v>5</v>
      </c>
      <c r="E97">
        <v>0</v>
      </c>
      <c r="F97">
        <v>0</v>
      </c>
      <c r="G97">
        <v>1</v>
      </c>
      <c r="H97">
        <v>0</v>
      </c>
      <c r="I97" t="s">
        <v>20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6.2</v>
      </c>
      <c r="AE97">
        <v>513</v>
      </c>
      <c r="AF97">
        <v>21.894736842105271</v>
      </c>
      <c r="AG97">
        <v>0</v>
      </c>
      <c r="AH97">
        <f>3.71425391306666*1</f>
        <v>3.7142539130666599</v>
      </c>
      <c r="AI97">
        <v>1</v>
      </c>
      <c r="AJ97">
        <v>0</v>
      </c>
    </row>
    <row r="98" spans="1:36" hidden="1" x14ac:dyDescent="0.2">
      <c r="A98" t="s">
        <v>243</v>
      </c>
      <c r="B98" t="s">
        <v>244</v>
      </c>
      <c r="C98" t="s">
        <v>243</v>
      </c>
      <c r="D98" t="s">
        <v>4</v>
      </c>
      <c r="E98">
        <v>0</v>
      </c>
      <c r="F98">
        <v>1</v>
      </c>
      <c r="G98">
        <v>0</v>
      </c>
      <c r="H98">
        <v>0</v>
      </c>
      <c r="I98" t="s">
        <v>20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5.5</v>
      </c>
      <c r="AE98">
        <v>519</v>
      </c>
      <c r="AF98">
        <v>17.760000000000009</v>
      </c>
      <c r="AG98">
        <v>0</v>
      </c>
      <c r="AH98">
        <f>3.012831347176*1</f>
        <v>3.0128313471760002</v>
      </c>
      <c r="AI98">
        <v>1</v>
      </c>
      <c r="AJ98">
        <v>0</v>
      </c>
    </row>
    <row r="99" spans="1:36" hidden="1" x14ac:dyDescent="0.2">
      <c r="A99" t="s">
        <v>245</v>
      </c>
      <c r="B99" t="s">
        <v>246</v>
      </c>
      <c r="C99" t="s">
        <v>247</v>
      </c>
      <c r="D99" t="s">
        <v>3</v>
      </c>
      <c r="E99">
        <v>1</v>
      </c>
      <c r="F99">
        <v>0</v>
      </c>
      <c r="G99">
        <v>0</v>
      </c>
      <c r="H99">
        <v>0</v>
      </c>
      <c r="I99" t="s">
        <v>20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5.5</v>
      </c>
      <c r="AE99">
        <v>520</v>
      </c>
      <c r="AF99">
        <v>23.36040609137056</v>
      </c>
      <c r="AG99">
        <v>0</v>
      </c>
      <c r="AH99">
        <f>3.96289210331319*1</f>
        <v>3.9628921033131901</v>
      </c>
      <c r="AI99">
        <v>1</v>
      </c>
      <c r="AJ99">
        <v>0</v>
      </c>
    </row>
    <row r="100" spans="1:36" hidden="1" x14ac:dyDescent="0.2">
      <c r="A100" t="s">
        <v>275</v>
      </c>
      <c r="B100" t="s">
        <v>276</v>
      </c>
      <c r="C100" t="s">
        <v>276</v>
      </c>
      <c r="D100" t="s">
        <v>6</v>
      </c>
      <c r="E100">
        <v>0</v>
      </c>
      <c r="F100">
        <v>0</v>
      </c>
      <c r="G100">
        <v>0</v>
      </c>
      <c r="H100">
        <v>1</v>
      </c>
      <c r="I100" t="s">
        <v>22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8</v>
      </c>
      <c r="AE100">
        <v>601</v>
      </c>
      <c r="AF100">
        <v>30.68181818181818</v>
      </c>
      <c r="AG100">
        <v>27.315024778437831</v>
      </c>
      <c r="AH100">
        <f>6.40200122703236*1</f>
        <v>6.4020012270323603</v>
      </c>
      <c r="AI100">
        <v>1</v>
      </c>
      <c r="AJ100">
        <v>0</v>
      </c>
    </row>
    <row r="101" spans="1:36" hidden="1" x14ac:dyDescent="0.2">
      <c r="A101" t="s">
        <v>250</v>
      </c>
      <c r="B101" t="s">
        <v>251</v>
      </c>
      <c r="C101" t="s">
        <v>251</v>
      </c>
      <c r="D101" t="s">
        <v>6</v>
      </c>
      <c r="E101">
        <v>0</v>
      </c>
      <c r="F101">
        <v>0</v>
      </c>
      <c r="G101">
        <v>0</v>
      </c>
      <c r="H101">
        <v>1</v>
      </c>
      <c r="I101" t="s">
        <v>20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14.3</v>
      </c>
      <c r="AE101">
        <v>523</v>
      </c>
      <c r="AF101">
        <v>45.964285714285722</v>
      </c>
      <c r="AG101">
        <v>0</v>
      </c>
      <c r="AH101">
        <f>7.7974459938375*1</f>
        <v>7.7974459938375</v>
      </c>
      <c r="AI101">
        <v>1</v>
      </c>
      <c r="AJ101">
        <v>0</v>
      </c>
    </row>
    <row r="102" spans="1:36" hidden="1" x14ac:dyDescent="0.2">
      <c r="A102" t="s">
        <v>252</v>
      </c>
      <c r="B102" t="s">
        <v>253</v>
      </c>
      <c r="C102" t="s">
        <v>252</v>
      </c>
      <c r="D102" t="s">
        <v>5</v>
      </c>
      <c r="E102">
        <v>0</v>
      </c>
      <c r="F102">
        <v>0</v>
      </c>
      <c r="G102">
        <v>1</v>
      </c>
      <c r="H102">
        <v>0</v>
      </c>
      <c r="I102" t="s">
        <v>20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5.6</v>
      </c>
      <c r="AE102">
        <v>530</v>
      </c>
      <c r="AF102">
        <v>23.59017594576526</v>
      </c>
      <c r="AG102">
        <v>0</v>
      </c>
      <c r="AH102">
        <f>3.39590042491726*1</f>
        <v>3.3959004249172602</v>
      </c>
      <c r="AI102">
        <v>1</v>
      </c>
      <c r="AJ102">
        <v>0</v>
      </c>
    </row>
    <row r="103" spans="1:36" hidden="1" x14ac:dyDescent="0.2">
      <c r="A103" t="s">
        <v>254</v>
      </c>
      <c r="B103" t="s">
        <v>255</v>
      </c>
      <c r="C103" t="s">
        <v>255</v>
      </c>
      <c r="D103" t="s">
        <v>4</v>
      </c>
      <c r="E103">
        <v>0</v>
      </c>
      <c r="F103">
        <v>1</v>
      </c>
      <c r="G103">
        <v>0</v>
      </c>
      <c r="H103">
        <v>0</v>
      </c>
      <c r="I103" t="s">
        <v>20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5.3</v>
      </c>
      <c r="AE103">
        <v>534</v>
      </c>
      <c r="AF103">
        <v>19.059326195644541</v>
      </c>
      <c r="AG103">
        <v>0</v>
      </c>
      <c r="AH103">
        <f>3.23325086814699*1</f>
        <v>3.2332508681469898</v>
      </c>
      <c r="AI103">
        <v>1</v>
      </c>
      <c r="AJ103">
        <v>0</v>
      </c>
    </row>
    <row r="104" spans="1:36" hidden="1" x14ac:dyDescent="0.2">
      <c r="A104" t="s">
        <v>256</v>
      </c>
      <c r="B104" t="s">
        <v>257</v>
      </c>
      <c r="C104" t="s">
        <v>258</v>
      </c>
      <c r="D104" t="s">
        <v>5</v>
      </c>
      <c r="E104">
        <v>0</v>
      </c>
      <c r="F104">
        <v>0</v>
      </c>
      <c r="G104">
        <v>1</v>
      </c>
      <c r="H104">
        <v>0</v>
      </c>
      <c r="I104" t="s">
        <v>21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8.1999999999999993</v>
      </c>
      <c r="AE104">
        <v>545</v>
      </c>
      <c r="AF104">
        <v>0</v>
      </c>
      <c r="AG104">
        <v>24.661340935586459</v>
      </c>
      <c r="AH104">
        <f>5.98396950890283*1</f>
        <v>5.9839695089028302</v>
      </c>
      <c r="AI104">
        <v>1</v>
      </c>
      <c r="AJ104">
        <v>0</v>
      </c>
    </row>
    <row r="105" spans="1:36" hidden="1" x14ac:dyDescent="0.2">
      <c r="A105" t="s">
        <v>259</v>
      </c>
      <c r="B105" t="s">
        <v>260</v>
      </c>
      <c r="C105" t="s">
        <v>261</v>
      </c>
      <c r="D105" t="s">
        <v>4</v>
      </c>
      <c r="E105">
        <v>0</v>
      </c>
      <c r="F105">
        <v>1</v>
      </c>
      <c r="G105">
        <v>0</v>
      </c>
      <c r="H105">
        <v>0</v>
      </c>
      <c r="I105" t="s">
        <v>21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5.2</v>
      </c>
      <c r="AE105">
        <v>549</v>
      </c>
      <c r="AF105">
        <v>0</v>
      </c>
      <c r="AG105">
        <v>19.159078422399631</v>
      </c>
      <c r="AH105">
        <f>3.94510912076635*1</f>
        <v>3.9451091207663498</v>
      </c>
      <c r="AI105">
        <v>1</v>
      </c>
      <c r="AJ105">
        <v>0</v>
      </c>
    </row>
    <row r="106" spans="1:36" hidden="1" x14ac:dyDescent="0.2">
      <c r="A106" t="s">
        <v>262</v>
      </c>
      <c r="B106" t="s">
        <v>263</v>
      </c>
      <c r="C106" t="s">
        <v>263</v>
      </c>
      <c r="D106" t="s">
        <v>5</v>
      </c>
      <c r="E106">
        <v>0</v>
      </c>
      <c r="F106">
        <v>0</v>
      </c>
      <c r="G106">
        <v>1</v>
      </c>
      <c r="H106">
        <v>0</v>
      </c>
      <c r="I106" t="s">
        <v>21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5</v>
      </c>
      <c r="AE106">
        <v>553</v>
      </c>
      <c r="AF106">
        <v>0</v>
      </c>
      <c r="AG106">
        <v>16.729856549835691</v>
      </c>
      <c r="AH106">
        <f>3.94312919835992*1</f>
        <v>3.9431291983599199</v>
      </c>
      <c r="AI106">
        <v>1</v>
      </c>
      <c r="AJ106">
        <v>0</v>
      </c>
    </row>
    <row r="107" spans="1:36" hidden="1" x14ac:dyDescent="0.2">
      <c r="A107" t="s">
        <v>102</v>
      </c>
      <c r="B107" t="s">
        <v>264</v>
      </c>
      <c r="C107" t="s">
        <v>264</v>
      </c>
      <c r="D107" t="s">
        <v>5</v>
      </c>
      <c r="E107">
        <v>0</v>
      </c>
      <c r="F107">
        <v>0</v>
      </c>
      <c r="G107">
        <v>1</v>
      </c>
      <c r="H107">
        <v>0</v>
      </c>
      <c r="I107" t="s">
        <v>21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8.4</v>
      </c>
      <c r="AE107">
        <v>565</v>
      </c>
      <c r="AF107">
        <v>0</v>
      </c>
      <c r="AG107">
        <v>25.63362765082606</v>
      </c>
      <c r="AH107">
        <f>5.67922854851094*1</f>
        <v>5.6792285485109399</v>
      </c>
      <c r="AI107">
        <v>1</v>
      </c>
      <c r="AJ107">
        <v>0</v>
      </c>
    </row>
    <row r="108" spans="1:36" hidden="1" x14ac:dyDescent="0.2">
      <c r="A108" t="s">
        <v>265</v>
      </c>
      <c r="B108" t="s">
        <v>266</v>
      </c>
      <c r="C108" t="s">
        <v>266</v>
      </c>
      <c r="D108" t="s">
        <v>3</v>
      </c>
      <c r="E108">
        <v>1</v>
      </c>
      <c r="F108">
        <v>0</v>
      </c>
      <c r="G108">
        <v>0</v>
      </c>
      <c r="H108">
        <v>0</v>
      </c>
      <c r="I108" t="s">
        <v>21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5</v>
      </c>
      <c r="AE108">
        <v>571</v>
      </c>
      <c r="AF108">
        <v>0</v>
      </c>
      <c r="AG108">
        <v>19.534452565826331</v>
      </c>
      <c r="AH108">
        <f>4.2061183860988*1</f>
        <v>4.2061183860988001</v>
      </c>
      <c r="AI108">
        <v>1</v>
      </c>
      <c r="AJ108">
        <v>0</v>
      </c>
    </row>
    <row r="109" spans="1:36" hidden="1" x14ac:dyDescent="0.2">
      <c r="A109" t="s">
        <v>267</v>
      </c>
      <c r="B109" t="s">
        <v>268</v>
      </c>
      <c r="C109" t="s">
        <v>268</v>
      </c>
      <c r="D109" t="s">
        <v>6</v>
      </c>
      <c r="E109">
        <v>0</v>
      </c>
      <c r="F109">
        <v>0</v>
      </c>
      <c r="G109">
        <v>0</v>
      </c>
      <c r="H109">
        <v>1</v>
      </c>
      <c r="I109" t="s">
        <v>21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7</v>
      </c>
      <c r="AE109">
        <v>572</v>
      </c>
      <c r="AF109">
        <v>0</v>
      </c>
      <c r="AG109">
        <v>16.848328484840909</v>
      </c>
      <c r="AH109">
        <f>3.24933765754501*1</f>
        <v>3.2493376575450101</v>
      </c>
      <c r="AI109">
        <v>1</v>
      </c>
      <c r="AJ109">
        <v>0</v>
      </c>
    </row>
    <row r="110" spans="1:36" hidden="1" x14ac:dyDescent="0.2">
      <c r="A110" t="s">
        <v>256</v>
      </c>
      <c r="B110" t="s">
        <v>269</v>
      </c>
      <c r="C110" t="s">
        <v>270</v>
      </c>
      <c r="D110" t="s">
        <v>5</v>
      </c>
      <c r="E110">
        <v>0</v>
      </c>
      <c r="F110">
        <v>0</v>
      </c>
      <c r="G110">
        <v>1</v>
      </c>
      <c r="H110">
        <v>0</v>
      </c>
      <c r="I110" t="s">
        <v>22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5.8</v>
      </c>
      <c r="AE110">
        <v>592</v>
      </c>
      <c r="AF110">
        <v>21.439999999999991</v>
      </c>
      <c r="AG110">
        <v>19.879079987565369</v>
      </c>
      <c r="AH110">
        <f>4.68188444379613*1</f>
        <v>4.6818844437961298</v>
      </c>
      <c r="AI110">
        <v>1</v>
      </c>
      <c r="AJ110">
        <v>0</v>
      </c>
    </row>
    <row r="111" spans="1:36" hidden="1" x14ac:dyDescent="0.2">
      <c r="A111" t="s">
        <v>271</v>
      </c>
      <c r="B111" t="s">
        <v>272</v>
      </c>
      <c r="C111" t="s">
        <v>272</v>
      </c>
      <c r="D111" t="s">
        <v>4</v>
      </c>
      <c r="E111">
        <v>0</v>
      </c>
      <c r="F111">
        <v>1</v>
      </c>
      <c r="G111">
        <v>0</v>
      </c>
      <c r="H111">
        <v>0</v>
      </c>
      <c r="I111" t="s">
        <v>22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4.5</v>
      </c>
      <c r="AE111">
        <v>593</v>
      </c>
      <c r="AF111">
        <v>19.009487368042731</v>
      </c>
      <c r="AG111">
        <v>18.657840189265421</v>
      </c>
      <c r="AH111">
        <f>4.4625132755268*1</f>
        <v>4.4625132755268</v>
      </c>
      <c r="AI111">
        <v>1</v>
      </c>
      <c r="AJ111">
        <v>0</v>
      </c>
    </row>
    <row r="112" spans="1:36" hidden="1" x14ac:dyDescent="0.2">
      <c r="A112" t="s">
        <v>273</v>
      </c>
      <c r="B112" t="s">
        <v>274</v>
      </c>
      <c r="C112" t="s">
        <v>274</v>
      </c>
      <c r="D112" t="s">
        <v>5</v>
      </c>
      <c r="E112">
        <v>0</v>
      </c>
      <c r="F112">
        <v>0</v>
      </c>
      <c r="G112">
        <v>1</v>
      </c>
      <c r="H112">
        <v>0</v>
      </c>
      <c r="I112" t="s">
        <v>22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6.1</v>
      </c>
      <c r="AE112">
        <v>598</v>
      </c>
      <c r="AF112">
        <v>36.910503750672717</v>
      </c>
      <c r="AG112">
        <v>14.918453926347009</v>
      </c>
      <c r="AH112">
        <f>4.64537308602041*1</f>
        <v>4.6453730860204097</v>
      </c>
      <c r="AI112">
        <v>1</v>
      </c>
      <c r="AJ112">
        <v>0</v>
      </c>
    </row>
    <row r="113" spans="1:36" hidden="1" x14ac:dyDescent="0.2">
      <c r="A113" t="s">
        <v>126</v>
      </c>
      <c r="B113" t="s">
        <v>127</v>
      </c>
      <c r="C113" t="s">
        <v>128</v>
      </c>
      <c r="D113" t="s">
        <v>5</v>
      </c>
      <c r="E113">
        <v>0</v>
      </c>
      <c r="F113">
        <v>0</v>
      </c>
      <c r="G113">
        <v>1</v>
      </c>
      <c r="H113">
        <v>0</v>
      </c>
      <c r="I113" t="s">
        <v>12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6.3</v>
      </c>
      <c r="AE113">
        <v>173</v>
      </c>
      <c r="AF113">
        <v>25.990985034295669</v>
      </c>
      <c r="AG113">
        <v>0</v>
      </c>
      <c r="AH113">
        <f>5.7057376223089*1</f>
        <v>5.7057376223088996</v>
      </c>
      <c r="AI113">
        <v>1</v>
      </c>
      <c r="AJ113">
        <v>0</v>
      </c>
    </row>
    <row r="114" spans="1:36" hidden="1" x14ac:dyDescent="0.2">
      <c r="A114" t="s">
        <v>277</v>
      </c>
      <c r="B114" t="s">
        <v>278</v>
      </c>
      <c r="C114" t="s">
        <v>278</v>
      </c>
      <c r="D114" t="s">
        <v>5</v>
      </c>
      <c r="E114">
        <v>0</v>
      </c>
      <c r="F114">
        <v>0</v>
      </c>
      <c r="G114">
        <v>1</v>
      </c>
      <c r="H114">
        <v>0</v>
      </c>
      <c r="I114" t="s">
        <v>22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4.8</v>
      </c>
      <c r="AE114">
        <v>607</v>
      </c>
      <c r="AF114">
        <v>16.83987888950336</v>
      </c>
      <c r="AG114">
        <v>13.186788771333831</v>
      </c>
      <c r="AH114">
        <f>3.09106277913617*1</f>
        <v>3.0910627791361698</v>
      </c>
      <c r="AI114">
        <v>1</v>
      </c>
      <c r="AJ114">
        <v>0</v>
      </c>
    </row>
    <row r="115" spans="1:36" hidden="1" x14ac:dyDescent="0.2">
      <c r="A115" t="s">
        <v>279</v>
      </c>
      <c r="B115" t="s">
        <v>280</v>
      </c>
      <c r="C115" t="s">
        <v>280</v>
      </c>
      <c r="D115" t="s">
        <v>4</v>
      </c>
      <c r="E115">
        <v>0</v>
      </c>
      <c r="F115">
        <v>1</v>
      </c>
      <c r="G115">
        <v>0</v>
      </c>
      <c r="H115">
        <v>0</v>
      </c>
      <c r="I115" t="s">
        <v>22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5.6</v>
      </c>
      <c r="AE115">
        <v>613</v>
      </c>
      <c r="AF115">
        <v>20.576592914532672</v>
      </c>
      <c r="AG115">
        <v>21.423373724626849</v>
      </c>
      <c r="AH115">
        <f>3.92375746836731*1</f>
        <v>3.92375746836731</v>
      </c>
      <c r="AI115">
        <v>1</v>
      </c>
      <c r="AJ115">
        <v>0</v>
      </c>
    </row>
    <row r="116" spans="1:36" hidden="1" x14ac:dyDescent="0.2">
      <c r="A116" t="s">
        <v>281</v>
      </c>
      <c r="B116" t="s">
        <v>282</v>
      </c>
      <c r="C116" t="s">
        <v>282</v>
      </c>
      <c r="D116" t="s">
        <v>4</v>
      </c>
      <c r="E116">
        <v>0</v>
      </c>
      <c r="F116">
        <v>1</v>
      </c>
      <c r="G116">
        <v>0</v>
      </c>
      <c r="H116">
        <v>0</v>
      </c>
      <c r="I116" t="s">
        <v>22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6.6</v>
      </c>
      <c r="AE116">
        <v>616</v>
      </c>
      <c r="AF116">
        <v>27.407858099051548</v>
      </c>
      <c r="AG116">
        <v>24.042482880268391</v>
      </c>
      <c r="AH116">
        <f>4.14650818289355*0.5</f>
        <v>2.073254091446775</v>
      </c>
      <c r="AI116">
        <v>0.5</v>
      </c>
      <c r="AJ116">
        <v>0</v>
      </c>
    </row>
    <row r="117" spans="1:36" hidden="1" x14ac:dyDescent="0.2">
      <c r="A117" t="s">
        <v>283</v>
      </c>
      <c r="B117" t="s">
        <v>284</v>
      </c>
      <c r="C117" t="s">
        <v>284</v>
      </c>
      <c r="D117" t="s">
        <v>5</v>
      </c>
      <c r="E117">
        <v>0</v>
      </c>
      <c r="F117">
        <v>0</v>
      </c>
      <c r="G117">
        <v>1</v>
      </c>
      <c r="H117">
        <v>0</v>
      </c>
      <c r="I117" t="s">
        <v>23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4.7</v>
      </c>
      <c r="AE117">
        <v>633</v>
      </c>
      <c r="AF117">
        <v>14.12087912087912</v>
      </c>
      <c r="AG117">
        <v>13.207955321547891</v>
      </c>
      <c r="AH117">
        <f>3.6744813624251*1</f>
        <v>3.6744813624250998</v>
      </c>
      <c r="AI117">
        <v>1</v>
      </c>
      <c r="AJ117">
        <v>0</v>
      </c>
    </row>
    <row r="118" spans="1:36" hidden="1" x14ac:dyDescent="0.2">
      <c r="A118" t="s">
        <v>273</v>
      </c>
      <c r="B118" t="s">
        <v>285</v>
      </c>
      <c r="C118" t="s">
        <v>285</v>
      </c>
      <c r="D118" t="s">
        <v>5</v>
      </c>
      <c r="E118">
        <v>0</v>
      </c>
      <c r="F118">
        <v>0</v>
      </c>
      <c r="G118">
        <v>1</v>
      </c>
      <c r="H118">
        <v>0</v>
      </c>
      <c r="I118" t="s">
        <v>23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5.0999999999999996</v>
      </c>
      <c r="AE118">
        <v>634</v>
      </c>
      <c r="AF118">
        <v>11.72829322261836</v>
      </c>
      <c r="AG118">
        <v>12.120802805544439</v>
      </c>
      <c r="AH118">
        <f>3.3886707783324*1</f>
        <v>3.3886707783324002</v>
      </c>
      <c r="AI118">
        <v>1</v>
      </c>
      <c r="AJ118">
        <v>0</v>
      </c>
    </row>
    <row r="119" spans="1:36" hidden="1" x14ac:dyDescent="0.2">
      <c r="A119" t="s">
        <v>286</v>
      </c>
      <c r="B119" t="s">
        <v>287</v>
      </c>
      <c r="C119" t="s">
        <v>286</v>
      </c>
      <c r="D119" t="s">
        <v>5</v>
      </c>
      <c r="E119">
        <v>0</v>
      </c>
      <c r="F119">
        <v>0</v>
      </c>
      <c r="G119">
        <v>1</v>
      </c>
      <c r="H119">
        <v>0</v>
      </c>
      <c r="I119" t="s">
        <v>23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5.3</v>
      </c>
      <c r="AE119">
        <v>643</v>
      </c>
      <c r="AF119">
        <v>18.712828257747201</v>
      </c>
      <c r="AG119">
        <v>15.444426610086539</v>
      </c>
      <c r="AH119">
        <f>4.49924590597488*1</f>
        <v>4.4992459059748802</v>
      </c>
      <c r="AI119">
        <v>1</v>
      </c>
      <c r="AJ119">
        <v>0</v>
      </c>
    </row>
    <row r="120" spans="1:36" hidden="1" x14ac:dyDescent="0.2">
      <c r="A120" t="s">
        <v>288</v>
      </c>
      <c r="B120" t="s">
        <v>289</v>
      </c>
      <c r="C120" t="s">
        <v>289</v>
      </c>
      <c r="D120" t="s">
        <v>5</v>
      </c>
      <c r="E120">
        <v>0</v>
      </c>
      <c r="F120">
        <v>0</v>
      </c>
      <c r="G120">
        <v>1</v>
      </c>
      <c r="H120">
        <v>0</v>
      </c>
      <c r="I120" t="s">
        <v>23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5.7</v>
      </c>
      <c r="AE120">
        <v>648</v>
      </c>
      <c r="AF120">
        <v>22.684333768273241</v>
      </c>
      <c r="AG120">
        <v>11.114494807745981</v>
      </c>
      <c r="AH120">
        <f>4.16348344941242*1</f>
        <v>4.1634834494124204</v>
      </c>
      <c r="AI120">
        <v>1</v>
      </c>
      <c r="AJ120">
        <v>0</v>
      </c>
    </row>
    <row r="121" spans="1:36" hidden="1" x14ac:dyDescent="0.2">
      <c r="A121" t="s">
        <v>290</v>
      </c>
      <c r="B121" t="s">
        <v>291</v>
      </c>
      <c r="C121" t="s">
        <v>291</v>
      </c>
      <c r="D121" t="s">
        <v>6</v>
      </c>
      <c r="E121">
        <v>0</v>
      </c>
      <c r="F121">
        <v>0</v>
      </c>
      <c r="G121">
        <v>0</v>
      </c>
      <c r="H121">
        <v>1</v>
      </c>
      <c r="I121" t="s">
        <v>23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4.9000000000000004</v>
      </c>
      <c r="AE121">
        <v>668</v>
      </c>
      <c r="AF121">
        <v>17.356845183433169</v>
      </c>
      <c r="AG121">
        <v>16.61926635170451</v>
      </c>
      <c r="AH121">
        <f>4.34791016013613*1</f>
        <v>4.3479101601361299</v>
      </c>
      <c r="AI121">
        <v>1</v>
      </c>
      <c r="AJ121">
        <v>0</v>
      </c>
    </row>
    <row r="122" spans="1:36" x14ac:dyDescent="0.2">
      <c r="A122" t="s">
        <v>292</v>
      </c>
      <c r="B122" t="s">
        <v>293</v>
      </c>
      <c r="C122" s="1" t="s">
        <v>293</v>
      </c>
      <c r="D122" t="s">
        <v>6</v>
      </c>
      <c r="E122">
        <v>0</v>
      </c>
      <c r="F122">
        <v>0</v>
      </c>
      <c r="G122">
        <v>0</v>
      </c>
      <c r="H122">
        <v>1</v>
      </c>
      <c r="I122" t="s">
        <v>24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4.2</v>
      </c>
      <c r="AE122">
        <v>688</v>
      </c>
      <c r="AF122">
        <v>0</v>
      </c>
      <c r="AG122">
        <v>15.310757161766761</v>
      </c>
      <c r="AH122">
        <f>5.72944632226622*1*2</f>
        <v>11.45889264453244</v>
      </c>
      <c r="AI122">
        <v>1</v>
      </c>
      <c r="AJ122">
        <v>1</v>
      </c>
    </row>
    <row r="123" spans="1:36" x14ac:dyDescent="0.2">
      <c r="A123" t="s">
        <v>294</v>
      </c>
      <c r="B123" t="s">
        <v>295</v>
      </c>
      <c r="C123" s="1" t="s">
        <v>295</v>
      </c>
      <c r="D123" t="s">
        <v>5</v>
      </c>
      <c r="E123">
        <v>0</v>
      </c>
      <c r="F123">
        <v>0</v>
      </c>
      <c r="G123">
        <v>1</v>
      </c>
      <c r="H123">
        <v>0</v>
      </c>
      <c r="I123" t="s">
        <v>24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4.9000000000000004</v>
      </c>
      <c r="AE123">
        <v>719</v>
      </c>
      <c r="AF123">
        <v>0</v>
      </c>
      <c r="AG123">
        <v>16.672382072269048</v>
      </c>
      <c r="AH123">
        <f>6.81947308851219*1*2</f>
        <v>13.63894617702438</v>
      </c>
      <c r="AI123">
        <v>1</v>
      </c>
      <c r="AJ123">
        <v>1</v>
      </c>
    </row>
    <row r="124" spans="1:36" hidden="1" x14ac:dyDescent="0.2">
      <c r="A124" t="s">
        <v>296</v>
      </c>
      <c r="B124" t="s">
        <v>297</v>
      </c>
      <c r="C124" t="s">
        <v>297</v>
      </c>
      <c r="D124" t="s">
        <v>5</v>
      </c>
      <c r="E124">
        <v>0</v>
      </c>
      <c r="F124">
        <v>0</v>
      </c>
      <c r="G124">
        <v>1</v>
      </c>
      <c r="H124">
        <v>0</v>
      </c>
      <c r="I124" t="s">
        <v>25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5.8</v>
      </c>
      <c r="AE124">
        <v>731</v>
      </c>
      <c r="AF124">
        <v>20.45454545454546</v>
      </c>
      <c r="AG124">
        <v>16.468825446401461</v>
      </c>
      <c r="AH124">
        <f>0*1</f>
        <v>0</v>
      </c>
      <c r="AI124">
        <v>1</v>
      </c>
      <c r="AJ124">
        <v>0</v>
      </c>
    </row>
    <row r="125" spans="1:36" hidden="1" x14ac:dyDescent="0.2">
      <c r="A125" t="s">
        <v>298</v>
      </c>
      <c r="B125" t="s">
        <v>299</v>
      </c>
      <c r="C125" t="s">
        <v>300</v>
      </c>
      <c r="D125" t="s">
        <v>4</v>
      </c>
      <c r="E125">
        <v>0</v>
      </c>
      <c r="F125">
        <v>1</v>
      </c>
      <c r="G125">
        <v>0</v>
      </c>
      <c r="H125">
        <v>0</v>
      </c>
      <c r="I125" t="s">
        <v>25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5.9</v>
      </c>
      <c r="AE125">
        <v>747</v>
      </c>
      <c r="AF125">
        <v>23.79714323910699</v>
      </c>
      <c r="AG125">
        <v>17.963565516052501</v>
      </c>
      <c r="AH125">
        <f>0*1</f>
        <v>0</v>
      </c>
      <c r="AI125">
        <v>1</v>
      </c>
      <c r="AJ125">
        <v>0</v>
      </c>
    </row>
    <row r="126" spans="1:36" hidden="1" x14ac:dyDescent="0.2">
      <c r="A126" t="s">
        <v>301</v>
      </c>
      <c r="B126" t="s">
        <v>302</v>
      </c>
      <c r="C126" t="s">
        <v>301</v>
      </c>
      <c r="D126" t="s">
        <v>5</v>
      </c>
      <c r="E126">
        <v>0</v>
      </c>
      <c r="F126">
        <v>0</v>
      </c>
      <c r="G126">
        <v>1</v>
      </c>
      <c r="H126">
        <v>0</v>
      </c>
      <c r="I126" t="s">
        <v>25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9.9</v>
      </c>
      <c r="AE126">
        <v>756</v>
      </c>
      <c r="AF126">
        <v>32.234923977971498</v>
      </c>
      <c r="AG126">
        <v>26.579262793506111</v>
      </c>
      <c r="AH126">
        <f>0*1</f>
        <v>0</v>
      </c>
      <c r="AI126">
        <v>1</v>
      </c>
      <c r="AJ126">
        <v>0</v>
      </c>
    </row>
    <row r="127" spans="1:36" hidden="1" x14ac:dyDescent="0.2">
      <c r="A127" t="s">
        <v>303</v>
      </c>
      <c r="B127" t="s">
        <v>304</v>
      </c>
      <c r="C127" t="s">
        <v>304</v>
      </c>
      <c r="D127" t="s">
        <v>3</v>
      </c>
      <c r="E127">
        <v>1</v>
      </c>
      <c r="F127">
        <v>0</v>
      </c>
      <c r="G127">
        <v>0</v>
      </c>
      <c r="H127">
        <v>0</v>
      </c>
      <c r="I127" t="s">
        <v>25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5.3</v>
      </c>
      <c r="AE127">
        <v>760</v>
      </c>
      <c r="AF127">
        <v>15.15828277682999</v>
      </c>
      <c r="AG127">
        <v>8.438654026811772</v>
      </c>
      <c r="AH127">
        <f>0*1</f>
        <v>0</v>
      </c>
      <c r="AI127">
        <v>1</v>
      </c>
      <c r="AJ127">
        <v>0</v>
      </c>
    </row>
    <row r="128" spans="1:36" hidden="1" x14ac:dyDescent="0.2">
      <c r="A128" t="s">
        <v>305</v>
      </c>
      <c r="B128" t="s">
        <v>306</v>
      </c>
      <c r="C128" t="s">
        <v>306</v>
      </c>
      <c r="D128" t="s">
        <v>3</v>
      </c>
      <c r="E128">
        <v>1</v>
      </c>
      <c r="F128">
        <v>0</v>
      </c>
      <c r="G128">
        <v>0</v>
      </c>
      <c r="H128">
        <v>0</v>
      </c>
      <c r="I128" t="s">
        <v>26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4.2</v>
      </c>
      <c r="AE128">
        <v>775</v>
      </c>
      <c r="AF128">
        <v>16.969696969696969</v>
      </c>
      <c r="AG128">
        <v>0</v>
      </c>
      <c r="AH128">
        <f>2.93438954836363*1</f>
        <v>2.93438954836363</v>
      </c>
      <c r="AI128">
        <v>1</v>
      </c>
      <c r="AJ128">
        <v>0</v>
      </c>
    </row>
    <row r="129" spans="1:36" hidden="1" x14ac:dyDescent="0.2">
      <c r="A129" t="s">
        <v>307</v>
      </c>
      <c r="B129" t="s">
        <v>308</v>
      </c>
      <c r="C129" t="s">
        <v>308</v>
      </c>
      <c r="D129" t="s">
        <v>5</v>
      </c>
      <c r="E129">
        <v>0</v>
      </c>
      <c r="F129">
        <v>0</v>
      </c>
      <c r="G129">
        <v>1</v>
      </c>
      <c r="H129">
        <v>0</v>
      </c>
      <c r="I129" t="s">
        <v>26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7.7</v>
      </c>
      <c r="AE129">
        <v>777</v>
      </c>
      <c r="AF129">
        <v>21.804472844973041</v>
      </c>
      <c r="AG129">
        <v>0</v>
      </c>
      <c r="AH129">
        <f>2.29289342892253*1</f>
        <v>2.2928934289225298</v>
      </c>
      <c r="AI129">
        <v>1</v>
      </c>
      <c r="AJ129">
        <v>0</v>
      </c>
    </row>
    <row r="130" spans="1:36" hidden="1" x14ac:dyDescent="0.2">
      <c r="A130" t="s">
        <v>309</v>
      </c>
      <c r="B130" t="s">
        <v>310</v>
      </c>
      <c r="C130" t="s">
        <v>310</v>
      </c>
      <c r="D130" t="s">
        <v>4</v>
      </c>
      <c r="E130">
        <v>0</v>
      </c>
      <c r="F130">
        <v>1</v>
      </c>
      <c r="G130">
        <v>0</v>
      </c>
      <c r="H130">
        <v>0</v>
      </c>
      <c r="I130" t="s">
        <v>26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4.5999999999999996</v>
      </c>
      <c r="AE130">
        <v>779</v>
      </c>
      <c r="AF130">
        <v>13.06451612903226</v>
      </c>
      <c r="AG130">
        <v>0</v>
      </c>
      <c r="AH130">
        <f>2.25910808259677*1</f>
        <v>2.2591080825967702</v>
      </c>
      <c r="AI130">
        <v>1</v>
      </c>
      <c r="AJ130">
        <v>0</v>
      </c>
    </row>
    <row r="131" spans="1:36" hidden="1" x14ac:dyDescent="0.2">
      <c r="A131" t="s">
        <v>66</v>
      </c>
      <c r="B131" t="s">
        <v>311</v>
      </c>
      <c r="C131" t="s">
        <v>312</v>
      </c>
      <c r="D131" t="s">
        <v>5</v>
      </c>
      <c r="E131">
        <v>0</v>
      </c>
      <c r="F131">
        <v>0</v>
      </c>
      <c r="G131">
        <v>1</v>
      </c>
      <c r="H131">
        <v>0</v>
      </c>
      <c r="I131" t="s">
        <v>26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6</v>
      </c>
      <c r="AE131">
        <v>790</v>
      </c>
      <c r="AF131">
        <v>18.127515802609409</v>
      </c>
      <c r="AG131">
        <v>0</v>
      </c>
      <c r="AH131">
        <f>3.31564079913317*1</f>
        <v>3.31564079913317</v>
      </c>
      <c r="AI131">
        <v>1</v>
      </c>
      <c r="AJ131">
        <v>0</v>
      </c>
    </row>
    <row r="132" spans="1:36" hidden="1" x14ac:dyDescent="0.2">
      <c r="A132" t="s">
        <v>313</v>
      </c>
      <c r="B132" t="s">
        <v>314</v>
      </c>
      <c r="C132" t="s">
        <v>314</v>
      </c>
      <c r="D132" t="s">
        <v>4</v>
      </c>
      <c r="E132">
        <v>0</v>
      </c>
      <c r="F132">
        <v>1</v>
      </c>
      <c r="G132">
        <v>0</v>
      </c>
      <c r="H132">
        <v>0</v>
      </c>
      <c r="I132" t="s">
        <v>26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4.5</v>
      </c>
      <c r="AE132">
        <v>794</v>
      </c>
      <c r="AF132">
        <v>16.54266403747777</v>
      </c>
      <c r="AG132">
        <v>0</v>
      </c>
      <c r="AH132">
        <f>3.6825902159281*1</f>
        <v>3.6825902159281001</v>
      </c>
      <c r="AI132">
        <v>1</v>
      </c>
      <c r="AJ132">
        <v>0</v>
      </c>
    </row>
    <row r="133" spans="1:36" hidden="1" x14ac:dyDescent="0.2">
      <c r="A133" t="s">
        <v>315</v>
      </c>
      <c r="B133" t="s">
        <v>316</v>
      </c>
      <c r="C133" t="s">
        <v>239</v>
      </c>
      <c r="D133" t="s">
        <v>5</v>
      </c>
      <c r="E133">
        <v>0</v>
      </c>
      <c r="F133">
        <v>0</v>
      </c>
      <c r="G133">
        <v>1</v>
      </c>
      <c r="H133">
        <v>0</v>
      </c>
      <c r="I133" t="s">
        <v>26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5</v>
      </c>
      <c r="AE133">
        <v>796</v>
      </c>
      <c r="AF133">
        <v>10.555555555555561</v>
      </c>
      <c r="AG133">
        <v>0</v>
      </c>
      <c r="AH133">
        <f>1.8252601655*1</f>
        <v>1.8252601655</v>
      </c>
      <c r="AI133">
        <v>1</v>
      </c>
      <c r="AJ133">
        <v>0</v>
      </c>
    </row>
    <row r="134" spans="1:36" hidden="1" x14ac:dyDescent="0.2">
      <c r="A134" t="s">
        <v>317</v>
      </c>
      <c r="B134" t="s">
        <v>318</v>
      </c>
      <c r="C134" t="s">
        <v>318</v>
      </c>
      <c r="D134" t="s">
        <v>5</v>
      </c>
      <c r="E134">
        <v>0</v>
      </c>
      <c r="F134">
        <v>0</v>
      </c>
      <c r="G134">
        <v>1</v>
      </c>
      <c r="H134">
        <v>0</v>
      </c>
      <c r="I134" t="s">
        <v>26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5.8</v>
      </c>
      <c r="AE134">
        <v>798</v>
      </c>
      <c r="AF134">
        <v>18.929075245818758</v>
      </c>
      <c r="AG134">
        <v>0</v>
      </c>
      <c r="AH134">
        <f>3.02393815525592*1</f>
        <v>3.0239381552559199</v>
      </c>
      <c r="AI134">
        <v>1</v>
      </c>
      <c r="AJ134">
        <v>0</v>
      </c>
    </row>
    <row r="135" spans="1:36" hidden="1" x14ac:dyDescent="0.2">
      <c r="A135" t="s">
        <v>319</v>
      </c>
      <c r="B135" t="s">
        <v>320</v>
      </c>
      <c r="C135" t="s">
        <v>320</v>
      </c>
      <c r="D135" t="s">
        <v>5</v>
      </c>
      <c r="E135">
        <v>0</v>
      </c>
      <c r="F135">
        <v>0</v>
      </c>
      <c r="G135">
        <v>1</v>
      </c>
      <c r="H135">
        <v>0</v>
      </c>
      <c r="I135" t="s">
        <v>26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6.8</v>
      </c>
      <c r="AE135">
        <v>800</v>
      </c>
      <c r="AF135">
        <v>15.95255809944384</v>
      </c>
      <c r="AG135">
        <v>0</v>
      </c>
      <c r="AH135">
        <f>2.84987015946185*1</f>
        <v>2.8498701594618501</v>
      </c>
      <c r="AI135">
        <v>1</v>
      </c>
      <c r="AJ135">
        <v>0</v>
      </c>
    </row>
    <row r="136" spans="1:36" hidden="1" x14ac:dyDescent="0.2">
      <c r="A136" t="s">
        <v>321</v>
      </c>
      <c r="B136" t="s">
        <v>322</v>
      </c>
      <c r="C136" s="1" t="s">
        <v>322</v>
      </c>
      <c r="D136" t="s">
        <v>4</v>
      </c>
      <c r="E136">
        <v>0</v>
      </c>
      <c r="F136">
        <v>1</v>
      </c>
      <c r="G136">
        <v>0</v>
      </c>
      <c r="H136">
        <v>0</v>
      </c>
      <c r="I136" t="s">
        <v>27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4.8</v>
      </c>
      <c r="AE136">
        <v>807</v>
      </c>
      <c r="AF136">
        <v>27.197721647588718</v>
      </c>
      <c r="AG136">
        <v>10.232909845497741</v>
      </c>
      <c r="AH136">
        <f>7.70954708398972*0.75</f>
        <v>5.7821603129922901</v>
      </c>
      <c r="AI136">
        <v>0.75</v>
      </c>
      <c r="AJ136">
        <v>0</v>
      </c>
    </row>
    <row r="137" spans="1:36" hidden="1" x14ac:dyDescent="0.2">
      <c r="A137" t="s">
        <v>323</v>
      </c>
      <c r="B137" t="s">
        <v>324</v>
      </c>
      <c r="C137" t="s">
        <v>324</v>
      </c>
      <c r="D137" t="s">
        <v>4</v>
      </c>
      <c r="E137">
        <v>0</v>
      </c>
      <c r="F137">
        <v>1</v>
      </c>
      <c r="G137">
        <v>0</v>
      </c>
      <c r="H137">
        <v>0</v>
      </c>
      <c r="I137" t="s">
        <v>27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4.5</v>
      </c>
      <c r="AE137">
        <v>813</v>
      </c>
      <c r="AF137">
        <v>16.14827253587563</v>
      </c>
      <c r="AG137">
        <v>14.830750544670719</v>
      </c>
      <c r="AH137">
        <f>5.94876543361331*1</f>
        <v>5.9487654336133096</v>
      </c>
      <c r="AI137">
        <v>1</v>
      </c>
      <c r="AJ137">
        <v>0</v>
      </c>
    </row>
    <row r="138" spans="1:36" hidden="1" x14ac:dyDescent="0.2">
      <c r="A138" t="s">
        <v>325</v>
      </c>
      <c r="B138" t="s">
        <v>326</v>
      </c>
      <c r="C138" t="s">
        <v>327</v>
      </c>
      <c r="D138" t="s">
        <v>5</v>
      </c>
      <c r="E138">
        <v>0</v>
      </c>
      <c r="F138">
        <v>0</v>
      </c>
      <c r="G138">
        <v>1</v>
      </c>
      <c r="H138">
        <v>0</v>
      </c>
      <c r="I138" t="s">
        <v>27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5.4</v>
      </c>
      <c r="AE138">
        <v>818</v>
      </c>
      <c r="AF138">
        <v>28.300044573827861</v>
      </c>
      <c r="AG138">
        <v>17.697990553759979</v>
      </c>
      <c r="AH138">
        <f>11.3279567817085*1</f>
        <v>11.327956781708499</v>
      </c>
      <c r="AI138">
        <v>1</v>
      </c>
      <c r="AJ138">
        <v>0</v>
      </c>
    </row>
    <row r="139" spans="1:36" hidden="1" x14ac:dyDescent="0.2">
      <c r="A139" t="s">
        <v>86</v>
      </c>
      <c r="B139" t="s">
        <v>125</v>
      </c>
      <c r="C139" t="s">
        <v>125</v>
      </c>
      <c r="D139" t="s">
        <v>4</v>
      </c>
      <c r="E139">
        <v>0</v>
      </c>
      <c r="F139">
        <v>1</v>
      </c>
      <c r="G139">
        <v>0</v>
      </c>
      <c r="H139">
        <v>0</v>
      </c>
      <c r="I139" t="s">
        <v>12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5.2</v>
      </c>
      <c r="AE139">
        <v>168</v>
      </c>
      <c r="AF139">
        <v>19.117021276595739</v>
      </c>
      <c r="AG139">
        <v>0</v>
      </c>
      <c r="AH139">
        <f>4.19671310573351*1</f>
        <v>4.1967131057335099</v>
      </c>
      <c r="AI139">
        <v>1</v>
      </c>
      <c r="AJ139">
        <v>0</v>
      </c>
    </row>
    <row r="140" spans="1:36" hidden="1" x14ac:dyDescent="0.2">
      <c r="A140" t="s">
        <v>223</v>
      </c>
      <c r="B140" t="s">
        <v>224</v>
      </c>
      <c r="C140" t="s">
        <v>224</v>
      </c>
      <c r="D140" t="s">
        <v>4</v>
      </c>
      <c r="E140">
        <v>0</v>
      </c>
      <c r="F140">
        <v>1</v>
      </c>
      <c r="G140">
        <v>0</v>
      </c>
      <c r="H140">
        <v>0</v>
      </c>
      <c r="I140" t="s">
        <v>19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4.5</v>
      </c>
      <c r="AE140">
        <v>470</v>
      </c>
      <c r="AF140">
        <v>8.7958001505500398</v>
      </c>
      <c r="AG140">
        <v>8.8100808238272492</v>
      </c>
      <c r="AH140">
        <f>2.65215908835871*1*2</f>
        <v>5.3043181767174197</v>
      </c>
      <c r="AI140">
        <v>1</v>
      </c>
      <c r="AJ140">
        <v>0</v>
      </c>
    </row>
    <row r="141" spans="1:36" hidden="1" x14ac:dyDescent="0.2">
      <c r="A141" t="s">
        <v>333</v>
      </c>
      <c r="B141" t="s">
        <v>334</v>
      </c>
      <c r="C141" t="s">
        <v>334</v>
      </c>
      <c r="D141" t="s">
        <v>5</v>
      </c>
      <c r="E141">
        <v>0</v>
      </c>
      <c r="F141">
        <v>0</v>
      </c>
      <c r="G141">
        <v>1</v>
      </c>
      <c r="H141">
        <v>0</v>
      </c>
      <c r="I141" t="s">
        <v>27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4.8</v>
      </c>
      <c r="AE141">
        <v>829</v>
      </c>
      <c r="AF141">
        <v>29.068952348057699</v>
      </c>
      <c r="AG141">
        <v>17.829312598602922</v>
      </c>
      <c r="AH141">
        <f>8.95995258161433*1</f>
        <v>8.9599525816143295</v>
      </c>
      <c r="AI141">
        <v>1</v>
      </c>
      <c r="AJ141">
        <v>0</v>
      </c>
    </row>
    <row r="142" spans="1:36" hidden="1" x14ac:dyDescent="0.2">
      <c r="A142" t="s">
        <v>335</v>
      </c>
      <c r="B142" t="s">
        <v>336</v>
      </c>
      <c r="C142" t="s">
        <v>337</v>
      </c>
      <c r="D142" t="s">
        <v>4</v>
      </c>
      <c r="E142">
        <v>0</v>
      </c>
      <c r="F142">
        <v>1</v>
      </c>
      <c r="G142">
        <v>0</v>
      </c>
      <c r="H142">
        <v>0</v>
      </c>
      <c r="I142" t="s">
        <v>27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4.4000000000000004</v>
      </c>
      <c r="AE142">
        <v>832</v>
      </c>
      <c r="AF142">
        <v>14.04</v>
      </c>
      <c r="AG142">
        <v>13.23124150819503</v>
      </c>
      <c r="AH142">
        <f>5.39817431157293*1</f>
        <v>5.3981743115729302</v>
      </c>
      <c r="AI142">
        <v>1</v>
      </c>
      <c r="AJ142">
        <v>0</v>
      </c>
    </row>
    <row r="143" spans="1:36" hidden="1" x14ac:dyDescent="0.2">
      <c r="A143" t="s">
        <v>338</v>
      </c>
      <c r="B143" t="s">
        <v>339</v>
      </c>
      <c r="C143" t="s">
        <v>340</v>
      </c>
      <c r="D143" t="s">
        <v>6</v>
      </c>
      <c r="E143">
        <v>0</v>
      </c>
      <c r="F143">
        <v>0</v>
      </c>
      <c r="G143">
        <v>0</v>
      </c>
      <c r="H143">
        <v>1</v>
      </c>
      <c r="I143" t="s">
        <v>27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5.6</v>
      </c>
      <c r="AE143">
        <v>834</v>
      </c>
      <c r="AF143">
        <v>17.996291521560259</v>
      </c>
      <c r="AG143">
        <v>17.30804943149672</v>
      </c>
      <c r="AH143">
        <f>4.74515593970122*0.25</f>
        <v>1.1862889849253051</v>
      </c>
      <c r="AI143">
        <v>0.25</v>
      </c>
      <c r="AJ143">
        <v>0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Corridore, Gabe</cp:lastModifiedBy>
  <dcterms:created xsi:type="dcterms:W3CDTF">2024-04-19T15:28:03Z</dcterms:created>
  <dcterms:modified xsi:type="dcterms:W3CDTF">2024-04-19T15:36:20Z</dcterms:modified>
</cp:coreProperties>
</file>