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AA9260A7-37EA-204E-A76E-EB2989A1A92A}" xr6:coauthVersionLast="47" xr6:coauthVersionMax="47" xr10:uidLastSave="{00000000-0000-0000-0000-000000000000}"/>
  <bookViews>
    <workbookView xWindow="240" yWindow="760" windowWidth="217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3" i="1" l="1"/>
  <c r="AH143" i="1"/>
  <c r="AI142" i="1"/>
  <c r="AH142" i="1"/>
  <c r="AI141" i="1"/>
  <c r="AH141" i="1"/>
  <c r="AI86" i="1"/>
  <c r="AH86" i="1"/>
  <c r="AO2" i="1" s="1"/>
  <c r="AI87" i="1"/>
  <c r="AH87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00" i="1"/>
  <c r="AH100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58" i="1"/>
  <c r="AH58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140" i="1"/>
  <c r="AH140" i="1"/>
  <c r="AI43" i="1"/>
  <c r="AH43" i="1"/>
  <c r="AI12" i="1"/>
  <c r="AH12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8" i="1"/>
  <c r="AH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113" i="1"/>
  <c r="AH113" i="1"/>
  <c r="AI139" i="1"/>
  <c r="AH139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88" i="1"/>
  <c r="AH88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42" i="1"/>
  <c r="AH42" i="1"/>
  <c r="AO11" i="1"/>
  <c r="AO14" i="1" s="1"/>
  <c r="AI11" i="1"/>
  <c r="AH11" i="1"/>
  <c r="AI10" i="1"/>
  <c r="AH10" i="1"/>
  <c r="AO9" i="1"/>
  <c r="AI9" i="1"/>
  <c r="AH9" i="1"/>
  <c r="AO8" i="1"/>
  <c r="AI20" i="1"/>
  <c r="AH20" i="1"/>
  <c r="AO7" i="1"/>
  <c r="AI7" i="1"/>
  <c r="AH7" i="1"/>
  <c r="AO6" i="1"/>
  <c r="AI6" i="1"/>
  <c r="AH6" i="1"/>
  <c r="AI5" i="1"/>
  <c r="AH5" i="1"/>
  <c r="AO4" i="1"/>
  <c r="AI4" i="1"/>
  <c r="AH4" i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<sst xmlns="http://schemas.openxmlformats.org/spreadsheetml/2006/main" count="779" uniqueCount="346">
  <si>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</si>
  <si>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</si>
  <si>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</si>
  <si>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</si>
  <si>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</si>
  <si>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</si>
  <si>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</si>
  <si>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</si>
  <si>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</si>
  <si>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</si>
  <si>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</si>
  <si>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</si>
  <si>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</si>
  <si>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</si>
  <si>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</si>
  <si>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</si>
  <si>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</si>
  <si>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</si>
  <si>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</si>
  <si>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</si>
  <si>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</si>
  <si>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</si>
  <si>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</si>
  <si>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</si>
  <si>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</si>
  <si>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</si>
  <si>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</si>
  <si>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</si>
  <si>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</si>
  <si>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</si>
  <si>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</si>
  <si>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</si>
  <si>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</si>
  <si>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</si>
  <si>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</si>
  <si>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</si>
  <si>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</si>
  <si>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</si>
  <si>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</si>
  <si>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</si>
  <si>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</si>
  <si>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</si>
  <si>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</si>
  <si>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</si>
  <si>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</si>
  <si>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</si>
  <si>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</si>
  <si>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</si>
  <si>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</si>
  <si>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</si>
  <si>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</si>
  <si>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</si>
  <si>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</si>
  <si>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</si>
  <si>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</si>
  <si>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</si>
  <si>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</si>
  <si>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</si>
  <si>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</si>
  <si>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</si>
  <si>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</si>
  <si>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</si>
  <si>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</si>
  <si>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</si>
  <si>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</si>
  <si>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</si>
  <si>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</si>
  <si>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</si>
  <si>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</si>
  <si>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</si>
  <si>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</si>
  <si>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</si>
  <si>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</si>
  <si>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</si>
  <si>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</si>
  <si>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</si>
  <si>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</si>
  <si>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</si>
  <si>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</si>
  <si>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</si>
  <si>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</si>
  <si>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</si>
  <si>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</si>
  <si>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</si>
  <si>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</si>
  <si>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</si>
  <si>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</si>
  <si>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</si>
  <si>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</si>
  <si>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</si>
  <si>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</si>
  <si>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</si>
  <si>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</si>
  <si>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</si>
  <si>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</si>
  <si>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</si>
  <si>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</si>
  <si>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</si>
  <si>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</si>
  <si>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</si>
  <si>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</si>
  <si>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</si>
  <si>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</si>
  <si>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</si>
  <si>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</si>
  <si>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</si>
  <si>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</si>
  <si>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</si>
  <si>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</si>
  <si>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</si>
  <si>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</si>
  <si>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</si>
  <si>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</si>
  <si>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Nathan</t>
  </si>
  <si>
    <t>Collins</t>
  </si>
  <si>
    <t>Mark</t>
  </si>
  <si>
    <t>Flekken</t>
  </si>
  <si>
    <t>Mathias</t>
  </si>
  <si>
    <t>Jensen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</si>
  <si>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</si>
  <si>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</si>
  <si>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</si>
  <si>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</si>
  <si>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</si>
  <si>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</si>
  <si>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</si>
  <si>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</si>
  <si>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</si>
  <si>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</si>
  <si>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</si>
  <si>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Dunk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</si>
  <si>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</si>
  <si>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</si>
  <si>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</si>
  <si>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</si>
  <si>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</si>
  <si>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</si>
  <si>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</si>
  <si>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</si>
  <si>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Danny</t>
  </si>
  <si>
    <t>Welbeck</t>
  </si>
  <si>
    <t>Josh</t>
  </si>
  <si>
    <t>Brownhill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</si>
  <si>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</si>
  <si>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</si>
  <si>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</si>
  <si>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</si>
  <si>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</si>
  <si>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</si>
  <si>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</si>
  <si>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</si>
  <si>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</si>
  <si>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</si>
  <si>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</si>
  <si>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</si>
  <si>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</si>
  <si>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</si>
  <si>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</si>
  <si>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</si>
  <si>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</si>
  <si>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</si>
  <si>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</si>
  <si>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</si>
  <si>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</si>
  <si>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</si>
  <si>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</si>
  <si>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</si>
  <si>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</si>
  <si>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</si>
  <si>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</si>
  <si>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</si>
  <si>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</si>
  <si>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</si>
  <si>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</si>
  <si>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Eberechi</t>
  </si>
  <si>
    <t>Eze</t>
  </si>
  <si>
    <t>Jefferson</t>
  </si>
  <si>
    <t>Lerma Solís</t>
  </si>
  <si>
    <t>Lerma</t>
  </si>
  <si>
    <t>Jean-Philippe</t>
  </si>
  <si>
    <t>Mateta</t>
  </si>
  <si>
    <t>Tyrick</t>
  </si>
  <si>
    <t>Mitchell</t>
  </si>
  <si>
    <t>Calvert-Lewin</t>
  </si>
  <si>
    <t>Dwight</t>
  </si>
  <si>
    <t>McNeil</t>
  </si>
  <si>
    <t>Vitalii</t>
  </si>
  <si>
    <t>Mykolenko</t>
  </si>
  <si>
    <t>Pickford</t>
  </si>
  <si>
    <t>Ashley</t>
  </si>
  <si>
    <t>Young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</si>
  <si>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</si>
  <si>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</si>
  <si>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</si>
  <si>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</si>
  <si>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</si>
  <si>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</si>
  <si>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</si>
  <si>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</si>
  <si>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</si>
  <si>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</si>
  <si>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</si>
  <si>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</si>
  <si>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</si>
  <si>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Willian</t>
  </si>
  <si>
    <t>Borges da Silva</t>
  </si>
  <si>
    <t>Calvin</t>
  </si>
  <si>
    <t>Bassey</t>
  </si>
  <si>
    <t>Timothy</t>
  </si>
  <si>
    <t>Castagne</t>
  </si>
  <si>
    <t>Alisson</t>
  </si>
  <si>
    <t>Ramses Becker</t>
  </si>
  <si>
    <t>A.Becker</t>
  </si>
  <si>
    <t>Darwin</t>
  </si>
  <si>
    <t>Núñez Ribeiro</t>
  </si>
  <si>
    <t>Cody</t>
  </si>
  <si>
    <t>Gakpo</t>
  </si>
  <si>
    <t>Joe</t>
  </si>
  <si>
    <t>Gomez</t>
  </si>
  <si>
    <t>Luis</t>
  </si>
  <si>
    <t>Díaz</t>
  </si>
  <si>
    <t>Luis Díaz</t>
  </si>
  <si>
    <t>Alexis</t>
  </si>
  <si>
    <t>Mac Allister</t>
  </si>
  <si>
    <t>Mohamed</t>
  </si>
  <si>
    <t>Salah</t>
  </si>
  <si>
    <t>Virgil</t>
  </si>
  <si>
    <t>van Dijk</t>
  </si>
  <si>
    <t>Alfie</t>
  </si>
  <si>
    <t>Doughty</t>
  </si>
  <si>
    <t>Carlton</t>
  </si>
  <si>
    <t>Morris</t>
  </si>
  <si>
    <t>Chiedozie</t>
  </si>
  <si>
    <t>Ogbene</t>
  </si>
  <si>
    <t>Tahith</t>
  </si>
  <si>
    <t>Chong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</si>
  <si>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</si>
  <si>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</si>
  <si>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</si>
  <si>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</si>
  <si>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</si>
  <si>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</si>
  <si>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</si>
  <si>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</si>
  <si>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</si>
  <si>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</si>
  <si>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</si>
  <si>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</si>
  <si>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</si>
  <si>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</si>
  <si>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</si>
  <si>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</si>
  <si>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</si>
  <si>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</si>
  <si>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</si>
  <si>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</si>
  <si>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</si>
  <si>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</si>
  <si>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</si>
  <si>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</si>
  <si>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</si>
  <si>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</si>
  <si>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</si>
  <si>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</si>
  <si>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</si>
  <si>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</si>
  <si>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</si>
  <si>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</si>
  <si>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</si>
  <si>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</si>
  <si>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</si>
  <si>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</si>
  <si>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</si>
  <si>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</si>
  <si>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</si>
  <si>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</si>
  <si>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</si>
  <si>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</si>
  <si>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</si>
  <si>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</si>
  <si>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</si>
  <si>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</si>
  <si>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</si>
  <si>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</si>
  <si>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</si>
  <si>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</si>
  <si>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</si>
  <si>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</si>
  <si>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</si>
  <si>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</si>
  <si>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Elanga</t>
  </si>
  <si>
    <t>Danilo</t>
  </si>
  <si>
    <t>dos Santos de Oliveira</t>
  </si>
  <si>
    <t>Morgan</t>
  </si>
  <si>
    <t>Gibbs-White</t>
  </si>
  <si>
    <t>Chris</t>
  </si>
  <si>
    <t>Wood</t>
  </si>
  <si>
    <t>Cameron</t>
  </si>
  <si>
    <t>Archer</t>
  </si>
  <si>
    <t>Gustavo</t>
  </si>
  <si>
    <t>Hamer</t>
  </si>
  <si>
    <t>Brennan</t>
  </si>
  <si>
    <t>Johnson</t>
  </si>
  <si>
    <t>Pedro</t>
  </si>
  <si>
    <t>Porro</t>
  </si>
  <si>
    <t>Pedro Porro</t>
  </si>
  <si>
    <t>Son</t>
  </si>
  <si>
    <t>Heung-min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</si>
  <si>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</si>
  <si>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</si>
  <si>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</si>
  <si>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</si>
  <si>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</si>
  <si>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</si>
  <si>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</si>
  <si>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</si>
  <si>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</si>
  <si>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</si>
  <si>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Kurt</t>
  </si>
  <si>
    <t>Zouma</t>
  </si>
  <si>
    <t>Edson</t>
  </si>
  <si>
    <t>Álvarez Velázquez</t>
  </si>
  <si>
    <t>James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</si>
  <si>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</si>
  <si>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</si>
  <si>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</si>
  <si>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</si>
  <si>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</si>
  <si>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</si>
  <si>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</si>
  <si>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</si>
  <si>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</si>
  <si>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</si>
  <si>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Max</t>
  </si>
  <si>
    <t>Kilman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</si>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</sst>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43" totalsRowShown="0">
  <autoFilter ref="A1:AL143" xr:uid="{00000000-0009-0000-0100-000001000000}">
    <filterColumn colId="37">
      <filters>
        <filter val="1"/>
      </filters>
    </filterColumn>
  </autoFilter>
  <sortState xmlns:xlrd2="http://schemas.microsoft.com/office/spreadsheetml/2017/richdata2" ref="A7:AL140">
    <sortCondition descending="1" ref="AI1:AI143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3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4</v>
      </c>
      <c r="AF2">
        <v>24.120482169986559</v>
      </c>
      <c r="AG2">
        <v>0</v>
      </c>
      <c r="AH2">
        <f>31.2344268213526*1</f>
        <v>31.234426821352599</v>
      </c>
      <c r="AI2">
        <f>12.1759742153241*1</f>
        <v>12.1759742153241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568.66975058194782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7.4</v>
      </c>
      <c r="AE3">
        <v>5</v>
      </c>
      <c r="AF3">
        <v>20.838844897966251</v>
      </c>
      <c r="AG3">
        <v>0</v>
      </c>
      <c r="AH3">
        <f>26.9849239090649*1</f>
        <v>26.9849239090649</v>
      </c>
      <c r="AI3">
        <f>8.6143367413091*1</f>
        <v>8.6143367413090992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24.037037037037049</v>
      </c>
      <c r="AG4">
        <v>0</v>
      </c>
      <c r="AH4">
        <f>31.1263709010629*1</f>
        <v>31.126370901062899</v>
      </c>
      <c r="AI4">
        <f>10.3754569670209*1</f>
        <v>10.3754569670209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101.60000000000001</v>
      </c>
      <c r="AP4">
        <v>101.8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7.6</v>
      </c>
      <c r="AE5">
        <v>10</v>
      </c>
      <c r="AF5">
        <v>28.190476190476179</v>
      </c>
      <c r="AG5">
        <v>0</v>
      </c>
      <c r="AH5">
        <f>36.5047995071238*1</f>
        <v>36.504799507123799</v>
      </c>
      <c r="AI5">
        <f>12.1682665023746*1</f>
        <v>12.1682665023746</v>
      </c>
      <c r="AJ5">
        <v>1</v>
      </c>
      <c r="AK5">
        <v>0</v>
      </c>
      <c r="AL5">
        <v>0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8.6</v>
      </c>
      <c r="AE6">
        <v>12</v>
      </c>
      <c r="AF6">
        <v>31.18027077401938</v>
      </c>
      <c r="AG6">
        <v>0</v>
      </c>
      <c r="AH6">
        <f>40.3763854676547*1</f>
        <v>40.3763854676547</v>
      </c>
      <c r="AI6">
        <f>13.4587951558849*1</f>
        <v>13.4587951558849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35.909393187306492</v>
      </c>
      <c r="AG7">
        <v>0</v>
      </c>
      <c r="AH7">
        <f>46.5002857655863*1</f>
        <v>46.500285765586298</v>
      </c>
      <c r="AI7">
        <f>15.0245447584523*1</f>
        <v>15.024544758452301</v>
      </c>
      <c r="AJ7">
        <v>1</v>
      </c>
      <c r="AK7">
        <v>1</v>
      </c>
      <c r="AL7">
        <v>1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165</v>
      </c>
      <c r="B8" t="s">
        <v>166</v>
      </c>
      <c r="C8" t="s">
        <v>166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6.1</v>
      </c>
      <c r="AE8">
        <v>283</v>
      </c>
      <c r="AF8">
        <v>112.889106153996</v>
      </c>
      <c r="AG8">
        <v>22.955612747050811</v>
      </c>
      <c r="AH8">
        <f>123.549877695195*1</f>
        <v>123.54987769519499</v>
      </c>
      <c r="AI8">
        <f>14.4665579232423*1</f>
        <v>14.4665579232423</v>
      </c>
      <c r="AJ8">
        <v>1</v>
      </c>
      <c r="AK8">
        <v>1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22.88816302796128</v>
      </c>
      <c r="AG9">
        <v>0</v>
      </c>
      <c r="AH9">
        <f>29.6386551534863*1</f>
        <v>29.638655153486301</v>
      </c>
      <c r="AI9">
        <f>9.71784242025606*1</f>
        <v>9.7178424202560603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</v>
      </c>
      <c r="AE10">
        <v>23</v>
      </c>
      <c r="AF10">
        <v>26.732055873675101</v>
      </c>
      <c r="AG10">
        <v>0</v>
      </c>
      <c r="AH10">
        <f>34.6162417934401*1</f>
        <v>34.616241793440103</v>
      </c>
      <c r="AI10">
        <f>11.875337896846*1</f>
        <v>11.875337896846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25</v>
      </c>
      <c r="AF11">
        <v>20.654867256637178</v>
      </c>
      <c r="AG11">
        <v>0</v>
      </c>
      <c r="AH11">
        <f>26.7466850490637*1</f>
        <v>26.7466850490637</v>
      </c>
      <c r="AI11">
        <f>8.91556168302124*1</f>
        <v>8.9155616830212399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</v>
      </c>
    </row>
    <row r="12" spans="1:42" x14ac:dyDescent="0.2">
      <c r="A12" t="s">
        <v>224</v>
      </c>
      <c r="B12" t="s">
        <v>225</v>
      </c>
      <c r="C12" t="s">
        <v>225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21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13.5</v>
      </c>
      <c r="AE12">
        <v>438</v>
      </c>
      <c r="AF12">
        <v>0</v>
      </c>
      <c r="AG12">
        <v>39.337956157655213</v>
      </c>
      <c r="AH12">
        <f>36.9739135388069*1</f>
        <v>36.973913538806897</v>
      </c>
      <c r="AI12">
        <f>13.0048811771523*1</f>
        <v>13.004881177152299</v>
      </c>
      <c r="AJ12">
        <v>1</v>
      </c>
      <c r="AK12">
        <v>1</v>
      </c>
      <c r="AL12">
        <v>1</v>
      </c>
      <c r="AN12" t="s">
        <v>8</v>
      </c>
      <c r="AO12">
        <v>0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27</v>
      </c>
      <c r="AF13">
        <v>22.56678126947164</v>
      </c>
      <c r="AG13">
        <v>0</v>
      </c>
      <c r="AH13">
        <f>29.2224870625452*1</f>
        <v>29.222487062545198</v>
      </c>
      <c r="AI13">
        <f>9.92451119676887*1</f>
        <v>9.9245111967688704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5.5</v>
      </c>
      <c r="AE14">
        <v>39</v>
      </c>
      <c r="AF14">
        <v>19.4041684522313</v>
      </c>
      <c r="AG14">
        <v>0</v>
      </c>
      <c r="AH14">
        <f>22.6065183093153*1</f>
        <v>22.606518309315302</v>
      </c>
      <c r="AI14">
        <f>4.52130366186307*1</f>
        <v>4.5213036618630698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4</v>
      </c>
    </row>
    <row r="15" spans="1:42" hidden="1" x14ac:dyDescent="0.2">
      <c r="A15" t="s">
        <v>71</v>
      </c>
      <c r="B15" t="s">
        <v>72</v>
      </c>
      <c r="C15" t="s">
        <v>72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47</v>
      </c>
      <c r="AF15">
        <v>11.907276091098741</v>
      </c>
      <c r="AG15">
        <v>0</v>
      </c>
      <c r="AH15">
        <f>13.8723829176273*1</f>
        <v>13.8723829176273</v>
      </c>
      <c r="AI15">
        <f>1.55458519512243*1</f>
        <v>1.5545851951224301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75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53</v>
      </c>
      <c r="AF16">
        <v>14.27631578947368</v>
      </c>
      <c r="AG16">
        <v>0</v>
      </c>
      <c r="AH16">
        <f>16.632394996921*1</f>
        <v>16.632394996921001</v>
      </c>
      <c r="AI16">
        <f>3.3264789993842*1</f>
        <v>3.3264789993842001</v>
      </c>
      <c r="AJ16">
        <v>1</v>
      </c>
      <c r="AK16">
        <v>0</v>
      </c>
      <c r="AL16">
        <v>0</v>
      </c>
      <c r="AN16" t="s">
        <v>10</v>
      </c>
      <c r="AO16">
        <f>AO2-AO14*5</f>
        <v>548.66975058194782</v>
      </c>
    </row>
    <row r="17" spans="1:42" hidden="1" x14ac:dyDescent="0.2">
      <c r="A17" t="s">
        <v>76</v>
      </c>
      <c r="B17" t="s">
        <v>77</v>
      </c>
      <c r="C17" t="s">
        <v>78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54</v>
      </c>
      <c r="AF17">
        <v>17.803030303030301</v>
      </c>
      <c r="AG17">
        <v>0</v>
      </c>
      <c r="AH17">
        <f>20.741137735303*1</f>
        <v>20.741137735302999</v>
      </c>
      <c r="AI17">
        <f>4.1482275470606*1</f>
        <v>4.1482275470605998</v>
      </c>
      <c r="AJ17">
        <v>1</v>
      </c>
      <c r="AK17">
        <v>0</v>
      </c>
      <c r="AL17">
        <v>0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5.3</v>
      </c>
      <c r="AE18">
        <v>55</v>
      </c>
      <c r="AF18">
        <v>15.286624203821651</v>
      </c>
      <c r="AG18">
        <v>0</v>
      </c>
      <c r="AH18">
        <f>17.8094387709554*1</f>
        <v>17.809438770955399</v>
      </c>
      <c r="AI18">
        <f>3.56188775419108*1</f>
        <v>3.5618877541910798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3</v>
      </c>
      <c r="AP18">
        <v>3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62</v>
      </c>
      <c r="AF19">
        <v>13.153916741984981</v>
      </c>
      <c r="AG19">
        <v>0</v>
      </c>
      <c r="AH19">
        <f>15.3247618107901*1</f>
        <v>15.3247618107901</v>
      </c>
      <c r="AI19">
        <f>3.06495236215803*1</f>
        <v>3.0649523621580301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1</v>
      </c>
      <c r="AP19">
        <v>3</v>
      </c>
    </row>
    <row r="20" spans="1:42" x14ac:dyDescent="0.2">
      <c r="A20" t="s">
        <v>56</v>
      </c>
      <c r="B20" t="s">
        <v>57</v>
      </c>
      <c r="C20" t="s">
        <v>57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5.9</v>
      </c>
      <c r="AE20">
        <v>18</v>
      </c>
      <c r="AF20">
        <v>26.386587209142029</v>
      </c>
      <c r="AG20">
        <v>0</v>
      </c>
      <c r="AH20">
        <f>34.1688827545376*1</f>
        <v>34.168882754537599</v>
      </c>
      <c r="AI20">
        <f>12.6001257855342*1</f>
        <v>12.6001257855342</v>
      </c>
      <c r="AJ20">
        <v>1</v>
      </c>
      <c r="AK20">
        <v>1</v>
      </c>
      <c r="AL20">
        <v>1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85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4.5999999999999996</v>
      </c>
      <c r="AE21">
        <v>66</v>
      </c>
      <c r="AF21">
        <v>15.8</v>
      </c>
      <c r="AG21">
        <v>0</v>
      </c>
      <c r="AH21">
        <f>18.40753908968*1</f>
        <v>18.40753908968</v>
      </c>
      <c r="AI21">
        <f>3.681507817936*1</f>
        <v>3.6815078179360001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6.3</v>
      </c>
      <c r="AE22">
        <v>67</v>
      </c>
      <c r="AF22">
        <v>18.484848484848481</v>
      </c>
      <c r="AG22">
        <v>0</v>
      </c>
      <c r="AH22">
        <f>21.5354791804848*1</f>
        <v>21.535479180484799</v>
      </c>
      <c r="AI22">
        <f>4.30709583609696*1</f>
        <v>4.30709583609696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2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82</v>
      </c>
      <c r="AF23">
        <v>12.590163934426229</v>
      </c>
      <c r="AG23">
        <v>15.20022939885976</v>
      </c>
      <c r="AH23">
        <f>14.7046007945*1</f>
        <v>14.704600794499999</v>
      </c>
      <c r="AI23">
        <f>4.99775707201183*1</f>
        <v>4.9977570720118303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83</v>
      </c>
      <c r="AF24">
        <v>11.10638297872341</v>
      </c>
      <c r="AG24">
        <v>8.2445996280214811</v>
      </c>
      <c r="AH24">
        <f>11.0174696776048*1</f>
        <v>11.017469677604799</v>
      </c>
      <c r="AI24">
        <f>3.65770976879235*1</f>
        <v>3.6577097687923499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4.5999999999999996</v>
      </c>
      <c r="AE25">
        <v>89</v>
      </c>
      <c r="AF25">
        <v>34.182217885827697</v>
      </c>
      <c r="AG25">
        <v>20.736225602548139</v>
      </c>
      <c r="AH25">
        <f>32.1534457624921*1</f>
        <v>32.153445762492098</v>
      </c>
      <c r="AI25">
        <f>10.1643580415806*1</f>
        <v>10.1643580415806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96</v>
      </c>
      <c r="B26" t="s">
        <v>97</v>
      </c>
      <c r="C26" t="s">
        <v>98</v>
      </c>
      <c r="D26" t="s">
        <v>3</v>
      </c>
      <c r="E26">
        <v>1</v>
      </c>
      <c r="F26">
        <v>0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4.7</v>
      </c>
      <c r="AE26">
        <v>94</v>
      </c>
      <c r="AF26">
        <v>22.590427056114368</v>
      </c>
      <c r="AG26">
        <v>24.66053236143285</v>
      </c>
      <c r="AH26">
        <f>25.3955374591167*1</f>
        <v>25.395537459116699</v>
      </c>
      <c r="AI26">
        <f>10.2526762557561*1</f>
        <v>10.2526762557561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6</v>
      </c>
      <c r="E27">
        <v>0</v>
      </c>
      <c r="F27">
        <v>0</v>
      </c>
      <c r="G27">
        <v>0</v>
      </c>
      <c r="H27">
        <v>1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99</v>
      </c>
      <c r="AF27">
        <v>17.5</v>
      </c>
      <c r="AG27">
        <v>14.688542172004</v>
      </c>
      <c r="AH27">
        <f>18.002340611286*1</f>
        <v>18.002340611286002</v>
      </c>
      <c r="AI27">
        <f>6.10547183597891*1</f>
        <v>6.1054718359789097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100</v>
      </c>
      <c r="AF28">
        <v>17.963164565295791</v>
      </c>
      <c r="AG28">
        <v>16.81159229008728</v>
      </c>
      <c r="AH28">
        <f>19.1350603276356*1</f>
        <v>19.1350603276356</v>
      </c>
      <c r="AI28">
        <f>7.48262867362415*1</f>
        <v>7.4826286736241503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2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101</v>
      </c>
      <c r="AF29">
        <v>14.130841121495321</v>
      </c>
      <c r="AG29">
        <v>11.73897923107894</v>
      </c>
      <c r="AH29">
        <f>14.4904272773675*1</f>
        <v>14.4904272773675</v>
      </c>
      <c r="AI29">
        <f>4.81143599217494*1</f>
        <v>4.8114359921749399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6</v>
      </c>
      <c r="E30">
        <v>0</v>
      </c>
      <c r="F30">
        <v>0</v>
      </c>
      <c r="G30">
        <v>0</v>
      </c>
      <c r="H30">
        <v>1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7.2</v>
      </c>
      <c r="AE30">
        <v>102</v>
      </c>
      <c r="AF30">
        <v>29.86971379241135</v>
      </c>
      <c r="AG30">
        <v>16.88071161072773</v>
      </c>
      <c r="AH30">
        <f>27.6279104912743*1</f>
        <v>27.627910491274299</v>
      </c>
      <c r="AI30">
        <f>9.14889214119001*1</f>
        <v>9.1488921411900108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5.0999999999999996</v>
      </c>
      <c r="AE31">
        <v>103</v>
      </c>
      <c r="AF31">
        <v>21.612376418372751</v>
      </c>
      <c r="AG31">
        <v>25.655562407056269</v>
      </c>
      <c r="AH31">
        <f>25.0765708003325*1</f>
        <v>25.076570800332501</v>
      </c>
      <c r="AI31">
        <f>8.37867612377869*1</f>
        <v>8.3786761237786909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106</v>
      </c>
      <c r="AF32">
        <v>13.33333333333333</v>
      </c>
      <c r="AG32">
        <v>11.075676624898589</v>
      </c>
      <c r="AH32">
        <f>13.6723282416593*1</f>
        <v>13.672328241659301</v>
      </c>
      <c r="AI32">
        <f>4.68504681421172*1</f>
        <v>4.6850468142117201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1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107</v>
      </c>
      <c r="AF33">
        <v>12.48</v>
      </c>
      <c r="AG33">
        <v>10.05471628044852</v>
      </c>
      <c r="AH33">
        <f>12.6791936688512*1</f>
        <v>12.6791936688512</v>
      </c>
      <c r="AI33">
        <f>4.20564266401006*1</f>
        <v>4.2056426640100604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125</v>
      </c>
      <c r="AF34">
        <v>12.04225352112676</v>
      </c>
      <c r="AG34">
        <v>14.94598313834743</v>
      </c>
      <c r="AH34">
        <f>13.6915799069581*1</f>
        <v>13.691579906958101</v>
      </c>
      <c r="AI34">
        <f>2.60038939191607*1</f>
        <v>2.6003893919160701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4.5999999999999996</v>
      </c>
      <c r="AE35">
        <v>130</v>
      </c>
      <c r="AF35">
        <v>16.129032258064509</v>
      </c>
      <c r="AG35">
        <v>11.899002728755789</v>
      </c>
      <c r="AH35">
        <f>13.1327533949024*1</f>
        <v>13.1327533949024</v>
      </c>
      <c r="AI35">
        <f>1.91218478800741*1</f>
        <v>1.9121847880074101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5.3</v>
      </c>
      <c r="AE36">
        <v>135</v>
      </c>
      <c r="AF36">
        <v>14.23898899111868</v>
      </c>
      <c r="AG36">
        <v>16.80315361836524</v>
      </c>
      <c r="AH36">
        <f>15.6318881995246*1</f>
        <v>15.6318881995246</v>
      </c>
      <c r="AI36">
        <f>3.10441889186214*1</f>
        <v>3.10441889186214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</v>
      </c>
      <c r="AE37">
        <v>139</v>
      </c>
      <c r="AF37">
        <v>14.48717948717948</v>
      </c>
      <c r="AG37">
        <v>19.465769297501989</v>
      </c>
      <c r="AH37">
        <f>17.4236267460324*1</f>
        <v>17.423626746032401</v>
      </c>
      <c r="AI37">
        <f>3.53482535034758*1</f>
        <v>3.5348253503475799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2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141</v>
      </c>
      <c r="AF38">
        <v>15.24390243902439</v>
      </c>
      <c r="AG38">
        <v>15.78250569457219</v>
      </c>
      <c r="AH38">
        <f>15.3204684688448*1</f>
        <v>15.320468468844799</v>
      </c>
      <c r="AI38">
        <f>3.1148410288474*1</f>
        <v>3.1148410288474002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125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142</v>
      </c>
      <c r="AF39">
        <v>19.431048759235232</v>
      </c>
      <c r="AG39">
        <v>8.2554689531519347</v>
      </c>
      <c r="AH39">
        <f>11.9236629874026*1</f>
        <v>11.923662987402601</v>
      </c>
      <c r="AI39">
        <f>3.04223561695911*1</f>
        <v>3.0422356169591098</v>
      </c>
      <c r="AJ39">
        <v>1</v>
      </c>
      <c r="AK39">
        <v>0</v>
      </c>
      <c r="AL39">
        <v>0</v>
      </c>
    </row>
    <row r="40" spans="1:42" hidden="1" x14ac:dyDescent="0.2">
      <c r="A40" t="s">
        <v>126</v>
      </c>
      <c r="B40" t="s">
        <v>127</v>
      </c>
      <c r="C40" t="s">
        <v>127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5.7</v>
      </c>
      <c r="AE40">
        <v>147</v>
      </c>
      <c r="AF40">
        <v>15.115480415050079</v>
      </c>
      <c r="AG40">
        <v>17.57618364414002</v>
      </c>
      <c r="AH40">
        <f>16.4265970054834*1</f>
        <v>16.426597005483401</v>
      </c>
      <c r="AI40">
        <f>2.82151525754921*1</f>
        <v>2.8215152575492102</v>
      </c>
      <c r="AJ40">
        <v>1</v>
      </c>
      <c r="AK40">
        <v>0</v>
      </c>
      <c r="AL40">
        <v>0</v>
      </c>
    </row>
    <row r="41" spans="1:42" hidden="1" x14ac:dyDescent="0.2">
      <c r="A41" t="s">
        <v>128</v>
      </c>
      <c r="B41" t="s">
        <v>129</v>
      </c>
      <c r="C41" t="s">
        <v>129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162</v>
      </c>
      <c r="AF41">
        <v>21.765991236105659</v>
      </c>
      <c r="AG41">
        <v>0</v>
      </c>
      <c r="AH41">
        <f>28.6694101632903*1</f>
        <v>28.669410163290301</v>
      </c>
      <c r="AI41">
        <f>5.8735083706189*1</f>
        <v>5.8735083706189002</v>
      </c>
      <c r="AJ41">
        <v>1</v>
      </c>
      <c r="AK41">
        <v>0</v>
      </c>
      <c r="AL41">
        <v>0</v>
      </c>
    </row>
    <row r="42" spans="1:42" x14ac:dyDescent="0.2">
      <c r="A42" t="s">
        <v>64</v>
      </c>
      <c r="B42" t="s">
        <v>65</v>
      </c>
      <c r="C42" t="s">
        <v>66</v>
      </c>
      <c r="D42" t="s">
        <v>3</v>
      </c>
      <c r="E42">
        <v>1</v>
      </c>
      <c r="F42">
        <v>0</v>
      </c>
      <c r="G42">
        <v>0</v>
      </c>
      <c r="H42">
        <v>0</v>
      </c>
      <c r="I42" t="s">
        <v>11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5.0999999999999996</v>
      </c>
      <c r="AE42">
        <v>26</v>
      </c>
      <c r="AF42">
        <v>24.906976744186071</v>
      </c>
      <c r="AG42">
        <v>0</v>
      </c>
      <c r="AH42">
        <f>32.2528852024953*1</f>
        <v>32.2528852024953</v>
      </c>
      <c r="AI42">
        <f>10.7509617341651*1</f>
        <v>10.7509617341651</v>
      </c>
      <c r="AJ42">
        <v>1</v>
      </c>
      <c r="AK42">
        <v>1</v>
      </c>
      <c r="AL42">
        <v>1</v>
      </c>
    </row>
    <row r="43" spans="1:42" x14ac:dyDescent="0.2">
      <c r="A43" t="s">
        <v>226</v>
      </c>
      <c r="B43" t="s">
        <v>227</v>
      </c>
      <c r="C43" t="s">
        <v>226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21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6.6</v>
      </c>
      <c r="AE43">
        <v>443</v>
      </c>
      <c r="AF43">
        <v>0</v>
      </c>
      <c r="AG43">
        <v>27.705605825683129</v>
      </c>
      <c r="AH43">
        <f>26.0406176221671*1</f>
        <v>26.040617622167101</v>
      </c>
      <c r="AI43">
        <f>8.91209388029794*1</f>
        <v>8.9120938802979399</v>
      </c>
      <c r="AJ43">
        <v>1</v>
      </c>
      <c r="AK43">
        <v>1</v>
      </c>
      <c r="AL43">
        <v>1</v>
      </c>
    </row>
    <row r="44" spans="1:42" hidden="1" x14ac:dyDescent="0.2">
      <c r="A44" t="s">
        <v>134</v>
      </c>
      <c r="B44" t="s">
        <v>135</v>
      </c>
      <c r="C44" t="s">
        <v>134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174</v>
      </c>
      <c r="AF44">
        <v>22.579310831182021</v>
      </c>
      <c r="AG44">
        <v>0</v>
      </c>
      <c r="AH44">
        <f>29.7406865785085*1</f>
        <v>29.740686578508502</v>
      </c>
      <c r="AI44">
        <f>8.41682234434247*1</f>
        <v>8.4168223443424708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138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4.0999999999999996</v>
      </c>
      <c r="AE45">
        <v>188</v>
      </c>
      <c r="AF45">
        <v>15.015118719187999</v>
      </c>
      <c r="AG45">
        <v>0</v>
      </c>
      <c r="AH45">
        <f>19.7773945850361*1</f>
        <v>19.777394585036099</v>
      </c>
      <c r="AI45">
        <f>3.29623243083935*1</f>
        <v>3.2962324308393498</v>
      </c>
      <c r="AJ45">
        <v>1</v>
      </c>
      <c r="AK45">
        <v>0</v>
      </c>
      <c r="AL45">
        <v>0</v>
      </c>
    </row>
    <row r="46" spans="1:42" hidden="1" x14ac:dyDescent="0.2">
      <c r="A46" t="s">
        <v>139</v>
      </c>
      <c r="B46" t="s">
        <v>140</v>
      </c>
      <c r="C46" t="s">
        <v>140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5.7</v>
      </c>
      <c r="AE46">
        <v>192</v>
      </c>
      <c r="AF46">
        <v>17.926084429800142</v>
      </c>
      <c r="AG46">
        <v>0</v>
      </c>
      <c r="AH46">
        <f>23.6116178475345*1</f>
        <v>23.6116178475345</v>
      </c>
      <c r="AI46">
        <f>3.79288389461006*1</f>
        <v>3.79288389461006</v>
      </c>
      <c r="AJ46">
        <v>1</v>
      </c>
      <c r="AK46">
        <v>0</v>
      </c>
      <c r="AL46">
        <v>0</v>
      </c>
    </row>
    <row r="47" spans="1:42" hidden="1" x14ac:dyDescent="0.2">
      <c r="A47" t="s">
        <v>141</v>
      </c>
      <c r="B47" t="s">
        <v>142</v>
      </c>
      <c r="C47" t="s">
        <v>142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213</v>
      </c>
      <c r="AF47">
        <v>12.951619362938491</v>
      </c>
      <c r="AG47">
        <v>0</v>
      </c>
      <c r="AH47">
        <f>12.9187764796115*1</f>
        <v>12.9187764796115</v>
      </c>
      <c r="AI47">
        <f>1.77905922365539*1</f>
        <v>1.7790592236553899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144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4.4000000000000004</v>
      </c>
      <c r="AE48">
        <v>225</v>
      </c>
      <c r="AF48">
        <v>8.3333333333333321</v>
      </c>
      <c r="AG48">
        <v>0</v>
      </c>
      <c r="AH48">
        <f>8.31220155925*1</f>
        <v>8.3122015592499991</v>
      </c>
      <c r="AI48">
        <f>1.66244031184999*1</f>
        <v>1.66244031184999</v>
      </c>
      <c r="AJ48">
        <v>1</v>
      </c>
      <c r="AK48">
        <v>0</v>
      </c>
      <c r="AL48">
        <v>0</v>
      </c>
    </row>
    <row r="49" spans="1:38" hidden="1" x14ac:dyDescent="0.2">
      <c r="A49" t="s">
        <v>145</v>
      </c>
      <c r="B49" t="s">
        <v>146</v>
      </c>
      <c r="C49" t="s">
        <v>146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243</v>
      </c>
      <c r="AF49">
        <v>11.56119193402114</v>
      </c>
      <c r="AG49">
        <v>0</v>
      </c>
      <c r="AH49">
        <f>11.531874914491*1</f>
        <v>11.531874914491</v>
      </c>
      <c r="AI49">
        <f>2.2820707714328*1</f>
        <v>2.2820707714327999</v>
      </c>
      <c r="AJ49">
        <v>1</v>
      </c>
      <c r="AK49">
        <v>0</v>
      </c>
      <c r="AL49">
        <v>0</v>
      </c>
    </row>
    <row r="50" spans="1:38" hidden="1" x14ac:dyDescent="0.2">
      <c r="A50" t="s">
        <v>147</v>
      </c>
      <c r="B50" t="s">
        <v>148</v>
      </c>
      <c r="C50" t="s">
        <v>148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245</v>
      </c>
      <c r="AF50">
        <v>14.583333333333339</v>
      </c>
      <c r="AG50">
        <v>0</v>
      </c>
      <c r="AH50">
        <f>14.5463527286875*1</f>
        <v>14.5463527286875</v>
      </c>
      <c r="AI50">
        <f>2.9092705457375*1</f>
        <v>2.9092705457374999</v>
      </c>
      <c r="AJ50">
        <v>1</v>
      </c>
      <c r="AK50">
        <v>0</v>
      </c>
      <c r="AL50">
        <v>0</v>
      </c>
    </row>
    <row r="51" spans="1:38" hidden="1" x14ac:dyDescent="0.2">
      <c r="A51" t="s">
        <v>149</v>
      </c>
      <c r="B51" t="s">
        <v>150</v>
      </c>
      <c r="C51" t="s">
        <v>150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4.5999999999999996</v>
      </c>
      <c r="AE51">
        <v>265</v>
      </c>
      <c r="AF51">
        <v>18.84615384615385</v>
      </c>
      <c r="AG51">
        <v>19.23888307683961</v>
      </c>
      <c r="AH51">
        <f>21.0384729533125*1</f>
        <v>21.0384729533125</v>
      </c>
      <c r="AI51">
        <f>3.01962533985624*1</f>
        <v>3.01962533985624</v>
      </c>
      <c r="AJ51">
        <v>1</v>
      </c>
      <c r="AK51">
        <v>0</v>
      </c>
      <c r="AL51">
        <v>0</v>
      </c>
    </row>
    <row r="52" spans="1:38" hidden="1" x14ac:dyDescent="0.2">
      <c r="A52" t="s">
        <v>151</v>
      </c>
      <c r="B52" t="s">
        <v>152</v>
      </c>
      <c r="C52" t="s">
        <v>151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267</v>
      </c>
      <c r="AF52">
        <v>18.720930232558139</v>
      </c>
      <c r="AG52">
        <v>14.92028980567277</v>
      </c>
      <c r="AH52">
        <f>20.7864594626565*1</f>
        <v>20.786459462656499</v>
      </c>
      <c r="AI52">
        <f>2.9701530158094*1</f>
        <v>2.9701530158093998</v>
      </c>
      <c r="AJ52">
        <v>1</v>
      </c>
      <c r="AK52">
        <v>0</v>
      </c>
      <c r="AL52">
        <v>0</v>
      </c>
    </row>
    <row r="53" spans="1:38" hidden="1" x14ac:dyDescent="0.2">
      <c r="A53" t="s">
        <v>153</v>
      </c>
      <c r="B53" t="s">
        <v>154</v>
      </c>
      <c r="C53" t="s">
        <v>154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269</v>
      </c>
      <c r="AF53">
        <v>24.60434238962435</v>
      </c>
      <c r="AG53">
        <v>18.039632920979379</v>
      </c>
      <c r="AH53">
        <f>27.2769708870328*1</f>
        <v>27.2769708870328</v>
      </c>
      <c r="AI53">
        <f>3.60134665650881*1</f>
        <v>3.6013466565088099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156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6.3</v>
      </c>
      <c r="AE54">
        <v>274</v>
      </c>
      <c r="AF54">
        <v>18.421052631578949</v>
      </c>
      <c r="AG54">
        <v>18.977331549913231</v>
      </c>
      <c r="AH54">
        <f>20.5685377947791*1</f>
        <v>20.5685377947791</v>
      </c>
      <c r="AI54">
        <f>2.97129299340077*1</f>
        <v>2.9712929934007701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159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6.8</v>
      </c>
      <c r="AE55">
        <v>275</v>
      </c>
      <c r="AF55">
        <v>26.749999999999989</v>
      </c>
      <c r="AG55">
        <v>26.01478726034119</v>
      </c>
      <c r="AH55">
        <f>29.827135510397*1</f>
        <v>29.827135510397</v>
      </c>
      <c r="AI55">
        <f>4.29803952096426*1</f>
        <v>4.2980395209642603</v>
      </c>
      <c r="AJ55">
        <v>1</v>
      </c>
      <c r="AK55">
        <v>0</v>
      </c>
      <c r="AL55">
        <v>0</v>
      </c>
    </row>
    <row r="56" spans="1:38" hidden="1" x14ac:dyDescent="0.2">
      <c r="A56" t="s">
        <v>160</v>
      </c>
      <c r="B56" t="s">
        <v>161</v>
      </c>
      <c r="C56" t="s">
        <v>161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6.8</v>
      </c>
      <c r="AE56">
        <v>280</v>
      </c>
      <c r="AF56">
        <v>27.31780356758539</v>
      </c>
      <c r="AG56">
        <v>39.027792958352208</v>
      </c>
      <c r="AH56">
        <f>30.7939391172983*1</f>
        <v>30.793939117298301</v>
      </c>
      <c r="AI56">
        <f>4.72778358722922*1</f>
        <v>4.7277835872292204</v>
      </c>
      <c r="AJ56">
        <v>1</v>
      </c>
      <c r="AK56">
        <v>0</v>
      </c>
      <c r="AL56">
        <v>0</v>
      </c>
    </row>
    <row r="57" spans="1:38" hidden="1" x14ac:dyDescent="0.2">
      <c r="A57" t="s">
        <v>162</v>
      </c>
      <c r="B57" t="s">
        <v>163</v>
      </c>
      <c r="C57" t="s">
        <v>164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281</v>
      </c>
      <c r="AF57">
        <v>24.062499999999989</v>
      </c>
      <c r="AG57">
        <v>23.542466586149779</v>
      </c>
      <c r="AH57">
        <f>26.8342682594205*1</f>
        <v>26.834268259420501</v>
      </c>
      <c r="AI57">
        <f>3.80274507978076*1</f>
        <v>3.80274507978076</v>
      </c>
      <c r="AJ57">
        <v>1</v>
      </c>
      <c r="AK57">
        <v>0</v>
      </c>
      <c r="AL57">
        <v>0</v>
      </c>
    </row>
    <row r="58" spans="1:38" x14ac:dyDescent="0.2">
      <c r="A58" t="s">
        <v>253</v>
      </c>
      <c r="B58" t="s">
        <v>254</v>
      </c>
      <c r="C58" t="s">
        <v>254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23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8.1999999999999993</v>
      </c>
      <c r="AE58">
        <v>521</v>
      </c>
      <c r="AF58">
        <v>44.123969047497077</v>
      </c>
      <c r="AG58">
        <v>0</v>
      </c>
      <c r="AH58">
        <f>44.9115125365279*1</f>
        <v>44.911512536527901</v>
      </c>
      <c r="AI58">
        <f>8.72248904408267*1</f>
        <v>8.7224890440826695</v>
      </c>
      <c r="AJ58">
        <v>1</v>
      </c>
      <c r="AK58">
        <v>1</v>
      </c>
      <c r="AL58">
        <v>1</v>
      </c>
    </row>
    <row r="59" spans="1:38" hidden="1" x14ac:dyDescent="0.2">
      <c r="A59" t="s">
        <v>167</v>
      </c>
      <c r="B59" t="s">
        <v>168</v>
      </c>
      <c r="C59" t="s">
        <v>168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286</v>
      </c>
      <c r="AF59">
        <v>17.25</v>
      </c>
      <c r="AG59">
        <v>14.146394641412529</v>
      </c>
      <c r="AH59">
        <f>19.1639066255481*1</f>
        <v>19.163906625548101</v>
      </c>
      <c r="AI59">
        <f>2.72083727189872*1</f>
        <v>2.7208372718987199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170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4.7</v>
      </c>
      <c r="AE60">
        <v>311</v>
      </c>
      <c r="AF60">
        <v>17.583918031810111</v>
      </c>
      <c r="AG60">
        <v>0</v>
      </c>
      <c r="AH60">
        <f>22.2479009942002*1</f>
        <v>22.247900994200201</v>
      </c>
      <c r="AI60">
        <f>7.07659999253852*1</f>
        <v>7.0765999925385197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173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312</v>
      </c>
      <c r="AF61">
        <v>16.923913043478279</v>
      </c>
      <c r="AG61">
        <v>0</v>
      </c>
      <c r="AH61">
        <f>21.4128353615282*1</f>
        <v>21.412835361528199</v>
      </c>
      <c r="AI61">
        <f>7.13761178717609*1</f>
        <v>7.1376117871760902</v>
      </c>
      <c r="AJ61">
        <v>1</v>
      </c>
      <c r="AK61">
        <v>0</v>
      </c>
      <c r="AL61">
        <v>0</v>
      </c>
    </row>
    <row r="62" spans="1:38" hidden="1" x14ac:dyDescent="0.2">
      <c r="A62" t="s">
        <v>174</v>
      </c>
      <c r="B62" t="s">
        <v>175</v>
      </c>
      <c r="C62" t="s">
        <v>175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317</v>
      </c>
      <c r="AF62">
        <v>22.764705882352938</v>
      </c>
      <c r="AG62">
        <v>0</v>
      </c>
      <c r="AH62">
        <f>28.8028482455647*1</f>
        <v>28.8028482455647</v>
      </c>
      <c r="AI62">
        <f>9.60094941518823*1</f>
        <v>9.6009494151882304</v>
      </c>
      <c r="AJ62">
        <v>1</v>
      </c>
      <c r="AK62">
        <v>0</v>
      </c>
      <c r="AL62">
        <v>0</v>
      </c>
    </row>
    <row r="63" spans="1:38" hidden="1" x14ac:dyDescent="0.2">
      <c r="A63" t="s">
        <v>176</v>
      </c>
      <c r="B63" t="s">
        <v>177</v>
      </c>
      <c r="C63" t="s">
        <v>178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322</v>
      </c>
      <c r="AF63">
        <v>15.574975627775061</v>
      </c>
      <c r="AG63">
        <v>0</v>
      </c>
      <c r="AH63">
        <f>19.706103902837*1</f>
        <v>19.706103902837</v>
      </c>
      <c r="AI63">
        <f>6.73826866981992*1</f>
        <v>6.7382686698199201</v>
      </c>
      <c r="AJ63">
        <v>1</v>
      </c>
      <c r="AK63">
        <v>0</v>
      </c>
      <c r="AL63">
        <v>0</v>
      </c>
    </row>
    <row r="64" spans="1:38" hidden="1" x14ac:dyDescent="0.2">
      <c r="A64" t="s">
        <v>179</v>
      </c>
      <c r="B64" t="s">
        <v>180</v>
      </c>
      <c r="C64" t="s">
        <v>180</v>
      </c>
      <c r="D64" t="s">
        <v>6</v>
      </c>
      <c r="E64">
        <v>0</v>
      </c>
      <c r="F64">
        <v>0</v>
      </c>
      <c r="G64">
        <v>0</v>
      </c>
      <c r="H64">
        <v>1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323</v>
      </c>
      <c r="AF64">
        <v>15.142857142857141</v>
      </c>
      <c r="AG64">
        <v>0</v>
      </c>
      <c r="AH64">
        <f>19.1593697078285*1</f>
        <v>19.1593697078285</v>
      </c>
      <c r="AI64">
        <f>6.38645656927619*1</f>
        <v>6.3864565692761897</v>
      </c>
      <c r="AJ64">
        <v>1</v>
      </c>
      <c r="AK64">
        <v>0</v>
      </c>
      <c r="AL64">
        <v>0</v>
      </c>
    </row>
    <row r="65" spans="1:38" hidden="1" x14ac:dyDescent="0.2">
      <c r="A65" t="s">
        <v>181</v>
      </c>
      <c r="B65" t="s">
        <v>182</v>
      </c>
      <c r="C65" t="s">
        <v>182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325</v>
      </c>
      <c r="AF65">
        <v>14.36045813579106</v>
      </c>
      <c r="AG65">
        <v>0</v>
      </c>
      <c r="AH65">
        <f>18.1694460960557*1</f>
        <v>18.169446096055701</v>
      </c>
      <c r="AI65">
        <f>4.54230722268231*1</f>
        <v>4.54230722268231</v>
      </c>
      <c r="AJ65">
        <v>1</v>
      </c>
      <c r="AK65">
        <v>0</v>
      </c>
      <c r="AL65">
        <v>0</v>
      </c>
    </row>
    <row r="66" spans="1:38" hidden="1" x14ac:dyDescent="0.2">
      <c r="A66" t="s">
        <v>105</v>
      </c>
      <c r="B66" t="s">
        <v>183</v>
      </c>
      <c r="C66" t="s">
        <v>183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5.8</v>
      </c>
      <c r="AE66">
        <v>350</v>
      </c>
      <c r="AF66">
        <v>21.316364775833041</v>
      </c>
      <c r="AG66">
        <v>20.895395288719619</v>
      </c>
      <c r="AH66">
        <f>17.6631054896228*1</f>
        <v>17.663105489622801</v>
      </c>
      <c r="AI66">
        <f>6.06253699512359*1</f>
        <v>6.0625369951235903</v>
      </c>
      <c r="AJ66">
        <v>1</v>
      </c>
      <c r="AK66">
        <v>0</v>
      </c>
      <c r="AL66">
        <v>0</v>
      </c>
    </row>
    <row r="67" spans="1:38" hidden="1" x14ac:dyDescent="0.2">
      <c r="A67" t="s">
        <v>184</v>
      </c>
      <c r="B67" t="s">
        <v>185</v>
      </c>
      <c r="C67" t="s">
        <v>185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5.4</v>
      </c>
      <c r="AE67">
        <v>360</v>
      </c>
      <c r="AF67">
        <v>18.73561373016426</v>
      </c>
      <c r="AG67">
        <v>17.424208255886558</v>
      </c>
      <c r="AH67">
        <f>15.2785132116691*1</f>
        <v>15.2785132116691</v>
      </c>
      <c r="AI67">
        <f>5.14506693081795*1</f>
        <v>5.1450669308179497</v>
      </c>
      <c r="AJ67">
        <v>1</v>
      </c>
      <c r="AK67">
        <v>0</v>
      </c>
      <c r="AL67">
        <v>0</v>
      </c>
    </row>
    <row r="68" spans="1:38" hidden="1" x14ac:dyDescent="0.2">
      <c r="A68" t="s">
        <v>186</v>
      </c>
      <c r="B68" t="s">
        <v>187</v>
      </c>
      <c r="C68" t="s">
        <v>187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4.5999999999999996</v>
      </c>
      <c r="AE68">
        <v>361</v>
      </c>
      <c r="AF68">
        <v>16.097565289763779</v>
      </c>
      <c r="AG68">
        <v>16.561324081542299</v>
      </c>
      <c r="AH68">
        <f>13.5430914615185*1</f>
        <v>13.5430914615185</v>
      </c>
      <c r="AI68">
        <f>3.9465495797246*1</f>
        <v>3.9465495797246</v>
      </c>
      <c r="AJ68">
        <v>1</v>
      </c>
      <c r="AK68">
        <v>0</v>
      </c>
      <c r="AL68">
        <v>0</v>
      </c>
    </row>
    <row r="69" spans="1:38" hidden="1" x14ac:dyDescent="0.2">
      <c r="A69" t="s">
        <v>171</v>
      </c>
      <c r="B69" t="s">
        <v>188</v>
      </c>
      <c r="C69" t="s">
        <v>188</v>
      </c>
      <c r="D69" t="s">
        <v>3</v>
      </c>
      <c r="E69">
        <v>1</v>
      </c>
      <c r="F69">
        <v>0</v>
      </c>
      <c r="G69">
        <v>0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4.7</v>
      </c>
      <c r="AE69">
        <v>364</v>
      </c>
      <c r="AF69">
        <v>21.176470588235269</v>
      </c>
      <c r="AG69">
        <v>20.577519913363471</v>
      </c>
      <c r="AH69">
        <f>17.4999297252031*1</f>
        <v>17.499929725203099</v>
      </c>
      <c r="AI69">
        <f>5.84492225702361*1</f>
        <v>5.8449222570236099</v>
      </c>
      <c r="AJ69">
        <v>1</v>
      </c>
      <c r="AK69">
        <v>0</v>
      </c>
      <c r="AL69">
        <v>0</v>
      </c>
    </row>
    <row r="70" spans="1:38" hidden="1" x14ac:dyDescent="0.2">
      <c r="A70" t="s">
        <v>189</v>
      </c>
      <c r="B70" t="s">
        <v>190</v>
      </c>
      <c r="C70" t="s">
        <v>190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4.4000000000000004</v>
      </c>
      <c r="AE70">
        <v>369</v>
      </c>
      <c r="AF70">
        <v>14.120689655172409</v>
      </c>
      <c r="AG70">
        <v>14.160196574051319</v>
      </c>
      <c r="AH70">
        <f>11.7838866142047*1</f>
        <v>11.7838866142047</v>
      </c>
      <c r="AI70">
        <f>3.87800826897153*1</f>
        <v>3.8780082689715298</v>
      </c>
      <c r="AJ70">
        <v>1</v>
      </c>
      <c r="AK70">
        <v>0</v>
      </c>
      <c r="AL70">
        <v>0</v>
      </c>
    </row>
    <row r="71" spans="1:38" hidden="1" x14ac:dyDescent="0.2">
      <c r="A71" t="s">
        <v>191</v>
      </c>
      <c r="B71" t="s">
        <v>192</v>
      </c>
      <c r="C71" t="s">
        <v>192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5.3</v>
      </c>
      <c r="AE71">
        <v>382</v>
      </c>
      <c r="AF71">
        <v>14.521159190447509</v>
      </c>
      <c r="AG71">
        <v>12.441614347695401</v>
      </c>
      <c r="AH71">
        <f>15.013661097376*1</f>
        <v>15.013661097376</v>
      </c>
      <c r="AI71">
        <f>2.88123341181465*1</f>
        <v>2.8812334118146499</v>
      </c>
      <c r="AJ71">
        <v>1</v>
      </c>
      <c r="AK71">
        <v>0</v>
      </c>
      <c r="AL71">
        <v>0</v>
      </c>
    </row>
    <row r="72" spans="1:38" hidden="1" x14ac:dyDescent="0.2">
      <c r="A72" t="s">
        <v>193</v>
      </c>
      <c r="B72" t="s">
        <v>194</v>
      </c>
      <c r="C72" t="s">
        <v>193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5.3</v>
      </c>
      <c r="AE72">
        <v>383</v>
      </c>
      <c r="AF72">
        <v>18.38461538461539</v>
      </c>
      <c r="AG72">
        <v>15.850289358334919</v>
      </c>
      <c r="AH72">
        <f>19.0539771391834*1</f>
        <v>19.053977139183399</v>
      </c>
      <c r="AI72">
        <f>3.82578365765984*1</f>
        <v>3.8257836576598399</v>
      </c>
      <c r="AJ72">
        <v>1</v>
      </c>
      <c r="AK72">
        <v>0</v>
      </c>
      <c r="AL72">
        <v>0</v>
      </c>
    </row>
    <row r="73" spans="1:38" hidden="1" x14ac:dyDescent="0.2">
      <c r="A73" t="s">
        <v>195</v>
      </c>
      <c r="B73" t="s">
        <v>196</v>
      </c>
      <c r="C73" t="s">
        <v>196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386</v>
      </c>
      <c r="AF73">
        <v>13.521057428841219</v>
      </c>
      <c r="AG73">
        <v>12.940855331653299</v>
      </c>
      <c r="AH73">
        <f>14.6105865171577*1</f>
        <v>14.610586517157699</v>
      </c>
      <c r="AI73">
        <f>2.77416512773593*1</f>
        <v>2.7741651277359298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198</v>
      </c>
      <c r="D74" t="s">
        <v>3</v>
      </c>
      <c r="E74">
        <v>1</v>
      </c>
      <c r="F74">
        <v>0</v>
      </c>
      <c r="G74">
        <v>0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391</v>
      </c>
      <c r="AF74">
        <v>17.535863783774889</v>
      </c>
      <c r="AG74">
        <v>18.137080300052489</v>
      </c>
      <c r="AH74">
        <f>19.5787264411243*1</f>
        <v>19.578726441124299</v>
      </c>
      <c r="AI74">
        <f>3.81200320859212*1</f>
        <v>3.8120032085921198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201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396</v>
      </c>
      <c r="AF75">
        <v>13.12930470730586</v>
      </c>
      <c r="AG75">
        <v>11.653052015679441</v>
      </c>
      <c r="AH75">
        <f>13.7625497028585*1</f>
        <v>13.7625497028585</v>
      </c>
      <c r="AI75">
        <f>2.96945664593983*1</f>
        <v>2.9694566459398302</v>
      </c>
      <c r="AJ75">
        <v>1</v>
      </c>
      <c r="AK75">
        <v>0</v>
      </c>
      <c r="AL75">
        <v>0</v>
      </c>
    </row>
    <row r="76" spans="1:38" hidden="1" x14ac:dyDescent="0.2">
      <c r="A76" t="s">
        <v>202</v>
      </c>
      <c r="B76" t="s">
        <v>203</v>
      </c>
      <c r="C76" t="s">
        <v>203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4.5999999999999996</v>
      </c>
      <c r="AE76">
        <v>399</v>
      </c>
      <c r="AF76">
        <v>12.88043478260871</v>
      </c>
      <c r="AG76">
        <v>10.92864824440054</v>
      </c>
      <c r="AH76">
        <f>13.2674109072412*1</f>
        <v>13.267410907241199</v>
      </c>
      <c r="AI76">
        <f>2.39726855797568*1</f>
        <v>2.3972685579756798</v>
      </c>
      <c r="AJ76">
        <v>1</v>
      </c>
      <c r="AK76">
        <v>0</v>
      </c>
      <c r="AL76">
        <v>0</v>
      </c>
    </row>
    <row r="77" spans="1:38" hidden="1" x14ac:dyDescent="0.2">
      <c r="A77" t="s">
        <v>204</v>
      </c>
      <c r="B77" t="s">
        <v>205</v>
      </c>
      <c r="C77" t="s">
        <v>204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5.3</v>
      </c>
      <c r="AE77">
        <v>406</v>
      </c>
      <c r="AF77">
        <v>18.42592592592592</v>
      </c>
      <c r="AG77">
        <v>25.745437806210131</v>
      </c>
      <c r="AH77">
        <f>23.6840253370503*1</f>
        <v>23.684025337050301</v>
      </c>
      <c r="AI77">
        <f>4.82292862663274*1</f>
        <v>4.8229286266327396</v>
      </c>
      <c r="AJ77">
        <v>1</v>
      </c>
      <c r="AK77">
        <v>0</v>
      </c>
      <c r="AL77">
        <v>0</v>
      </c>
    </row>
    <row r="78" spans="1:38" hidden="1" x14ac:dyDescent="0.2">
      <c r="A78" t="s">
        <v>206</v>
      </c>
      <c r="B78" t="s">
        <v>207</v>
      </c>
      <c r="C78" t="s">
        <v>207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4.4000000000000004</v>
      </c>
      <c r="AE78">
        <v>407</v>
      </c>
      <c r="AF78">
        <v>14.3752739221278</v>
      </c>
      <c r="AG78">
        <v>10.876811971141549</v>
      </c>
      <c r="AH78">
        <f>14.1929442420963*1</f>
        <v>14.192944242096299</v>
      </c>
      <c r="AI78">
        <f>2.8357968496785*1</f>
        <v>2.8357968496785002</v>
      </c>
      <c r="AJ78">
        <v>1</v>
      </c>
      <c r="AK78">
        <v>0</v>
      </c>
      <c r="AL78">
        <v>0</v>
      </c>
    </row>
    <row r="79" spans="1:38" hidden="1" x14ac:dyDescent="0.2">
      <c r="A79" t="s">
        <v>208</v>
      </c>
      <c r="B79" t="s">
        <v>209</v>
      </c>
      <c r="C79" t="s">
        <v>209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</v>
      </c>
      <c r="AE79">
        <v>413</v>
      </c>
      <c r="AF79">
        <v>16.20699020131325</v>
      </c>
      <c r="AG79">
        <v>14.217028042584429</v>
      </c>
      <c r="AH79">
        <f>16.9106729207379*1</f>
        <v>16.910672920737898</v>
      </c>
      <c r="AI79">
        <f>3.11760581013354*1</f>
        <v>3.11760581013354</v>
      </c>
      <c r="AJ79">
        <v>1</v>
      </c>
      <c r="AK79">
        <v>0</v>
      </c>
      <c r="AL79">
        <v>0</v>
      </c>
    </row>
    <row r="80" spans="1:38" hidden="1" x14ac:dyDescent="0.2">
      <c r="A80" t="s">
        <v>210</v>
      </c>
      <c r="B80" t="s">
        <v>211</v>
      </c>
      <c r="C80" t="s">
        <v>212</v>
      </c>
      <c r="D80" t="s">
        <v>3</v>
      </c>
      <c r="E80">
        <v>1</v>
      </c>
      <c r="F80">
        <v>0</v>
      </c>
      <c r="G80">
        <v>0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5.7</v>
      </c>
      <c r="AE80">
        <v>421</v>
      </c>
      <c r="AF80">
        <v>0</v>
      </c>
      <c r="AG80">
        <v>25.768938989130159</v>
      </c>
      <c r="AH80">
        <f>24.2203361647063*1</f>
        <v>24.2203361647063</v>
      </c>
      <c r="AI80">
        <f>8.04637419058941*1</f>
        <v>8.0463741905894093</v>
      </c>
      <c r="AJ80">
        <v>1</v>
      </c>
      <c r="AK80">
        <v>0</v>
      </c>
      <c r="AL80">
        <v>0</v>
      </c>
    </row>
    <row r="81" spans="1:38" hidden="1" x14ac:dyDescent="0.2">
      <c r="A81" t="s">
        <v>213</v>
      </c>
      <c r="B81" t="s">
        <v>214</v>
      </c>
      <c r="C81" t="s">
        <v>213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7.7</v>
      </c>
      <c r="AE81">
        <v>423</v>
      </c>
      <c r="AF81">
        <v>0</v>
      </c>
      <c r="AG81">
        <v>22.939590992456559</v>
      </c>
      <c r="AH81">
        <f>21.5610198600933*1</f>
        <v>21.5610198600933</v>
      </c>
      <c r="AI81">
        <f>7.87944978748821*1</f>
        <v>7.8794497874882099</v>
      </c>
      <c r="AJ81">
        <v>1</v>
      </c>
      <c r="AK81">
        <v>0</v>
      </c>
      <c r="AL81">
        <v>0</v>
      </c>
    </row>
    <row r="82" spans="1:38" hidden="1" x14ac:dyDescent="0.2">
      <c r="A82" t="s">
        <v>215</v>
      </c>
      <c r="B82" t="s">
        <v>216</v>
      </c>
      <c r="C82" t="s">
        <v>216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7.1</v>
      </c>
      <c r="AE82">
        <v>427</v>
      </c>
      <c r="AF82">
        <v>0</v>
      </c>
      <c r="AG82">
        <v>19.102118363610721</v>
      </c>
      <c r="AH82">
        <f>17.9541628943209*1</f>
        <v>17.954162894320898</v>
      </c>
      <c r="AI82">
        <f>6.34911788307964*1</f>
        <v>6.3491178830796402</v>
      </c>
      <c r="AJ82">
        <v>1</v>
      </c>
      <c r="AK82">
        <v>0</v>
      </c>
      <c r="AL82">
        <v>0</v>
      </c>
    </row>
    <row r="83" spans="1:38" hidden="1" x14ac:dyDescent="0.2">
      <c r="A83" t="s">
        <v>217</v>
      </c>
      <c r="B83" t="s">
        <v>218</v>
      </c>
      <c r="C83" t="s">
        <v>218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4.5999999999999996</v>
      </c>
      <c r="AE83">
        <v>428</v>
      </c>
      <c r="AF83">
        <v>0</v>
      </c>
      <c r="AG83">
        <v>16.453353933591771</v>
      </c>
      <c r="AH83">
        <f>15.4645778577295*1</f>
        <v>15.4645778577295</v>
      </c>
      <c r="AI83">
        <f>6.04456356978561*1</f>
        <v>6.0445635697856099</v>
      </c>
      <c r="AJ83">
        <v>1</v>
      </c>
      <c r="AK83">
        <v>0</v>
      </c>
      <c r="AL83">
        <v>0</v>
      </c>
    </row>
    <row r="84" spans="1:38" hidden="1" x14ac:dyDescent="0.2">
      <c r="A84" t="s">
        <v>219</v>
      </c>
      <c r="B84" t="s">
        <v>220</v>
      </c>
      <c r="C84" t="s">
        <v>221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7.7</v>
      </c>
      <c r="AE84">
        <v>433</v>
      </c>
      <c r="AF84">
        <v>0</v>
      </c>
      <c r="AG84">
        <v>17.850272584230261</v>
      </c>
      <c r="AH84">
        <f>16.7775476826604*1</f>
        <v>16.777547682660401</v>
      </c>
      <c r="AI84">
        <f>5.86278313291437*1</f>
        <v>5.8627831329143696</v>
      </c>
      <c r="AJ84">
        <v>1</v>
      </c>
      <c r="AK84">
        <v>0</v>
      </c>
      <c r="AL84">
        <v>0</v>
      </c>
    </row>
    <row r="85" spans="1:38" hidden="1" x14ac:dyDescent="0.2">
      <c r="A85" t="s">
        <v>222</v>
      </c>
      <c r="B85" t="s">
        <v>223</v>
      </c>
      <c r="C85" t="s">
        <v>223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5.9</v>
      </c>
      <c r="AE85">
        <v>434</v>
      </c>
      <c r="AF85">
        <v>0</v>
      </c>
      <c r="AG85">
        <v>14.771727604865569</v>
      </c>
      <c r="AH85">
        <f>13.884010066314*1</f>
        <v>13.884010066314</v>
      </c>
      <c r="AI85">
        <f>4.45854525228012*1</f>
        <v>4.4585452522801203</v>
      </c>
      <c r="AJ85">
        <v>1</v>
      </c>
      <c r="AK85">
        <v>0</v>
      </c>
      <c r="AL85">
        <v>0</v>
      </c>
    </row>
    <row r="86" spans="1:38" x14ac:dyDescent="0.2">
      <c r="A86" t="s">
        <v>335</v>
      </c>
      <c r="B86" t="s">
        <v>336</v>
      </c>
      <c r="C86" t="s">
        <v>337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30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5</v>
      </c>
      <c r="AE86">
        <v>828</v>
      </c>
      <c r="AF86">
        <v>21.859644854970309</v>
      </c>
      <c r="AG86">
        <v>20.67945011041088</v>
      </c>
      <c r="AH86">
        <f>25.0231927906472*1</f>
        <v>25.023192790647201</v>
      </c>
      <c r="AI86">
        <f>8.66359635324485*1</f>
        <v>8.6635963532448503</v>
      </c>
      <c r="AJ86">
        <v>1</v>
      </c>
      <c r="AK86">
        <v>1</v>
      </c>
      <c r="AL86">
        <v>1</v>
      </c>
    </row>
    <row r="87" spans="1:38" x14ac:dyDescent="0.2">
      <c r="A87" t="s">
        <v>333</v>
      </c>
      <c r="B87" t="s">
        <v>334</v>
      </c>
      <c r="C87" t="s">
        <v>334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30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4.5</v>
      </c>
      <c r="AE87">
        <v>823</v>
      </c>
      <c r="AF87">
        <v>17.69747899159664</v>
      </c>
      <c r="AG87">
        <v>16.557819142014829</v>
      </c>
      <c r="AH87">
        <f>20.1449208211575*1</f>
        <v>20.144920821157498</v>
      </c>
      <c r="AI87">
        <f>7.21972720322463*1</f>
        <v>7.2197272032246298</v>
      </c>
      <c r="AJ87">
        <v>1</v>
      </c>
      <c r="AK87">
        <v>1</v>
      </c>
      <c r="AL87">
        <v>1</v>
      </c>
    </row>
    <row r="88" spans="1:38" x14ac:dyDescent="0.2">
      <c r="A88" t="s">
        <v>83</v>
      </c>
      <c r="B88" t="s">
        <v>84</v>
      </c>
      <c r="C88" t="s">
        <v>84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12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8.8000000000000007</v>
      </c>
      <c r="AE88">
        <v>64</v>
      </c>
      <c r="AF88">
        <v>30.642469830895649</v>
      </c>
      <c r="AG88">
        <v>0</v>
      </c>
      <c r="AH88">
        <f>35.699522861807*1</f>
        <v>35.699522861806997</v>
      </c>
      <c r="AI88">
        <f>7.13990457236141*1</f>
        <v>7.1399045723614103</v>
      </c>
      <c r="AJ88">
        <v>1</v>
      </c>
      <c r="AK88">
        <v>1</v>
      </c>
      <c r="AL88">
        <v>1</v>
      </c>
    </row>
    <row r="89" spans="1:38" x14ac:dyDescent="0.2">
      <c r="A89" t="s">
        <v>230</v>
      </c>
      <c r="B89" t="s">
        <v>231</v>
      </c>
      <c r="C89" t="s">
        <v>231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4.9000000000000004</v>
      </c>
      <c r="AE89">
        <v>475</v>
      </c>
      <c r="AF89">
        <v>18.5</v>
      </c>
      <c r="AG89">
        <v>22.918288251610299</v>
      </c>
      <c r="AH89">
        <f>33.3170580984032*1</f>
        <v>33.317058098403201</v>
      </c>
      <c r="AI89">
        <f>6.87380974434004*1</f>
        <v>6.8738097443400399</v>
      </c>
      <c r="AJ89">
        <v>1</v>
      </c>
      <c r="AK89">
        <v>1</v>
      </c>
      <c r="AL89">
        <v>1</v>
      </c>
    </row>
    <row r="90" spans="1:38" hidden="1" x14ac:dyDescent="0.2">
      <c r="A90" t="s">
        <v>232</v>
      </c>
      <c r="B90" t="s">
        <v>233</v>
      </c>
      <c r="C90" t="s">
        <v>233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4.8</v>
      </c>
      <c r="AE90">
        <v>477</v>
      </c>
      <c r="AF90">
        <v>13.8</v>
      </c>
      <c r="AG90">
        <v>15.144171637139619</v>
      </c>
      <c r="AH90">
        <f>23.444467410361*1</f>
        <v>23.444467410361</v>
      </c>
      <c r="AI90">
        <f>4.71593305766502*1</f>
        <v>4.71593305766502</v>
      </c>
      <c r="AJ90">
        <v>1</v>
      </c>
      <c r="AK90">
        <v>0</v>
      </c>
      <c r="AL90">
        <v>0</v>
      </c>
    </row>
    <row r="91" spans="1:38" hidden="1" x14ac:dyDescent="0.2">
      <c r="A91" t="s">
        <v>234</v>
      </c>
      <c r="B91" t="s">
        <v>235</v>
      </c>
      <c r="C91" t="s">
        <v>235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4.5999999999999996</v>
      </c>
      <c r="AE91">
        <v>494</v>
      </c>
      <c r="AF91">
        <v>6.7644161261226543</v>
      </c>
      <c r="AG91">
        <v>8.6919315507599801</v>
      </c>
      <c r="AH91">
        <f>12.4073147637592*1</f>
        <v>12.407314763759199</v>
      </c>
      <c r="AI91">
        <f>2.07442916015432*1</f>
        <v>2.0744291601543199</v>
      </c>
      <c r="AJ91">
        <v>1</v>
      </c>
      <c r="AK91">
        <v>0</v>
      </c>
      <c r="AL91">
        <v>0</v>
      </c>
    </row>
    <row r="92" spans="1:38" hidden="1" x14ac:dyDescent="0.2">
      <c r="A92" t="s">
        <v>236</v>
      </c>
      <c r="B92" t="s">
        <v>237</v>
      </c>
      <c r="C92" t="s">
        <v>237</v>
      </c>
      <c r="D92" t="s">
        <v>3</v>
      </c>
      <c r="E92">
        <v>1</v>
      </c>
      <c r="F92">
        <v>0</v>
      </c>
      <c r="G92">
        <v>0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4.5</v>
      </c>
      <c r="AE92">
        <v>496</v>
      </c>
      <c r="AF92">
        <v>11.33333333333333</v>
      </c>
      <c r="AG92">
        <v>11.14432341335425</v>
      </c>
      <c r="AH92">
        <f>18.3209672857953*1</f>
        <v>18.320967285795302</v>
      </c>
      <c r="AI92">
        <f>4.11493392296644*1</f>
        <v>4.1149339229664399</v>
      </c>
      <c r="AJ92">
        <v>1</v>
      </c>
      <c r="AK92">
        <v>0</v>
      </c>
      <c r="AL92">
        <v>0</v>
      </c>
    </row>
    <row r="93" spans="1:38" hidden="1" x14ac:dyDescent="0.2">
      <c r="A93" t="s">
        <v>238</v>
      </c>
      <c r="B93" t="s">
        <v>239</v>
      </c>
      <c r="C93" t="s">
        <v>239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4.7</v>
      </c>
      <c r="AE93">
        <v>497</v>
      </c>
      <c r="AF93">
        <v>15.808187107517449</v>
      </c>
      <c r="AG93">
        <v>13.0681028921736</v>
      </c>
      <c r="AH93">
        <f>23.7678676637343*1</f>
        <v>23.7678676637343</v>
      </c>
      <c r="AI93">
        <f>4.54326085243059*1</f>
        <v>4.5432608524305902</v>
      </c>
      <c r="AJ93">
        <v>1</v>
      </c>
      <c r="AK93">
        <v>0</v>
      </c>
      <c r="AL93">
        <v>0</v>
      </c>
    </row>
    <row r="94" spans="1:38" hidden="1" x14ac:dyDescent="0.2">
      <c r="A94" t="s">
        <v>240</v>
      </c>
      <c r="B94" t="s">
        <v>241</v>
      </c>
      <c r="C94" t="s">
        <v>241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</v>
      </c>
      <c r="AE94">
        <v>510</v>
      </c>
      <c r="AF94">
        <v>19.515403186189818</v>
      </c>
      <c r="AG94">
        <v>0</v>
      </c>
      <c r="AH94">
        <f>19.863722456801*1</f>
        <v>19.863722456801</v>
      </c>
      <c r="AI94">
        <f>3.52016221193514*1</f>
        <v>3.5201622119351401</v>
      </c>
      <c r="AJ94">
        <v>1</v>
      </c>
      <c r="AK94">
        <v>0</v>
      </c>
      <c r="AL94">
        <v>0</v>
      </c>
    </row>
    <row r="95" spans="1:38" hidden="1" x14ac:dyDescent="0.2">
      <c r="A95" t="s">
        <v>113</v>
      </c>
      <c r="B95" t="s">
        <v>242</v>
      </c>
      <c r="C95" t="s">
        <v>242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511</v>
      </c>
      <c r="AF95">
        <v>19.640287769784148</v>
      </c>
      <c r="AG95">
        <v>0</v>
      </c>
      <c r="AH95">
        <f>19.9908360339064*1</f>
        <v>19.990836033906401</v>
      </c>
      <c r="AI95">
        <f>3.33180600565107*1</f>
        <v>3.3318060056510701</v>
      </c>
      <c r="AJ95">
        <v>1</v>
      </c>
      <c r="AK95">
        <v>0</v>
      </c>
      <c r="AL95">
        <v>0</v>
      </c>
    </row>
    <row r="96" spans="1:38" hidden="1" x14ac:dyDescent="0.2">
      <c r="A96" t="s">
        <v>243</v>
      </c>
      <c r="B96" t="s">
        <v>244</v>
      </c>
      <c r="C96" t="s">
        <v>245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6.4</v>
      </c>
      <c r="AE96">
        <v>512</v>
      </c>
      <c r="AF96">
        <v>22.37288135593219</v>
      </c>
      <c r="AG96">
        <v>0</v>
      </c>
      <c r="AH96">
        <f>22.7722021202033*1</f>
        <v>22.7722021202033</v>
      </c>
      <c r="AI96">
        <f>3.79536702003389*1</f>
        <v>3.7953670200338898</v>
      </c>
      <c r="AJ96">
        <v>1</v>
      </c>
      <c r="AK96">
        <v>0</v>
      </c>
      <c r="AL96">
        <v>0</v>
      </c>
    </row>
    <row r="97" spans="1:38" hidden="1" x14ac:dyDescent="0.2">
      <c r="A97" t="s">
        <v>246</v>
      </c>
      <c r="B97" t="s">
        <v>247</v>
      </c>
      <c r="C97" t="s">
        <v>246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6.2</v>
      </c>
      <c r="AE97">
        <v>513</v>
      </c>
      <c r="AF97">
        <v>21.894736842105271</v>
      </c>
      <c r="AG97">
        <v>0</v>
      </c>
      <c r="AH97">
        <f>22.2855234784*1</f>
        <v>22.285523478399998</v>
      </c>
      <c r="AI97">
        <f>3.71425391306666*1</f>
        <v>3.7142539130666599</v>
      </c>
      <c r="AJ97">
        <v>1</v>
      </c>
      <c r="AK97">
        <v>0</v>
      </c>
      <c r="AL97">
        <v>0</v>
      </c>
    </row>
    <row r="98" spans="1:38" hidden="1" x14ac:dyDescent="0.2">
      <c r="A98" t="s">
        <v>248</v>
      </c>
      <c r="B98" t="s">
        <v>249</v>
      </c>
      <c r="C98" t="s">
        <v>248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5.5</v>
      </c>
      <c r="AE98">
        <v>519</v>
      </c>
      <c r="AF98">
        <v>17.760000000000009</v>
      </c>
      <c r="AG98">
        <v>0</v>
      </c>
      <c r="AH98">
        <f>18.076988083056*1</f>
        <v>18.076988083056001</v>
      </c>
      <c r="AI98">
        <f>3.012831347176*1</f>
        <v>3.0128313471760002</v>
      </c>
      <c r="AJ98">
        <v>1</v>
      </c>
      <c r="AK98">
        <v>0</v>
      </c>
      <c r="AL98">
        <v>0</v>
      </c>
    </row>
    <row r="99" spans="1:38" hidden="1" x14ac:dyDescent="0.2">
      <c r="A99" t="s">
        <v>250</v>
      </c>
      <c r="B99" t="s">
        <v>251</v>
      </c>
      <c r="C99" t="s">
        <v>252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5.5</v>
      </c>
      <c r="AE99">
        <v>520</v>
      </c>
      <c r="AF99">
        <v>23.36040609137056</v>
      </c>
      <c r="AG99">
        <v>0</v>
      </c>
      <c r="AH99">
        <f>23.7773526198791*1</f>
        <v>23.7773526198791</v>
      </c>
      <c r="AI99">
        <f>3.96289210331319*1</f>
        <v>3.9628921033131901</v>
      </c>
      <c r="AJ99">
        <v>1</v>
      </c>
      <c r="AK99">
        <v>0</v>
      </c>
      <c r="AL99">
        <v>0</v>
      </c>
    </row>
    <row r="100" spans="1:38" x14ac:dyDescent="0.2">
      <c r="A100" t="s">
        <v>280</v>
      </c>
      <c r="B100" t="s">
        <v>281</v>
      </c>
      <c r="C100" t="s">
        <v>281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25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8</v>
      </c>
      <c r="AE100">
        <v>601</v>
      </c>
      <c r="AF100">
        <v>30.68181818181818</v>
      </c>
      <c r="AG100">
        <v>27.315024778437831</v>
      </c>
      <c r="AH100">
        <f>36.3373200869091*1</f>
        <v>36.337320086909102</v>
      </c>
      <c r="AI100">
        <f>6.40200122703236*1</f>
        <v>6.4020012270323603</v>
      </c>
      <c r="AJ100">
        <v>1</v>
      </c>
      <c r="AK100">
        <v>0</v>
      </c>
      <c r="AL100">
        <v>1</v>
      </c>
    </row>
    <row r="101" spans="1:38" hidden="1" x14ac:dyDescent="0.2">
      <c r="A101" t="s">
        <v>255</v>
      </c>
      <c r="B101" t="s">
        <v>256</v>
      </c>
      <c r="C101" t="s">
        <v>256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14.3</v>
      </c>
      <c r="AE101">
        <v>523</v>
      </c>
      <c r="AF101">
        <v>45.964285714285722</v>
      </c>
      <c r="AG101">
        <v>0</v>
      </c>
      <c r="AH101">
        <f>46.784675963025*1</f>
        <v>46.784675963025002</v>
      </c>
      <c r="AI101">
        <f>7.7974459938375*1</f>
        <v>7.7974459938375</v>
      </c>
      <c r="AJ101">
        <v>1</v>
      </c>
      <c r="AK101">
        <v>0</v>
      </c>
      <c r="AL101">
        <v>0</v>
      </c>
    </row>
    <row r="102" spans="1:38" hidden="1" x14ac:dyDescent="0.2">
      <c r="A102" t="s">
        <v>257</v>
      </c>
      <c r="B102" t="s">
        <v>258</v>
      </c>
      <c r="C102" t="s">
        <v>257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5.6</v>
      </c>
      <c r="AE102">
        <v>530</v>
      </c>
      <c r="AF102">
        <v>23.59017594576526</v>
      </c>
      <c r="AG102">
        <v>0</v>
      </c>
      <c r="AH102">
        <f>24.0112235049996*1</f>
        <v>24.011223504999599</v>
      </c>
      <c r="AI102">
        <f>3.39590042491726*1</f>
        <v>3.3959004249172602</v>
      </c>
      <c r="AJ102">
        <v>1</v>
      </c>
      <c r="AK102">
        <v>0</v>
      </c>
      <c r="AL102">
        <v>0</v>
      </c>
    </row>
    <row r="103" spans="1:38" hidden="1" x14ac:dyDescent="0.2">
      <c r="A103" t="s">
        <v>259</v>
      </c>
      <c r="B103" t="s">
        <v>260</v>
      </c>
      <c r="C103" t="s">
        <v>260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5.3</v>
      </c>
      <c r="AE103">
        <v>534</v>
      </c>
      <c r="AF103">
        <v>19.059326195644541</v>
      </c>
      <c r="AG103">
        <v>0</v>
      </c>
      <c r="AH103">
        <f>19.3995052088819*1</f>
        <v>19.399505208881902</v>
      </c>
      <c r="AI103">
        <f>3.23325086814699*1</f>
        <v>3.2332508681469898</v>
      </c>
      <c r="AJ103">
        <v>1</v>
      </c>
      <c r="AK103">
        <v>0</v>
      </c>
      <c r="AL103">
        <v>0</v>
      </c>
    </row>
    <row r="104" spans="1:38" hidden="1" x14ac:dyDescent="0.2">
      <c r="A104" t="s">
        <v>261</v>
      </c>
      <c r="B104" t="s">
        <v>262</v>
      </c>
      <c r="C104" t="s">
        <v>263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8.1999999999999993</v>
      </c>
      <c r="AE104">
        <v>545</v>
      </c>
      <c r="AF104">
        <v>0</v>
      </c>
      <c r="AG104">
        <v>24.661340935586459</v>
      </c>
      <c r="AH104">
        <f>30.1452867720205*1</f>
        <v>30.145286772020501</v>
      </c>
      <c r="AI104">
        <f>5.98396950890283*1</f>
        <v>5.9839695089028302</v>
      </c>
      <c r="AJ104">
        <v>1</v>
      </c>
      <c r="AK104">
        <v>0</v>
      </c>
      <c r="AL104">
        <v>0</v>
      </c>
    </row>
    <row r="105" spans="1:38" hidden="1" x14ac:dyDescent="0.2">
      <c r="A105" t="s">
        <v>264</v>
      </c>
      <c r="B105" t="s">
        <v>265</v>
      </c>
      <c r="C105" t="s">
        <v>266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5.2</v>
      </c>
      <c r="AE105">
        <v>549</v>
      </c>
      <c r="AF105">
        <v>0</v>
      </c>
      <c r="AG105">
        <v>19.159078422399631</v>
      </c>
      <c r="AH105">
        <f>23.4194853734596*1</f>
        <v>23.419485373459601</v>
      </c>
      <c r="AI105">
        <f>3.94510912076635*1</f>
        <v>3.9451091207663498</v>
      </c>
      <c r="AJ105">
        <v>1</v>
      </c>
      <c r="AK105">
        <v>0</v>
      </c>
      <c r="AL105">
        <v>0</v>
      </c>
    </row>
    <row r="106" spans="1:38" hidden="1" x14ac:dyDescent="0.2">
      <c r="A106" t="s">
        <v>267</v>
      </c>
      <c r="B106" t="s">
        <v>268</v>
      </c>
      <c r="C106" t="s">
        <v>268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</v>
      </c>
      <c r="AE106">
        <v>553</v>
      </c>
      <c r="AF106">
        <v>0</v>
      </c>
      <c r="AG106">
        <v>16.729856549835691</v>
      </c>
      <c r="AH106">
        <f>20.4500770930025*1</f>
        <v>20.450077093002498</v>
      </c>
      <c r="AI106">
        <f>3.94312919835992*1</f>
        <v>3.9431291983599199</v>
      </c>
      <c r="AJ106">
        <v>1</v>
      </c>
      <c r="AK106">
        <v>0</v>
      </c>
      <c r="AL106">
        <v>0</v>
      </c>
    </row>
    <row r="107" spans="1:38" hidden="1" x14ac:dyDescent="0.2">
      <c r="A107" t="s">
        <v>107</v>
      </c>
      <c r="B107" t="s">
        <v>269</v>
      </c>
      <c r="C107" t="s">
        <v>269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8.4</v>
      </c>
      <c r="AE107">
        <v>565</v>
      </c>
      <c r="AF107">
        <v>0</v>
      </c>
      <c r="AG107">
        <v>25.63362765082606</v>
      </c>
      <c r="AH107">
        <f>31.3337810202481*1</f>
        <v>31.3337810202481</v>
      </c>
      <c r="AI107">
        <f>5.67922854851094*1</f>
        <v>5.6792285485109399</v>
      </c>
      <c r="AJ107">
        <v>1</v>
      </c>
      <c r="AK107">
        <v>0</v>
      </c>
      <c r="AL107">
        <v>0</v>
      </c>
    </row>
    <row r="108" spans="1:38" hidden="1" x14ac:dyDescent="0.2">
      <c r="A108" t="s">
        <v>270</v>
      </c>
      <c r="B108" t="s">
        <v>271</v>
      </c>
      <c r="C108" t="s">
        <v>271</v>
      </c>
      <c r="D108" t="s">
        <v>3</v>
      </c>
      <c r="E108">
        <v>1</v>
      </c>
      <c r="F108">
        <v>0</v>
      </c>
      <c r="G108">
        <v>0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571</v>
      </c>
      <c r="AF108">
        <v>0</v>
      </c>
      <c r="AG108">
        <v>19.534452565826331</v>
      </c>
      <c r="AH108">
        <f>23.8783315177124*1</f>
        <v>23.8783315177124</v>
      </c>
      <c r="AI108">
        <f>4.2061183860988*1</f>
        <v>4.2061183860988001</v>
      </c>
      <c r="AJ108">
        <v>1</v>
      </c>
      <c r="AK108">
        <v>0</v>
      </c>
      <c r="AL108">
        <v>0</v>
      </c>
    </row>
    <row r="109" spans="1:38" hidden="1" x14ac:dyDescent="0.2">
      <c r="A109" t="s">
        <v>272</v>
      </c>
      <c r="B109" t="s">
        <v>273</v>
      </c>
      <c r="C109" t="s">
        <v>273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</v>
      </c>
      <c r="AE109">
        <v>572</v>
      </c>
      <c r="AF109">
        <v>0</v>
      </c>
      <c r="AG109">
        <v>16.848328484840909</v>
      </c>
      <c r="AH109">
        <f>20.5948936487809*1</f>
        <v>20.5948936487809</v>
      </c>
      <c r="AI109">
        <f>3.24933765754501*1</f>
        <v>3.2493376575450101</v>
      </c>
      <c r="AJ109">
        <v>1</v>
      </c>
      <c r="AK109">
        <v>0</v>
      </c>
      <c r="AL109">
        <v>0</v>
      </c>
    </row>
    <row r="110" spans="1:38" hidden="1" x14ac:dyDescent="0.2">
      <c r="A110" t="s">
        <v>261</v>
      </c>
      <c r="B110" t="s">
        <v>274</v>
      </c>
      <c r="C110" t="s">
        <v>275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5.8</v>
      </c>
      <c r="AE110">
        <v>592</v>
      </c>
      <c r="AF110">
        <v>21.439999999999991</v>
      </c>
      <c r="AG110">
        <v>19.879079987565369</v>
      </c>
      <c r="AH110">
        <f>26.093179846296*1</f>
        <v>26.093179846296</v>
      </c>
      <c r="AI110">
        <f>4.68188444379613*1</f>
        <v>4.6818844437961298</v>
      </c>
      <c r="AJ110">
        <v>1</v>
      </c>
      <c r="AK110">
        <v>0</v>
      </c>
      <c r="AL110">
        <v>0</v>
      </c>
    </row>
    <row r="111" spans="1:38" hidden="1" x14ac:dyDescent="0.2">
      <c r="A111" t="s">
        <v>276</v>
      </c>
      <c r="B111" t="s">
        <v>277</v>
      </c>
      <c r="C111" t="s">
        <v>277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4.5</v>
      </c>
      <c r="AE111">
        <v>593</v>
      </c>
      <c r="AF111">
        <v>19.009487368042731</v>
      </c>
      <c r="AG111">
        <v>18.657840189265421</v>
      </c>
      <c r="AH111">
        <f>24.0494286976818*1</f>
        <v>24.049428697681801</v>
      </c>
      <c r="AI111">
        <f>4.4625132755268*1</f>
        <v>4.4625132755268</v>
      </c>
      <c r="AJ111">
        <v>1</v>
      </c>
      <c r="AK111">
        <v>0</v>
      </c>
      <c r="AL111">
        <v>0</v>
      </c>
    </row>
    <row r="112" spans="1:38" hidden="1" x14ac:dyDescent="0.2">
      <c r="A112" t="s">
        <v>278</v>
      </c>
      <c r="B112" t="s">
        <v>279</v>
      </c>
      <c r="C112" t="s">
        <v>279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6.1</v>
      </c>
      <c r="AE112">
        <v>598</v>
      </c>
      <c r="AF112">
        <v>36.910503750672717</v>
      </c>
      <c r="AG112">
        <v>14.918453926347009</v>
      </c>
      <c r="AH112">
        <f>27.8242323023902*1</f>
        <v>27.8242323023902</v>
      </c>
      <c r="AI112">
        <f>4.64537308602041*1</f>
        <v>4.6453730860204097</v>
      </c>
      <c r="AJ112">
        <v>1</v>
      </c>
      <c r="AK112">
        <v>0</v>
      </c>
      <c r="AL112">
        <v>0</v>
      </c>
    </row>
    <row r="113" spans="1:38" x14ac:dyDescent="0.2">
      <c r="A113" t="s">
        <v>131</v>
      </c>
      <c r="B113" t="s">
        <v>132</v>
      </c>
      <c r="C113" t="s">
        <v>133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15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6.3</v>
      </c>
      <c r="AE113">
        <v>173</v>
      </c>
      <c r="AF113">
        <v>25.990985034295669</v>
      </c>
      <c r="AG113">
        <v>0</v>
      </c>
      <c r="AH113">
        <f>34.2344257338534*1</f>
        <v>34.234425733853399</v>
      </c>
      <c r="AI113">
        <f>5.7057376223089*1</f>
        <v>5.7057376223088996</v>
      </c>
      <c r="AJ113">
        <v>1</v>
      </c>
      <c r="AK113">
        <v>1</v>
      </c>
      <c r="AL113">
        <v>1</v>
      </c>
    </row>
    <row r="114" spans="1:38" hidden="1" x14ac:dyDescent="0.2">
      <c r="A114" t="s">
        <v>282</v>
      </c>
      <c r="B114" t="s">
        <v>283</v>
      </c>
      <c r="C114" t="s">
        <v>283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4.8</v>
      </c>
      <c r="AE114">
        <v>607</v>
      </c>
      <c r="AF114">
        <v>16.83987888950336</v>
      </c>
      <c r="AG114">
        <v>13.186788771333831</v>
      </c>
      <c r="AH114">
        <f>18.3451725953135*1</f>
        <v>18.3451725953135</v>
      </c>
      <c r="AI114">
        <f>3.09106277913617*1</f>
        <v>3.0910627791361698</v>
      </c>
      <c r="AJ114">
        <v>1</v>
      </c>
      <c r="AK114">
        <v>0</v>
      </c>
      <c r="AL114">
        <v>0</v>
      </c>
    </row>
    <row r="115" spans="1:38" hidden="1" x14ac:dyDescent="0.2">
      <c r="A115" t="s">
        <v>284</v>
      </c>
      <c r="B115" t="s">
        <v>285</v>
      </c>
      <c r="C115" t="s">
        <v>285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5.6</v>
      </c>
      <c r="AE115">
        <v>613</v>
      </c>
      <c r="AF115">
        <v>20.576592914532672</v>
      </c>
      <c r="AG115">
        <v>21.423373724626849</v>
      </c>
      <c r="AH115">
        <f>27.1190632049884*1</f>
        <v>27.1190632049884</v>
      </c>
      <c r="AI115">
        <f>3.92375746836731*1</f>
        <v>3.92375746836731</v>
      </c>
      <c r="AJ115">
        <v>1</v>
      </c>
      <c r="AK115">
        <v>0</v>
      </c>
      <c r="AL115">
        <v>0</v>
      </c>
    </row>
    <row r="116" spans="1:38" hidden="1" x14ac:dyDescent="0.2">
      <c r="A116" t="s">
        <v>286</v>
      </c>
      <c r="B116" t="s">
        <v>287</v>
      </c>
      <c r="C116" t="s">
        <v>287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6.6</v>
      </c>
      <c r="AE116">
        <v>616</v>
      </c>
      <c r="AF116">
        <v>27.407858099051548</v>
      </c>
      <c r="AG116">
        <v>24.042482880268391</v>
      </c>
      <c r="AH116">
        <f>16.0714806928889*0.5</f>
        <v>8.0357403464444506</v>
      </c>
      <c r="AI116">
        <f>4.14650818289355*0.5</f>
        <v>2.073254091446775</v>
      </c>
      <c r="AJ116">
        <v>0.5</v>
      </c>
      <c r="AK116">
        <v>0</v>
      </c>
      <c r="AL116">
        <v>0</v>
      </c>
    </row>
    <row r="117" spans="1:38" hidden="1" x14ac:dyDescent="0.2">
      <c r="A117" t="s">
        <v>288</v>
      </c>
      <c r="B117" t="s">
        <v>289</v>
      </c>
      <c r="C117" t="s">
        <v>289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4.7</v>
      </c>
      <c r="AE117">
        <v>633</v>
      </c>
      <c r="AF117">
        <v>14.12087912087912</v>
      </c>
      <c r="AG117">
        <v>13.207955321547891</v>
      </c>
      <c r="AH117">
        <f>17.9167229874341*1</f>
        <v>17.916722987434099</v>
      </c>
      <c r="AI117">
        <f>3.6744813624251*1</f>
        <v>3.6744813624250998</v>
      </c>
      <c r="AJ117">
        <v>1</v>
      </c>
      <c r="AK117">
        <v>0</v>
      </c>
      <c r="AL117">
        <v>0</v>
      </c>
    </row>
    <row r="118" spans="1:38" hidden="1" x14ac:dyDescent="0.2">
      <c r="A118" t="s">
        <v>278</v>
      </c>
      <c r="B118" t="s">
        <v>290</v>
      </c>
      <c r="C118" t="s">
        <v>290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5.0999999999999996</v>
      </c>
      <c r="AE118">
        <v>634</v>
      </c>
      <c r="AF118">
        <v>11.72829322261836</v>
      </c>
      <c r="AG118">
        <v>12.120802805544439</v>
      </c>
      <c r="AH118">
        <f>15.6888003297697*1</f>
        <v>15.6888003297697</v>
      </c>
      <c r="AI118">
        <f>3.3886707783324*1</f>
        <v>3.3886707783324002</v>
      </c>
      <c r="AJ118">
        <v>1</v>
      </c>
      <c r="AK118">
        <v>0</v>
      </c>
      <c r="AL118">
        <v>0</v>
      </c>
    </row>
    <row r="119" spans="1:38" hidden="1" x14ac:dyDescent="0.2">
      <c r="A119" t="s">
        <v>291</v>
      </c>
      <c r="B119" t="s">
        <v>292</v>
      </c>
      <c r="C119" t="s">
        <v>291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643</v>
      </c>
      <c r="AF119">
        <v>18.712828257747201</v>
      </c>
      <c r="AG119">
        <v>15.444426610086539</v>
      </c>
      <c r="AH119">
        <f>22.2979165863598*1</f>
        <v>22.297916586359801</v>
      </c>
      <c r="AI119">
        <f>4.49924590597488*1</f>
        <v>4.4992459059748802</v>
      </c>
      <c r="AJ119">
        <v>1</v>
      </c>
      <c r="AK119">
        <v>0</v>
      </c>
      <c r="AL119">
        <v>0</v>
      </c>
    </row>
    <row r="120" spans="1:38" hidden="1" x14ac:dyDescent="0.2">
      <c r="A120" t="s">
        <v>293</v>
      </c>
      <c r="B120" t="s">
        <v>294</v>
      </c>
      <c r="C120" t="s">
        <v>294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5.7</v>
      </c>
      <c r="AE120">
        <v>648</v>
      </c>
      <c r="AF120">
        <v>22.684333768273241</v>
      </c>
      <c r="AG120">
        <v>11.114494807745981</v>
      </c>
      <c r="AH120">
        <f>21.6897213302099*1</f>
        <v>21.689721330209899</v>
      </c>
      <c r="AI120">
        <f>4.16348344941242*1</f>
        <v>4.1634834494124204</v>
      </c>
      <c r="AJ120">
        <v>1</v>
      </c>
      <c r="AK120">
        <v>0</v>
      </c>
      <c r="AL120">
        <v>0</v>
      </c>
    </row>
    <row r="121" spans="1:38" hidden="1" x14ac:dyDescent="0.2">
      <c r="A121" t="s">
        <v>295</v>
      </c>
      <c r="B121" t="s">
        <v>296</v>
      </c>
      <c r="C121" t="s">
        <v>296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4.9000000000000004</v>
      </c>
      <c r="AE121">
        <v>668</v>
      </c>
      <c r="AF121">
        <v>17.356845183433169</v>
      </c>
      <c r="AG121">
        <v>16.61926635170451</v>
      </c>
      <c r="AH121">
        <f>22.2925033393698*1</f>
        <v>22.292503339369802</v>
      </c>
      <c r="AI121">
        <f>4.34791016013613*1</f>
        <v>4.3479101601361299</v>
      </c>
      <c r="AJ121">
        <v>1</v>
      </c>
      <c r="AK121">
        <v>0</v>
      </c>
      <c r="AL121">
        <v>0</v>
      </c>
    </row>
    <row r="122" spans="1:38" hidden="1" x14ac:dyDescent="0.2">
      <c r="A122" t="s">
        <v>297</v>
      </c>
      <c r="B122" t="s">
        <v>298</v>
      </c>
      <c r="C122" t="s">
        <v>298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4.2</v>
      </c>
      <c r="AE122">
        <v>688</v>
      </c>
      <c r="AF122">
        <v>0</v>
      </c>
      <c r="AG122">
        <v>15.310757161766761</v>
      </c>
      <c r="AH122">
        <f>17.1957117280106*1</f>
        <v>17.1957117280106</v>
      </c>
      <c r="AI122">
        <f>5.72944632226622*1</f>
        <v>5.7294463222662202</v>
      </c>
      <c r="AJ122">
        <v>1</v>
      </c>
      <c r="AK122">
        <v>0</v>
      </c>
      <c r="AL122">
        <v>0</v>
      </c>
    </row>
    <row r="123" spans="1:38" hidden="1" x14ac:dyDescent="0.2">
      <c r="A123" t="s">
        <v>299</v>
      </c>
      <c r="B123" t="s">
        <v>300</v>
      </c>
      <c r="C123" t="s">
        <v>300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4.9000000000000004</v>
      </c>
      <c r="AE123">
        <v>719</v>
      </c>
      <c r="AF123">
        <v>0</v>
      </c>
      <c r="AG123">
        <v>16.672382072269048</v>
      </c>
      <c r="AH123">
        <f>18.7249704834916*1</f>
        <v>18.7249704834916</v>
      </c>
      <c r="AI123">
        <f>6.81947308851219*1</f>
        <v>6.8194730885121899</v>
      </c>
      <c r="AJ123">
        <v>1</v>
      </c>
      <c r="AK123">
        <v>0</v>
      </c>
      <c r="AL123">
        <v>0</v>
      </c>
    </row>
    <row r="124" spans="1:38" hidden="1" x14ac:dyDescent="0.2">
      <c r="A124" t="s">
        <v>301</v>
      </c>
      <c r="B124" t="s">
        <v>302</v>
      </c>
      <c r="C124" t="s">
        <v>302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5.8</v>
      </c>
      <c r="AE124">
        <v>731</v>
      </c>
      <c r="AF124">
        <v>20.45454545454546</v>
      </c>
      <c r="AG124">
        <v>16.468825446401461</v>
      </c>
      <c r="AH124">
        <f>20.4054207804344*1</f>
        <v>20.405420780434401</v>
      </c>
      <c r="AI124">
        <f>0*1</f>
        <v>0</v>
      </c>
      <c r="AJ124">
        <v>1</v>
      </c>
      <c r="AK124">
        <v>0</v>
      </c>
      <c r="AL124">
        <v>0</v>
      </c>
    </row>
    <row r="125" spans="1:38" hidden="1" x14ac:dyDescent="0.2">
      <c r="A125" t="s">
        <v>303</v>
      </c>
      <c r="B125" t="s">
        <v>304</v>
      </c>
      <c r="C125" t="s">
        <v>305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5.9</v>
      </c>
      <c r="AE125">
        <v>747</v>
      </c>
      <c r="AF125">
        <v>23.79714323910699</v>
      </c>
      <c r="AG125">
        <v>17.963565516052501</v>
      </c>
      <c r="AH125">
        <f>23.6954951461089*1</f>
        <v>23.6954951461089</v>
      </c>
      <c r="AI125">
        <f>0*1</f>
        <v>0</v>
      </c>
      <c r="AJ125">
        <v>1</v>
      </c>
      <c r="AK125">
        <v>0</v>
      </c>
      <c r="AL125">
        <v>0</v>
      </c>
    </row>
    <row r="126" spans="1:38" hidden="1" x14ac:dyDescent="0.2">
      <c r="A126" t="s">
        <v>306</v>
      </c>
      <c r="B126" t="s">
        <v>307</v>
      </c>
      <c r="C126" t="s">
        <v>306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9.9</v>
      </c>
      <c r="AE126">
        <v>756</v>
      </c>
      <c r="AF126">
        <v>32.234923977971498</v>
      </c>
      <c r="AG126">
        <v>26.579262793506111</v>
      </c>
      <c r="AH126">
        <f>32.1807695931489*1</f>
        <v>32.180769593148902</v>
      </c>
      <c r="AI126">
        <f>0*1</f>
        <v>0</v>
      </c>
      <c r="AJ126">
        <v>1</v>
      </c>
      <c r="AK126">
        <v>0</v>
      </c>
      <c r="AL126">
        <v>0</v>
      </c>
    </row>
    <row r="127" spans="1:38" hidden="1" x14ac:dyDescent="0.2">
      <c r="A127" t="s">
        <v>308</v>
      </c>
      <c r="B127" t="s">
        <v>309</v>
      </c>
      <c r="C127" t="s">
        <v>309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5.3</v>
      </c>
      <c r="AE127">
        <v>760</v>
      </c>
      <c r="AF127">
        <v>15.15828277682999</v>
      </c>
      <c r="AG127">
        <v>8.438654026811772</v>
      </c>
      <c r="AH127">
        <f>14.9818332017195*1</f>
        <v>14.9818332017195</v>
      </c>
      <c r="AI127">
        <f>0*1</f>
        <v>0</v>
      </c>
      <c r="AJ127">
        <v>1</v>
      </c>
      <c r="AK127">
        <v>0</v>
      </c>
      <c r="AL127">
        <v>0</v>
      </c>
    </row>
    <row r="128" spans="1:38" hidden="1" x14ac:dyDescent="0.2">
      <c r="A128" t="s">
        <v>310</v>
      </c>
      <c r="B128" t="s">
        <v>311</v>
      </c>
      <c r="C128" t="s">
        <v>311</v>
      </c>
      <c r="D128" t="s">
        <v>3</v>
      </c>
      <c r="E128">
        <v>1</v>
      </c>
      <c r="F128">
        <v>0</v>
      </c>
      <c r="G128">
        <v>0</v>
      </c>
      <c r="H128">
        <v>0</v>
      </c>
      <c r="I128" t="s">
        <v>29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4.2</v>
      </c>
      <c r="AE128">
        <v>775</v>
      </c>
      <c r="AF128">
        <v>16.969696969696969</v>
      </c>
      <c r="AG128">
        <v>0</v>
      </c>
      <c r="AH128">
        <f>14.6719477418181*1</f>
        <v>14.6719477418181</v>
      </c>
      <c r="AI128">
        <f>2.93438954836363*1</f>
        <v>2.93438954836363</v>
      </c>
      <c r="AJ128">
        <v>1</v>
      </c>
      <c r="AK128">
        <v>0</v>
      </c>
      <c r="AL128">
        <v>0</v>
      </c>
    </row>
    <row r="129" spans="1:38" hidden="1" x14ac:dyDescent="0.2">
      <c r="A129" t="s">
        <v>312</v>
      </c>
      <c r="B129" t="s">
        <v>313</v>
      </c>
      <c r="C129" t="s">
        <v>313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7.7</v>
      </c>
      <c r="AE129">
        <v>777</v>
      </c>
      <c r="AF129">
        <v>21.804472844973041</v>
      </c>
      <c r="AG129">
        <v>0</v>
      </c>
      <c r="AH129">
        <f>18.8520800748895*1</f>
        <v>18.8520800748895</v>
      </c>
      <c r="AI129">
        <f>2.29289342892253*1</f>
        <v>2.2928934289225298</v>
      </c>
      <c r="AJ129">
        <v>1</v>
      </c>
      <c r="AK129">
        <v>0</v>
      </c>
      <c r="AL129">
        <v>0</v>
      </c>
    </row>
    <row r="130" spans="1:38" hidden="1" x14ac:dyDescent="0.2">
      <c r="A130" t="s">
        <v>314</v>
      </c>
      <c r="B130" t="s">
        <v>315</v>
      </c>
      <c r="C130" t="s">
        <v>315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4.5999999999999996</v>
      </c>
      <c r="AE130">
        <v>779</v>
      </c>
      <c r="AF130">
        <v>13.06451612903226</v>
      </c>
      <c r="AG130">
        <v>0</v>
      </c>
      <c r="AH130">
        <f>11.2955404129838*1</f>
        <v>11.295540412983801</v>
      </c>
      <c r="AI130">
        <f>2.25910808259677*1</f>
        <v>2.2591080825967702</v>
      </c>
      <c r="AJ130">
        <v>1</v>
      </c>
      <c r="AK130">
        <v>0</v>
      </c>
      <c r="AL130">
        <v>0</v>
      </c>
    </row>
    <row r="131" spans="1:38" hidden="1" x14ac:dyDescent="0.2">
      <c r="A131" t="s">
        <v>71</v>
      </c>
      <c r="B131" t="s">
        <v>316</v>
      </c>
      <c r="C131" t="s">
        <v>317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6</v>
      </c>
      <c r="AE131">
        <v>790</v>
      </c>
      <c r="AF131">
        <v>18.127515802609409</v>
      </c>
      <c r="AG131">
        <v>0</v>
      </c>
      <c r="AH131">
        <f>15.6729943392511*1</f>
        <v>15.672994339251099</v>
      </c>
      <c r="AI131">
        <f>3.31564079913317*1</f>
        <v>3.31564079913317</v>
      </c>
      <c r="AJ131">
        <v>1</v>
      </c>
      <c r="AK131">
        <v>0</v>
      </c>
      <c r="AL131">
        <v>0</v>
      </c>
    </row>
    <row r="132" spans="1:38" hidden="1" x14ac:dyDescent="0.2">
      <c r="A132" t="s">
        <v>318</v>
      </c>
      <c r="B132" t="s">
        <v>319</v>
      </c>
      <c r="C132" t="s">
        <v>319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4.5</v>
      </c>
      <c r="AE132">
        <v>794</v>
      </c>
      <c r="AF132">
        <v>16.54266403747777</v>
      </c>
      <c r="AG132">
        <v>0</v>
      </c>
      <c r="AH132">
        <f>14.3027363836693*1</f>
        <v>14.3027363836693</v>
      </c>
      <c r="AI132">
        <f>3.6825902159281*1</f>
        <v>3.6825902159281001</v>
      </c>
      <c r="AJ132">
        <v>1</v>
      </c>
      <c r="AK132">
        <v>0</v>
      </c>
      <c r="AL132">
        <v>0</v>
      </c>
    </row>
    <row r="133" spans="1:38" hidden="1" x14ac:dyDescent="0.2">
      <c r="A133" t="s">
        <v>320</v>
      </c>
      <c r="B133" t="s">
        <v>321</v>
      </c>
      <c r="C133" t="s">
        <v>244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5</v>
      </c>
      <c r="AE133">
        <v>796</v>
      </c>
      <c r="AF133">
        <v>10.555555555555561</v>
      </c>
      <c r="AG133">
        <v>0</v>
      </c>
      <c r="AH133">
        <f>9.1263008275*1</f>
        <v>9.1263008274999997</v>
      </c>
      <c r="AI133">
        <f>1.8252601655*1</f>
        <v>1.8252601655</v>
      </c>
      <c r="AJ133">
        <v>1</v>
      </c>
      <c r="AK133">
        <v>0</v>
      </c>
      <c r="AL133">
        <v>0</v>
      </c>
    </row>
    <row r="134" spans="1:38" hidden="1" x14ac:dyDescent="0.2">
      <c r="A134" t="s">
        <v>322</v>
      </c>
      <c r="B134" t="s">
        <v>323</v>
      </c>
      <c r="C134" t="s">
        <v>323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5.8</v>
      </c>
      <c r="AE134">
        <v>798</v>
      </c>
      <c r="AF134">
        <v>18.929075245818758</v>
      </c>
      <c r="AG134">
        <v>0</v>
      </c>
      <c r="AH134">
        <f>16.3660201654476*1</f>
        <v>16.366020165447601</v>
      </c>
      <c r="AI134">
        <f>3.02393815525592*1</f>
        <v>3.0239381552559199</v>
      </c>
      <c r="AJ134">
        <v>1</v>
      </c>
      <c r="AK134">
        <v>0</v>
      </c>
      <c r="AL134">
        <v>0</v>
      </c>
    </row>
    <row r="135" spans="1:38" hidden="1" x14ac:dyDescent="0.2">
      <c r="A135" t="s">
        <v>324</v>
      </c>
      <c r="B135" t="s">
        <v>325</v>
      </c>
      <c r="C135" t="s">
        <v>325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6.8</v>
      </c>
      <c r="AE135">
        <v>800</v>
      </c>
      <c r="AF135">
        <v>15.95255809944384</v>
      </c>
      <c r="AG135">
        <v>0</v>
      </c>
      <c r="AH135">
        <f>13.7925326068764*1</f>
        <v>13.792532606876399</v>
      </c>
      <c r="AI135">
        <f>2.84987015946185*1</f>
        <v>2.8498701594618501</v>
      </c>
      <c r="AJ135">
        <v>1</v>
      </c>
      <c r="AK135">
        <v>0</v>
      </c>
      <c r="AL135">
        <v>0</v>
      </c>
    </row>
    <row r="136" spans="1:38" hidden="1" x14ac:dyDescent="0.2">
      <c r="A136" t="s">
        <v>326</v>
      </c>
      <c r="B136" t="s">
        <v>327</v>
      </c>
      <c r="C136" t="s">
        <v>327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30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4.8</v>
      </c>
      <c r="AE136">
        <v>807</v>
      </c>
      <c r="AF136">
        <v>27.197721647588718</v>
      </c>
      <c r="AG136">
        <v>10.232909845497741</v>
      </c>
      <c r="AH136">
        <f>21.5628215301406*1</f>
        <v>21.562821530140599</v>
      </c>
      <c r="AI136">
        <f>7.70954708398972*1</f>
        <v>7.7095470839897198</v>
      </c>
      <c r="AJ136">
        <v>1</v>
      </c>
      <c r="AK136">
        <v>0</v>
      </c>
      <c r="AL136">
        <v>0</v>
      </c>
    </row>
    <row r="137" spans="1:38" hidden="1" x14ac:dyDescent="0.2">
      <c r="A137" t="s">
        <v>328</v>
      </c>
      <c r="B137" t="s">
        <v>329</v>
      </c>
      <c r="C137" t="s">
        <v>329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4.5</v>
      </c>
      <c r="AE137">
        <v>813</v>
      </c>
      <c r="AF137">
        <v>16.14827253587563</v>
      </c>
      <c r="AG137">
        <v>14.830750544670719</v>
      </c>
      <c r="AH137">
        <f>18.2100007327352*1</f>
        <v>18.2100007327352</v>
      </c>
      <c r="AI137">
        <f>5.94876543361331*1</f>
        <v>5.9487654336133096</v>
      </c>
      <c r="AJ137">
        <v>1</v>
      </c>
      <c r="AK137">
        <v>0</v>
      </c>
      <c r="AL137">
        <v>0</v>
      </c>
    </row>
    <row r="138" spans="1:38" hidden="1" x14ac:dyDescent="0.2">
      <c r="A138" t="s">
        <v>330</v>
      </c>
      <c r="B138" t="s">
        <v>331</v>
      </c>
      <c r="C138" t="s">
        <v>332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5.4</v>
      </c>
      <c r="AE138">
        <v>818</v>
      </c>
      <c r="AF138">
        <v>28.300044573827861</v>
      </c>
      <c r="AG138">
        <v>17.697990553759979</v>
      </c>
      <c r="AH138">
        <f>26.7912315316093*1</f>
        <v>26.791231531609299</v>
      </c>
      <c r="AI138">
        <f>11.3279567817085*1</f>
        <v>11.327956781708499</v>
      </c>
      <c r="AJ138">
        <v>1</v>
      </c>
      <c r="AK138">
        <v>0</v>
      </c>
      <c r="AL138">
        <v>0</v>
      </c>
    </row>
    <row r="139" spans="1:38" x14ac:dyDescent="0.2">
      <c r="A139" t="s">
        <v>91</v>
      </c>
      <c r="B139" t="s">
        <v>130</v>
      </c>
      <c r="C139" t="s">
        <v>130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15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5.2</v>
      </c>
      <c r="AE139">
        <v>168</v>
      </c>
      <c r="AF139">
        <v>19.117021276595739</v>
      </c>
      <c r="AG139">
        <v>0</v>
      </c>
      <c r="AH139">
        <f>25.180278634401*1</f>
        <v>25.180278634400999</v>
      </c>
      <c r="AI139">
        <f>4.19671310573351*1</f>
        <v>4.1967131057335099</v>
      </c>
      <c r="AJ139">
        <v>1</v>
      </c>
      <c r="AK139">
        <v>1</v>
      </c>
      <c r="AL139">
        <v>1</v>
      </c>
    </row>
    <row r="140" spans="1:38" x14ac:dyDescent="0.2">
      <c r="A140" t="s">
        <v>228</v>
      </c>
      <c r="B140" t="s">
        <v>229</v>
      </c>
      <c r="C140" t="s">
        <v>229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4.5</v>
      </c>
      <c r="AE140">
        <v>470</v>
      </c>
      <c r="AF140">
        <v>8.7958001505500398</v>
      </c>
      <c r="AG140">
        <v>8.8100808238272492</v>
      </c>
      <c r="AH140">
        <f>14.3350564394533*1</f>
        <v>14.3350564394533</v>
      </c>
      <c r="AI140">
        <f>2.65215908835871*1</f>
        <v>2.6521590883587098</v>
      </c>
      <c r="AJ140">
        <v>1</v>
      </c>
      <c r="AK140">
        <v>1</v>
      </c>
      <c r="AL140">
        <v>1</v>
      </c>
    </row>
    <row r="141" spans="1:38" hidden="1" x14ac:dyDescent="0.2">
      <c r="A141" t="s">
        <v>338</v>
      </c>
      <c r="B141" t="s">
        <v>339</v>
      </c>
      <c r="C141" t="s">
        <v>339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4.8</v>
      </c>
      <c r="AE141">
        <v>829</v>
      </c>
      <c r="AF141">
        <v>29.068952348057699</v>
      </c>
      <c r="AG141">
        <v>17.829312598602922</v>
      </c>
      <c r="AH141">
        <f>27.3032667601646*1</f>
        <v>27.3032667601646</v>
      </c>
      <c r="AI141">
        <f>8.95995258161433*1</f>
        <v>8.9599525816143295</v>
      </c>
      <c r="AJ141">
        <v>1</v>
      </c>
      <c r="AK141">
        <v>0</v>
      </c>
      <c r="AL141">
        <v>0</v>
      </c>
    </row>
    <row r="142" spans="1:38" hidden="1" x14ac:dyDescent="0.2">
      <c r="A142" t="s">
        <v>340</v>
      </c>
      <c r="B142" t="s">
        <v>341</v>
      </c>
      <c r="C142" t="s">
        <v>342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30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4.4000000000000004</v>
      </c>
      <c r="AE142">
        <v>832</v>
      </c>
      <c r="AF142">
        <v>14.04</v>
      </c>
      <c r="AG142">
        <v>13.23124150819503</v>
      </c>
      <c r="AH142">
        <f>16.0405411369976*1</f>
        <v>16.0405411369976</v>
      </c>
      <c r="AI142">
        <f>5.39817431157293*1</f>
        <v>5.3981743115729302</v>
      </c>
      <c r="AJ142">
        <v>1</v>
      </c>
      <c r="AK142">
        <v>0</v>
      </c>
      <c r="AL142">
        <v>0</v>
      </c>
    </row>
    <row r="143" spans="1:38" hidden="1" x14ac:dyDescent="0.2">
      <c r="A143" t="s">
        <v>343</v>
      </c>
      <c r="B143" t="s">
        <v>344</v>
      </c>
      <c r="C143" t="s">
        <v>345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5.6</v>
      </c>
      <c r="AE143">
        <v>834</v>
      </c>
      <c r="AF143">
        <v>17.996291521560259</v>
      </c>
      <c r="AG143">
        <v>17.30804943149672</v>
      </c>
      <c r="AH143">
        <f>5.19393721138442*0.25</f>
        <v>1.2984843028461051</v>
      </c>
      <c r="AI143">
        <f>4.74515593970122*0.25</f>
        <v>1.1862889849253051</v>
      </c>
      <c r="AJ143">
        <v>0.25</v>
      </c>
      <c r="AK143">
        <v>1</v>
      </c>
      <c r="AL143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2024-04-19T15:28:03Z</dcterms:created>
  <dcterms:modified xsi:type="dcterms:W3CDTF">2024-04-19T15:30:35Z</dcterms:modified>
</cp:coreProperties>
</file>