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5-26/"/>
    </mc:Choice>
  </mc:AlternateContent>
  <xr:revisionPtr revIDLastSave="0" documentId="13_ncr:1_{89278576-999B-2241-B991-561B3F21D1F9}" xr6:coauthVersionLast="47" xr6:coauthVersionMax="47" xr10:uidLastSave="{00000000-0000-0000-0000-000000000000}"/>
  <bookViews>
    <workbookView xWindow="240" yWindow="760" windowWidth="19700" windowHeight="15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2" i="1" l="1"/>
  <c r="AH172" i="1"/>
  <c r="AI171" i="1"/>
  <c r="AH171" i="1"/>
  <c r="AI170" i="1"/>
  <c r="AH170" i="1"/>
  <c r="AI169" i="1"/>
  <c r="AH169" i="1"/>
  <c r="AI168" i="1"/>
  <c r="AH168" i="1"/>
  <c r="AI167" i="1"/>
  <c r="AH167" i="1"/>
  <c r="AI50" i="1"/>
  <c r="AH50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10" i="1"/>
  <c r="AH110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66" i="1"/>
  <c r="AH166" i="1"/>
  <c r="AI135" i="1"/>
  <c r="AH135" i="1"/>
  <c r="AI134" i="1"/>
  <c r="AH134" i="1"/>
  <c r="AI133" i="1"/>
  <c r="AH133" i="1"/>
  <c r="AI132" i="1"/>
  <c r="AH132" i="1"/>
  <c r="AI95" i="1"/>
  <c r="AH95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61" i="1"/>
  <c r="AH6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47" i="1"/>
  <c r="AH47" i="1"/>
  <c r="AI109" i="1"/>
  <c r="AH109" i="1"/>
  <c r="AI108" i="1"/>
  <c r="AH108" i="1"/>
  <c r="AI107" i="1"/>
  <c r="AH107" i="1"/>
  <c r="AI106" i="1"/>
  <c r="AH106" i="1"/>
  <c r="AI105" i="1"/>
  <c r="AH105" i="1"/>
  <c r="AI62" i="1"/>
  <c r="AH62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27" i="1"/>
  <c r="AH27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145" i="1"/>
  <c r="AH145" i="1"/>
  <c r="AI131" i="1"/>
  <c r="AH13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121" i="1"/>
  <c r="AH121" i="1"/>
  <c r="AI49" i="1"/>
  <c r="AH49" i="1"/>
  <c r="AI48" i="1"/>
  <c r="AH48" i="1"/>
  <c r="AI136" i="1"/>
  <c r="AH136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10" i="1"/>
  <c r="AH10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4" i="1"/>
  <c r="AH104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<sst xmlns="http://schemas.openxmlformats.org/spreadsheetml/2006/main" count="925" uniqueCount="393">
  <si>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</si>
  <si>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</si>
  <si>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</si>
  <si>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</si>
  <si>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</si>
  <si>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</si>
  <si>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</si>
  <si>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</si>
  <si>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</si>
  <si>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</si>
  <si>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</si>
  <si>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</si>
  <si>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</si>
  <si>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</si>
  <si>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BUR</t>
  </si>
  <si>
    <t>BOU</t>
  </si>
  <si>
    <t>BRE</t>
  </si>
  <si>
    <t>BHA</t>
  </si>
  <si>
    <t>CHE</t>
  </si>
  <si>
    <t>CRY</t>
  </si>
  <si>
    <t>EVE</t>
  </si>
  <si>
    <t>FUL</t>
  </si>
  <si>
    <t>LEE</t>
  </si>
  <si>
    <t>LIV</t>
  </si>
  <si>
    <t>MCI</t>
  </si>
  <si>
    <t>MUN</t>
  </si>
  <si>
    <t>NEW</t>
  </si>
  <si>
    <t>NFO</t>
  </si>
  <si>
    <t>SUN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</si>
  <si>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</si>
  <si>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</si>
  <si>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</si>
  <si>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</si>
  <si>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</si>
  <si>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</si>
  <si>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</si>
  <si>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</si>
  <si>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</si>
  <si>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</si>
  <si>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</si>
  <si>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</si>
  <si>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</si>
  <si>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</si>
  <si>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</si>
  <si>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</si>
  <si>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</si>
  <si>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</si>
  <si>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William</t>
  </si>
  <si>
    <t>Saliba</t>
  </si>
  <si>
    <t>Martin</t>
  </si>
  <si>
    <t>Ødegaard</t>
  </si>
  <si>
    <t>Noni</t>
  </si>
  <si>
    <t>Madueke</t>
  </si>
  <si>
    <t>Martinelli Silva</t>
  </si>
  <si>
    <t>Martinelli</t>
  </si>
  <si>
    <t>Leandro</t>
  </si>
  <si>
    <t>Trossard</t>
  </si>
  <si>
    <t>Declan</t>
  </si>
  <si>
    <t>Rice</t>
  </si>
  <si>
    <t>Christian</t>
  </si>
  <si>
    <t>Nørgaard</t>
  </si>
  <si>
    <t>Eberechi</t>
  </si>
  <si>
    <t>Eze</t>
  </si>
  <si>
    <t>Emiliano</t>
  </si>
  <si>
    <t>Martínez Romero</t>
  </si>
  <si>
    <t>Martinez</t>
  </si>
  <si>
    <t>Matty</t>
  </si>
  <si>
    <t>Cash</t>
  </si>
  <si>
    <t>Lucas</t>
  </si>
  <si>
    <t>Digne</t>
  </si>
  <si>
    <t>Ezri</t>
  </si>
  <si>
    <t>Konsa Ngoyo</t>
  </si>
  <si>
    <t>Konsa</t>
  </si>
  <si>
    <t>Ian</t>
  </si>
  <si>
    <t>Maatsen</t>
  </si>
  <si>
    <t>Morgan</t>
  </si>
  <si>
    <t>Rogers</t>
  </si>
  <si>
    <t>Youri</t>
  </si>
  <si>
    <t>Tielemans</t>
  </si>
  <si>
    <t>John</t>
  </si>
  <si>
    <t>McGinn</t>
  </si>
  <si>
    <t>Boubacar</t>
  </si>
  <si>
    <t>Kamara</t>
  </si>
  <si>
    <t>Amadou</t>
  </si>
  <si>
    <t>Onana</t>
  </si>
  <si>
    <t>Ollie</t>
  </si>
  <si>
    <t>Watkins</t>
  </si>
  <si>
    <t>Jadon</t>
  </si>
  <si>
    <t>Sancho</t>
  </si>
  <si>
    <t>Lesley</t>
  </si>
  <si>
    <t>Ugochukwu</t>
  </si>
  <si>
    <t>Illia</t>
  </si>
  <si>
    <t>Zabarnyi</t>
  </si>
  <si>
    <t>Adam</t>
  </si>
  <si>
    <t>Smith</t>
  </si>
  <si>
    <t>Justin</t>
  </si>
  <si>
    <t>Kluivert</t>
  </si>
  <si>
    <t>Antoine</t>
  </si>
  <si>
    <t>Semenyo</t>
  </si>
  <si>
    <t>Marcus</t>
  </si>
  <si>
    <t>Tavernier</t>
  </si>
  <si>
    <t>Tyler</t>
  </si>
  <si>
    <t>Adams</t>
  </si>
  <si>
    <t>David</t>
  </si>
  <si>
    <t>Brooks</t>
  </si>
  <si>
    <t>Ryan</t>
  </si>
  <si>
    <t>Christie</t>
  </si>
  <si>
    <t>Lewis</t>
  </si>
  <si>
    <t>Cook</t>
  </si>
  <si>
    <t>Dango</t>
  </si>
  <si>
    <t>Ouattara</t>
  </si>
  <si>
    <t>O.Dango</t>
  </si>
  <si>
    <t>Nathan</t>
  </si>
  <si>
    <t>Collins</t>
  </si>
  <si>
    <t>Keane</t>
  </si>
  <si>
    <t>Lewis-Potter</t>
  </si>
  <si>
    <t>Kevin</t>
  </si>
  <si>
    <t>Schade</t>
  </si>
  <si>
    <t>Mikkel</t>
  </si>
  <si>
    <t>Damsgaard</t>
  </si>
  <si>
    <t>Vitaly</t>
  </si>
  <si>
    <t>Janelt</t>
  </si>
  <si>
    <t>Mathias</t>
  </si>
  <si>
    <t>Jensen</t>
  </si>
  <si>
    <t>Bart</t>
  </si>
  <si>
    <t>Verbruggen</t>
  </si>
  <si>
    <t>Dunk</t>
  </si>
  <si>
    <t>Jan Paul</t>
  </si>
  <si>
    <t>van Hecke</t>
  </si>
  <si>
    <t>Van Hecke</t>
  </si>
  <si>
    <t>Georginio</t>
  </si>
  <si>
    <t>Rutter</t>
  </si>
  <si>
    <t>Jack</t>
  </si>
  <si>
    <t>Hinshelwood</t>
  </si>
  <si>
    <t>Yasin</t>
  </si>
  <si>
    <t>Ayari</t>
  </si>
  <si>
    <t>Carlos</t>
  </si>
  <si>
    <t>Baleba</t>
  </si>
  <si>
    <t>Danny</t>
  </si>
  <si>
    <t>Welbeck</t>
  </si>
  <si>
    <t>Facundo</t>
  </si>
  <si>
    <t>Buonanotte</t>
  </si>
  <si>
    <t>Marc</t>
  </si>
  <si>
    <t>Cucurella Saseta</t>
  </si>
  <si>
    <t>Cucurella</t>
  </si>
  <si>
    <t>Trevoh</t>
  </si>
  <si>
    <t>Chalobah</t>
  </si>
  <si>
    <t>Malo</t>
  </si>
  <si>
    <t>Gusto</t>
  </si>
  <si>
    <t>Cole</t>
  </si>
  <si>
    <t>Palmer</t>
  </si>
  <si>
    <t>Pedro</t>
  </si>
  <si>
    <t>Lomba Neto</t>
  </si>
  <si>
    <t>Neto</t>
  </si>
  <si>
    <t>Enzo</t>
  </si>
  <si>
    <t>Fernández</t>
  </si>
  <si>
    <t>Moisés</t>
  </si>
  <si>
    <t>Caicedo Corozo</t>
  </si>
  <si>
    <t>Caicedo</t>
  </si>
  <si>
    <t>João Pedro</t>
  </si>
  <si>
    <t>Junqueira de Jesus</t>
  </si>
  <si>
    <t>Liam</t>
  </si>
  <si>
    <t>Delap</t>
  </si>
  <si>
    <t>Nicolas</t>
  </si>
  <si>
    <t>Jackson</t>
  </si>
  <si>
    <t>N.Jackson</t>
  </si>
  <si>
    <t>Dean</t>
  </si>
  <si>
    <t>Henderson</t>
  </si>
  <si>
    <t>Tyrick</t>
  </si>
  <si>
    <t>Mitchell</t>
  </si>
  <si>
    <t>Guéhi</t>
  </si>
  <si>
    <t>Chris</t>
  </si>
  <si>
    <t>Richards</t>
  </si>
  <si>
    <t>Ismaïla</t>
  </si>
  <si>
    <t>Sarr</t>
  </si>
  <si>
    <t>Will</t>
  </si>
  <si>
    <t>Hughes</t>
  </si>
  <si>
    <t>Jefferson</t>
  </si>
  <si>
    <t>Lerma Solís</t>
  </si>
  <si>
    <t>Lerma</t>
  </si>
  <si>
    <t>Jean-Philippe</t>
  </si>
  <si>
    <t>Mateta</t>
  </si>
  <si>
    <t>Eddie</t>
  </si>
  <si>
    <t>Nketiah</t>
  </si>
  <si>
    <t>Jordan</t>
  </si>
  <si>
    <t>Pickford</t>
  </si>
  <si>
    <t>Jarrad</t>
  </si>
  <si>
    <t>Branthwaite</t>
  </si>
  <si>
    <t>James</t>
  </si>
  <si>
    <t>Tarkowski</t>
  </si>
  <si>
    <t>Vitalii</t>
  </si>
  <si>
    <t>Mykolenko</t>
  </si>
  <si>
    <t>Norberto Bercique</t>
  </si>
  <si>
    <t>Gomes Betuncal</t>
  </si>
  <si>
    <t>Beto</t>
  </si>
  <si>
    <t>Bernd</t>
  </si>
  <si>
    <t>Leno</t>
  </si>
  <si>
    <t>Antonee</t>
  </si>
  <si>
    <t>Robinson</t>
  </si>
  <si>
    <t>Joachim</t>
  </si>
  <si>
    <t>Andersen</t>
  </si>
  <si>
    <t>Calvin</t>
  </si>
  <si>
    <t>Bassey</t>
  </si>
  <si>
    <t>Timothy</t>
  </si>
  <si>
    <t>Castagne</t>
  </si>
  <si>
    <t>Kenny</t>
  </si>
  <si>
    <t>Tete</t>
  </si>
  <si>
    <t>Alex</t>
  </si>
  <si>
    <t>Iwobi</t>
  </si>
  <si>
    <t>Emile</t>
  </si>
  <si>
    <t>Smith Rowe</t>
  </si>
  <si>
    <t>Andreas</t>
  </si>
  <si>
    <t>Hoelgebaum Pereira</t>
  </si>
  <si>
    <t>Harry</t>
  </si>
  <si>
    <t>Wilson</t>
  </si>
  <si>
    <t>Sander</t>
  </si>
  <si>
    <t>Berge</t>
  </si>
  <si>
    <t>Tom</t>
  </si>
  <si>
    <t>Cairney</t>
  </si>
  <si>
    <t>Saša</t>
  </si>
  <si>
    <t>Lukić</t>
  </si>
  <si>
    <t>Rodrigo</t>
  </si>
  <si>
    <t>Muniz Carvalho</t>
  </si>
  <si>
    <t>Muniz</t>
  </si>
  <si>
    <t>Harrison</t>
  </si>
  <si>
    <t>Sean</t>
  </si>
  <si>
    <t>Longstaff</t>
  </si>
  <si>
    <t>Dominic</t>
  </si>
  <si>
    <t>Calvert-Lewin</t>
  </si>
  <si>
    <t>Milos</t>
  </si>
  <si>
    <t>Kerkez</t>
  </si>
  <si>
    <t>Andrew</t>
  </si>
  <si>
    <t>Robertson</t>
  </si>
  <si>
    <t>Virgil</t>
  </si>
  <si>
    <t>van Dijk</t>
  </si>
  <si>
    <t>Ibrahima</t>
  </si>
  <si>
    <t>Konaté</t>
  </si>
  <si>
    <t>Mohamed</t>
  </si>
  <si>
    <t>Salah</t>
  </si>
  <si>
    <t>M.Salah</t>
  </si>
  <si>
    <t>Cody</t>
  </si>
  <si>
    <t>Gakpo</t>
  </si>
  <si>
    <t>Alexis</t>
  </si>
  <si>
    <t>Mac Allister</t>
  </si>
  <si>
    <t>Dominik</t>
  </si>
  <si>
    <t>Szoboszlai</t>
  </si>
  <si>
    <t>Curtis</t>
  </si>
  <si>
    <t>Jones</t>
  </si>
  <si>
    <t>C.Jones</t>
  </si>
  <si>
    <t>Gravenberch</t>
  </si>
  <si>
    <t>Darwin</t>
  </si>
  <si>
    <t>Núñez Ribeiro</t>
  </si>
  <si>
    <t>Alexander</t>
  </si>
  <si>
    <t>Isak</t>
  </si>
  <si>
    <t>Rayan</t>
  </si>
  <si>
    <t>Aït-Nouri</t>
  </si>
  <si>
    <t>Joško</t>
  </si>
  <si>
    <t>Gvardiol</t>
  </si>
  <si>
    <t>Rico</t>
  </si>
  <si>
    <t>Phil</t>
  </si>
  <si>
    <t>Foden</t>
  </si>
  <si>
    <t>Jérémy</t>
  </si>
  <si>
    <t>Doku</t>
  </si>
  <si>
    <t>Mateo</t>
  </si>
  <si>
    <t>Kovačić</t>
  </si>
  <si>
    <t>Erling</t>
  </si>
  <si>
    <t>Haaland</t>
  </si>
  <si>
    <t>Bryan</t>
  </si>
  <si>
    <t>Mbeumo</t>
  </si>
  <si>
    <t>André</t>
  </si>
  <si>
    <t>Diogo</t>
  </si>
  <si>
    <t>Dalot Teixeira</t>
  </si>
  <si>
    <t>Dalot</t>
  </si>
  <si>
    <t>Maguire</t>
  </si>
  <si>
    <t>Bruno</t>
  </si>
  <si>
    <t>Borges Fernandes</t>
  </si>
  <si>
    <t>B.Fernandes</t>
  </si>
  <si>
    <t>Amad</t>
  </si>
  <si>
    <t>Diallo</t>
  </si>
  <si>
    <t>Carlos Henrique</t>
  </si>
  <si>
    <t>Casimiro</t>
  </si>
  <si>
    <t>Casemiro</t>
  </si>
  <si>
    <t>Kobbie</t>
  </si>
  <si>
    <t>Mainoo</t>
  </si>
  <si>
    <t>Rasmus</t>
  </si>
  <si>
    <t>Højlund</t>
  </si>
  <si>
    <t>Jacob</t>
  </si>
  <si>
    <t>Ramsey</t>
  </si>
  <si>
    <t>J.Ramsey</t>
  </si>
  <si>
    <t>Yoane</t>
  </si>
  <si>
    <t>Wissa</t>
  </si>
  <si>
    <t>Nick</t>
  </si>
  <si>
    <t>Pope</t>
  </si>
  <si>
    <t>Hall</t>
  </si>
  <si>
    <t>Fabian</t>
  </si>
  <si>
    <t>Schär</t>
  </si>
  <si>
    <t>Dan</t>
  </si>
  <si>
    <t>Burn</t>
  </si>
  <si>
    <t>Tino</t>
  </si>
  <si>
    <t>Livramento</t>
  </si>
  <si>
    <t>Kieran</t>
  </si>
  <si>
    <t>Trippier</t>
  </si>
  <si>
    <t>Anthony</t>
  </si>
  <si>
    <t>Gordon</t>
  </si>
  <si>
    <t>Elanga</t>
  </si>
  <si>
    <t>Harvey</t>
  </si>
  <si>
    <t>Barnes</t>
  </si>
  <si>
    <t>Guimarães Rodriguez Moura</t>
  </si>
  <si>
    <t>Bruno G.</t>
  </si>
  <si>
    <t>Murphy</t>
  </si>
  <si>
    <t>J.Murphy</t>
  </si>
  <si>
    <t>Joelinton Cássio</t>
  </si>
  <si>
    <t>Apolinário de Lira</t>
  </si>
  <si>
    <t>Joelinton</t>
  </si>
  <si>
    <t>Sandro</t>
  </si>
  <si>
    <t>Tonali</t>
  </si>
  <si>
    <t>Joe</t>
  </si>
  <si>
    <t>Willock</t>
  </si>
  <si>
    <t>Aaron</t>
  </si>
  <si>
    <t>Ramsdale</t>
  </si>
  <si>
    <t>Matz</t>
  </si>
  <si>
    <t>Sels</t>
  </si>
  <si>
    <t>Nikola</t>
  </si>
  <si>
    <t>Milenković</t>
  </si>
  <si>
    <t>Ola</t>
  </si>
  <si>
    <t>Aina</t>
  </si>
  <si>
    <t>Neco</t>
  </si>
  <si>
    <t>Williams</t>
  </si>
  <si>
    <t>N.Williams</t>
  </si>
  <si>
    <t>Gibbs-White</t>
  </si>
  <si>
    <t>Callum</t>
  </si>
  <si>
    <t>Hudson-Odoi</t>
  </si>
  <si>
    <t>Elliot</t>
  </si>
  <si>
    <t>Anderson</t>
  </si>
  <si>
    <t>Nicolás</t>
  </si>
  <si>
    <t>Domínguez</t>
  </si>
  <si>
    <t>Dominguez</t>
  </si>
  <si>
    <t>Yates</t>
  </si>
  <si>
    <t>Wood</t>
  </si>
  <si>
    <t>Taiwo</t>
  </si>
  <si>
    <t>Awoniyi</t>
  </si>
  <si>
    <t>Simon</t>
  </si>
  <si>
    <t>Adingra</t>
  </si>
  <si>
    <t>Guglielmo</t>
  </si>
  <si>
    <t>Vicario</t>
  </si>
  <si>
    <t>Destiny</t>
  </si>
  <si>
    <t>Udogie</t>
  </si>
  <si>
    <t>Son</t>
  </si>
  <si>
    <t>Heung-min</t>
  </si>
  <si>
    <t>Brennan</t>
  </si>
  <si>
    <t>Johnson</t>
  </si>
  <si>
    <t>Maddison</t>
  </si>
  <si>
    <t>Mohammed</t>
  </si>
  <si>
    <t>Kudus</t>
  </si>
  <si>
    <t>Dejan</t>
  </si>
  <si>
    <t>Kulusevski</t>
  </si>
  <si>
    <t>Bentancur</t>
  </si>
  <si>
    <t>Yves</t>
  </si>
  <si>
    <t>Bissouma</t>
  </si>
  <si>
    <t>Pape Matar</t>
  </si>
  <si>
    <t>P.M.Sarr</t>
  </si>
  <si>
    <t>Alphonse</t>
  </si>
  <si>
    <t>Areola</t>
  </si>
  <si>
    <t>Emerson</t>
  </si>
  <si>
    <t>Palmieri dos Santos</t>
  </si>
  <si>
    <t>Konstantinos</t>
  </si>
  <si>
    <t>Mavropanos</t>
  </si>
  <si>
    <t>Wan-Bissaka</t>
  </si>
  <si>
    <t>Tolentino Coelho de Lima</t>
  </si>
  <si>
    <t>L.Paquetá</t>
  </si>
  <si>
    <t>Tomáš</t>
  </si>
  <si>
    <t>Souček</t>
  </si>
  <si>
    <t>Ward-Prowse</t>
  </si>
  <si>
    <t>Edson</t>
  </si>
  <si>
    <t>Álvarez Velázquez</t>
  </si>
  <si>
    <t>Álvarez</t>
  </si>
  <si>
    <t>Jarrod</t>
  </si>
  <si>
    <t>Bowen</t>
  </si>
  <si>
    <t>Kyle</t>
  </si>
  <si>
    <t>Walker-Peters</t>
  </si>
  <si>
    <t>José</t>
  </si>
  <si>
    <t>Malheiro de Sá</t>
  </si>
  <si>
    <t>José Sá</t>
  </si>
  <si>
    <t>Matt</t>
  </si>
  <si>
    <t>Doherty</t>
  </si>
  <si>
    <t>Jean-Ricner</t>
  </si>
  <si>
    <t>Bellegarde</t>
  </si>
  <si>
    <t>João Victor</t>
  </si>
  <si>
    <t>Gomes da Silva</t>
  </si>
  <si>
    <t>Gomes</t>
  </si>
  <si>
    <t>Gonçalo Manuel</t>
  </si>
  <si>
    <t>Ganchinho Guedes</t>
  </si>
  <si>
    <t>Guedes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</si>
</sst>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72" totalsRowShown="0">
  <autoFilter ref="A1:AL172" xr:uid="{00000000-0009-0000-0100-000001000000}">
    <filterColumn colId="37">
      <filters>
        <filter val="1"/>
      </filters>
    </filterColumn>
  </autoFilter>
  <sortState xmlns:xlrd2="http://schemas.microsoft.com/office/spreadsheetml/2017/richdata2" ref="A10:AL166">
    <sortCondition descending="1" ref="AI1:AI172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UR"/>
    <tableColumn id="13" xr3:uid="{00000000-0010-0000-0000-00000D000000}" name="BOU"/>
    <tableColumn id="14" xr3:uid="{00000000-0010-0000-0000-00000E000000}" name="BRE"/>
    <tableColumn id="15" xr3:uid="{00000000-0010-0000-0000-00000F000000}" name="BHA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EE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UN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72"/>
  <sheetViews>
    <sheetView tabSelected="1" workbookViewId="0">
      <selection activeCell="C27" sqref="C27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6.1</v>
      </c>
      <c r="AE2">
        <v>4</v>
      </c>
      <c r="AF2">
        <v>148.86486486486481</v>
      </c>
      <c r="AG2">
        <v>148.86486486486481</v>
      </c>
      <c r="AH2">
        <f>66.1621621621621*1</f>
        <v>66.162162162162105</v>
      </c>
      <c r="AI2">
        <f>1.91028020502365*1</f>
        <v>1.91028020502365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1048.3843843843836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5</v>
      </c>
      <c r="AF3">
        <v>128.64864864864859</v>
      </c>
      <c r="AG3">
        <v>128.64864864864859</v>
      </c>
      <c r="AH3">
        <f>57.1771771771771*1</f>
        <v>57.1771771771771</v>
      </c>
      <c r="AI3">
        <f>1.85756965313299*1</f>
        <v>1.8575696531329899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7.9</v>
      </c>
      <c r="AE4">
        <v>15</v>
      </c>
      <c r="AF4">
        <v>124.972972972973</v>
      </c>
      <c r="AG4">
        <v>124.972972972973</v>
      </c>
      <c r="AH4">
        <f>55.5435435435435*1</f>
        <v>55.5435435435435</v>
      </c>
      <c r="AI4">
        <f>2.04511848430485*1</f>
        <v>2.04511848430485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99.999999999999986</v>
      </c>
      <c r="AP4">
        <v>100.1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</v>
      </c>
      <c r="AE5">
        <v>16</v>
      </c>
      <c r="AF5">
        <v>120.3783783783784</v>
      </c>
      <c r="AG5">
        <v>120.3783783783784</v>
      </c>
      <c r="AH5">
        <f>53.5015015015015*1</f>
        <v>53.501501501501501</v>
      </c>
      <c r="AI5">
        <f>1.73217906826802*1</f>
        <v>1.73217906826802</v>
      </c>
      <c r="AJ5">
        <v>1</v>
      </c>
      <c r="AK5">
        <v>0</v>
      </c>
      <c r="AL5">
        <v>0</v>
      </c>
    </row>
    <row r="6" spans="1:43" hidden="1" x14ac:dyDescent="0.2">
      <c r="A6" t="s">
        <v>45</v>
      </c>
      <c r="B6" t="s">
        <v>53</v>
      </c>
      <c r="C6" t="s">
        <v>54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6.9</v>
      </c>
      <c r="AE6">
        <v>17</v>
      </c>
      <c r="AF6">
        <v>114.8648648648649</v>
      </c>
      <c r="AG6">
        <v>114.8648648648649</v>
      </c>
      <c r="AH6">
        <f>51.051051051051*1</f>
        <v>51.051051051050997</v>
      </c>
      <c r="AI6">
        <f>1.41700360773685*1</f>
        <v>1.41700360773685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55</v>
      </c>
      <c r="B7" t="s">
        <v>56</v>
      </c>
      <c r="C7" t="s">
        <v>56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6.9</v>
      </c>
      <c r="AE7">
        <v>18</v>
      </c>
      <c r="AF7">
        <v>122.2162162162162</v>
      </c>
      <c r="AG7">
        <v>122.2162162162162</v>
      </c>
      <c r="AH7">
        <f>54.3183183183183*1</f>
        <v>54.318318318318298</v>
      </c>
      <c r="AI7">
        <f>1.78256640084825*1</f>
        <v>1.78256640084825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57</v>
      </c>
      <c r="B8" t="s">
        <v>58</v>
      </c>
      <c r="C8" t="s">
        <v>58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6.5</v>
      </c>
      <c r="AE8">
        <v>19</v>
      </c>
      <c r="AF8">
        <v>123.1351351351351</v>
      </c>
      <c r="AG8">
        <v>123.1351351351351</v>
      </c>
      <c r="AH8">
        <f>54.7267267267267*1</f>
        <v>54.726726726726703</v>
      </c>
      <c r="AI8">
        <f>1.6475350716763*1</f>
        <v>1.6475350716763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59</v>
      </c>
      <c r="B9" t="s">
        <v>60</v>
      </c>
      <c r="C9" t="s">
        <v>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5.4</v>
      </c>
      <c r="AE9">
        <v>22</v>
      </c>
      <c r="AF9">
        <v>105.67567567567571</v>
      </c>
      <c r="AG9">
        <v>105.67567567567571</v>
      </c>
      <c r="AH9">
        <f>46.9669669669669*1</f>
        <v>46.966966966966901</v>
      </c>
      <c r="AI9">
        <f>1.2581627012783*1</f>
        <v>1.2581627012783001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x14ac:dyDescent="0.2">
      <c r="A10" t="s">
        <v>97</v>
      </c>
      <c r="B10" t="s">
        <v>98</v>
      </c>
      <c r="C10" t="s">
        <v>98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15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7.5</v>
      </c>
      <c r="AE10">
        <v>134</v>
      </c>
      <c r="AF10">
        <v>166.32432432432429</v>
      </c>
      <c r="AG10">
        <v>166.32432432432429</v>
      </c>
      <c r="AH10">
        <f>73.9219219219219*1</f>
        <v>73.921921921921907</v>
      </c>
      <c r="AI10">
        <f>3.28039104461907*1</f>
        <v>3.2803910446190701</v>
      </c>
      <c r="AJ10">
        <v>1</v>
      </c>
      <c r="AK10">
        <v>1</v>
      </c>
      <c r="AL10">
        <v>1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63</v>
      </c>
      <c r="B11" t="s">
        <v>64</v>
      </c>
      <c r="C11" t="s">
        <v>65</v>
      </c>
      <c r="D11" t="s">
        <v>3</v>
      </c>
      <c r="E11">
        <v>1</v>
      </c>
      <c r="F11">
        <v>0</v>
      </c>
      <c r="G11">
        <v>0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35</v>
      </c>
      <c r="AF11">
        <v>104.7567567567568</v>
      </c>
      <c r="AG11">
        <v>104.7567567567568</v>
      </c>
      <c r="AH11">
        <f>46.5585585585585*1</f>
        <v>46.558558558558502</v>
      </c>
      <c r="AI11">
        <f>1.75254265336693*1</f>
        <v>1.7525426533669299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39</v>
      </c>
      <c r="AF12">
        <v>90.054054054054049</v>
      </c>
      <c r="AG12">
        <v>90.054054054054049</v>
      </c>
      <c r="AH12">
        <f>40.024024024024*1</f>
        <v>40.024024024024001</v>
      </c>
      <c r="AI12">
        <f>0.966490398684138*1</f>
        <v>0.966490398684138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69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</v>
      </c>
      <c r="AE13">
        <v>40</v>
      </c>
      <c r="AF13">
        <v>93.729729729729726</v>
      </c>
      <c r="AG13">
        <v>93.729729729729726</v>
      </c>
      <c r="AH13">
        <f>41.6576576576576*1</f>
        <v>41.657657657657602</v>
      </c>
      <c r="AI13">
        <f>1.1250172208794*1</f>
        <v>1.1250172208794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70</v>
      </c>
      <c r="B14" t="s">
        <v>71</v>
      </c>
      <c r="C14" t="s">
        <v>72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41</v>
      </c>
      <c r="AF14">
        <v>102</v>
      </c>
      <c r="AG14">
        <v>102</v>
      </c>
      <c r="AH14">
        <f>45.3333333333333*1</f>
        <v>45.3333333333333</v>
      </c>
      <c r="AI14">
        <f>1.28369466374438*1</f>
        <v>1.28369466374438</v>
      </c>
      <c r="AJ14">
        <v>1</v>
      </c>
      <c r="AK14">
        <v>0</v>
      </c>
      <c r="AL14">
        <v>0</v>
      </c>
    </row>
    <row r="15" spans="1:43" hidden="1" x14ac:dyDescent="0.2">
      <c r="A15" t="s">
        <v>73</v>
      </c>
      <c r="B15" t="s">
        <v>74</v>
      </c>
      <c r="C15" t="s">
        <v>74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4.4000000000000004</v>
      </c>
      <c r="AE15">
        <v>42</v>
      </c>
      <c r="AF15">
        <v>59.729729729729733</v>
      </c>
      <c r="AG15">
        <v>59.729729729729733</v>
      </c>
      <c r="AH15">
        <f>26.5465465465465*1</f>
        <v>26.546546546546502</v>
      </c>
      <c r="AI15">
        <f>0.51244713199772*1</f>
        <v>0.51244713199771996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75</v>
      </c>
      <c r="B16" t="s">
        <v>76</v>
      </c>
      <c r="C16" t="s">
        <v>76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</v>
      </c>
      <c r="AE16">
        <v>50</v>
      </c>
      <c r="AF16">
        <v>146.1081081081081</v>
      </c>
      <c r="AG16">
        <v>146.1081081081081</v>
      </c>
      <c r="AH16">
        <f>64.9369369369369*1</f>
        <v>64.936936936936902</v>
      </c>
      <c r="AI16">
        <f>2.00482151172822*1</f>
        <v>2.00482151172822</v>
      </c>
      <c r="AJ16">
        <v>1</v>
      </c>
      <c r="AK16">
        <v>0</v>
      </c>
      <c r="AL16">
        <v>0</v>
      </c>
    </row>
    <row r="17" spans="1:42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5.9</v>
      </c>
      <c r="AE17">
        <v>51</v>
      </c>
      <c r="AF17">
        <v>103.8378378378378</v>
      </c>
      <c r="AG17">
        <v>103.8378378378378</v>
      </c>
      <c r="AH17">
        <f>46.1501501501501*1</f>
        <v>46.150150150150097</v>
      </c>
      <c r="AI17">
        <f>1.4181061561058*1</f>
        <v>1.4181061561057999</v>
      </c>
      <c r="AJ17">
        <v>1</v>
      </c>
      <c r="AK17">
        <v>0</v>
      </c>
      <c r="AL17">
        <v>0</v>
      </c>
      <c r="AN17" t="s">
        <v>11</v>
      </c>
      <c r="AO17">
        <f>AO2-AO15*38</f>
        <v>1048.3843843843836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56</v>
      </c>
      <c r="AF18">
        <v>78.108108108108112</v>
      </c>
      <c r="AG18">
        <v>78.108108108108112</v>
      </c>
      <c r="AH18">
        <f>34.7147147147147*1</f>
        <v>34.714714714714702</v>
      </c>
      <c r="AI18">
        <f>1.26638200670652*1</f>
        <v>1.2663820067065199</v>
      </c>
      <c r="AJ18">
        <v>1</v>
      </c>
      <c r="AK18">
        <v>0</v>
      </c>
      <c r="AL18">
        <v>0</v>
      </c>
    </row>
    <row r="19" spans="1:42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4.9000000000000004</v>
      </c>
      <c r="AE19">
        <v>60</v>
      </c>
      <c r="AF19">
        <v>71.675675675675663</v>
      </c>
      <c r="AG19">
        <v>71.675675675675663</v>
      </c>
      <c r="AH19">
        <f>31.8558558558558*1</f>
        <v>31.8558558558558</v>
      </c>
      <c r="AI19">
        <f>0.824420768091826*1</f>
        <v>0.82442076809182596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1</v>
      </c>
      <c r="AP19">
        <v>3</v>
      </c>
    </row>
    <row r="20" spans="1:42" hidden="1" x14ac:dyDescent="0.2">
      <c r="A20" t="s">
        <v>83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4.9000000000000004</v>
      </c>
      <c r="AE20">
        <v>61</v>
      </c>
      <c r="AF20">
        <v>73.513513513513516</v>
      </c>
      <c r="AG20">
        <v>73.513513513513516</v>
      </c>
      <c r="AH20">
        <f>32.6726726726726*1</f>
        <v>32.672672672672597</v>
      </c>
      <c r="AI20">
        <f>1.06605959603387*1</f>
        <v>1.0660595960338699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6</v>
      </c>
      <c r="E21">
        <v>0</v>
      </c>
      <c r="F21">
        <v>0</v>
      </c>
      <c r="G21">
        <v>0</v>
      </c>
      <c r="H21">
        <v>1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8.8000000000000007</v>
      </c>
      <c r="AE21">
        <v>66</v>
      </c>
      <c r="AF21">
        <v>151.62162162162161</v>
      </c>
      <c r="AG21">
        <v>151.62162162162161</v>
      </c>
      <c r="AH21">
        <f>67.3873873873873*1</f>
        <v>67.387387387387307</v>
      </c>
      <c r="AI21">
        <f>2.12469122268688*1</f>
        <v>2.1246912226868799</v>
      </c>
      <c r="AJ21">
        <v>1</v>
      </c>
      <c r="AK21">
        <v>0</v>
      </c>
      <c r="AL21">
        <v>0</v>
      </c>
      <c r="AN21" t="s">
        <v>14</v>
      </c>
      <c r="AO21">
        <f>SUMPRODUCT(Table1[Selected],Table1[BUR])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5.9</v>
      </c>
      <c r="AE22">
        <v>69</v>
      </c>
      <c r="AF22">
        <v>99.243243243243242</v>
      </c>
      <c r="AG22">
        <v>99.243243243243242</v>
      </c>
      <c r="AH22">
        <f>44.1081081081081*1</f>
        <v>44.108108108108098</v>
      </c>
      <c r="AI22">
        <f>1.32254849479446*1</f>
        <v>1.3225484947944599</v>
      </c>
      <c r="AJ22">
        <v>1</v>
      </c>
      <c r="AK22">
        <v>0</v>
      </c>
      <c r="AL22">
        <v>0</v>
      </c>
      <c r="AN22" t="s">
        <v>15</v>
      </c>
      <c r="AO22">
        <f>SUMPRODUCT(Table1[Selected],Table1[BOU])</f>
        <v>1</v>
      </c>
      <c r="AP22">
        <v>3</v>
      </c>
    </row>
    <row r="23" spans="1:42" hidden="1" x14ac:dyDescent="0.2">
      <c r="A23" t="s">
        <v>89</v>
      </c>
      <c r="B23" t="s">
        <v>90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115</v>
      </c>
      <c r="AF23">
        <v>53.297297297297298</v>
      </c>
      <c r="AG23">
        <v>53.297297297297298</v>
      </c>
      <c r="AH23">
        <f>23.6876876876876*1</f>
        <v>23.6876876876876</v>
      </c>
      <c r="AI23">
        <f>0.658807433416222*1</f>
        <v>0.65880743341622205</v>
      </c>
      <c r="AJ23">
        <v>1</v>
      </c>
      <c r="AK23">
        <v>0</v>
      </c>
      <c r="AL23">
        <v>0</v>
      </c>
      <c r="AN23" t="s">
        <v>16</v>
      </c>
      <c r="AO23">
        <f>SUMPRODUCT(Table1[Selected],Table1[BRE])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92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15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123</v>
      </c>
      <c r="AF24">
        <v>87.297297297297291</v>
      </c>
      <c r="AG24">
        <v>87.297297297297291</v>
      </c>
      <c r="AH24">
        <f>38.7987987987987*1</f>
        <v>38.7987987987987</v>
      </c>
      <c r="AI24">
        <f>1.06358259733769*1</f>
        <v>1.06358259733769</v>
      </c>
      <c r="AJ24">
        <v>1</v>
      </c>
      <c r="AK24">
        <v>0</v>
      </c>
      <c r="AL24">
        <v>0</v>
      </c>
      <c r="AN24" t="s">
        <v>17</v>
      </c>
      <c r="AO24">
        <f>SUMPRODUCT(Table1[Selected],Table1[BHA])</f>
        <v>1</v>
      </c>
      <c r="AP24">
        <v>3</v>
      </c>
    </row>
    <row r="25" spans="1:42" hidden="1" x14ac:dyDescent="0.2">
      <c r="A25" t="s">
        <v>93</v>
      </c>
      <c r="B25" t="s">
        <v>94</v>
      </c>
      <c r="C25" t="s">
        <v>94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15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125</v>
      </c>
      <c r="AF25">
        <v>91.891891891891888</v>
      </c>
      <c r="AG25">
        <v>91.891891891891888</v>
      </c>
      <c r="AH25">
        <f>40.8408408408408*1</f>
        <v>40.840840840840798</v>
      </c>
      <c r="AI25">
        <f>1.00877805770419*1</f>
        <v>1.00877805770419</v>
      </c>
      <c r="AJ25">
        <v>1</v>
      </c>
      <c r="AK25">
        <v>0</v>
      </c>
      <c r="AL25">
        <v>0</v>
      </c>
      <c r="AN25" t="s">
        <v>18</v>
      </c>
      <c r="AO25">
        <f>SUMPRODUCT(Table1[Selected],Table1[CHE])</f>
        <v>1</v>
      </c>
      <c r="AP25">
        <v>3</v>
      </c>
    </row>
    <row r="26" spans="1:42" hidden="1" x14ac:dyDescent="0.2">
      <c r="A26" t="s">
        <v>95</v>
      </c>
      <c r="B26" t="s">
        <v>96</v>
      </c>
      <c r="C26" t="s">
        <v>96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15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</v>
      </c>
      <c r="AE26">
        <v>133</v>
      </c>
      <c r="AF26">
        <v>147.94594594594599</v>
      </c>
      <c r="AG26">
        <v>147.94594594594599</v>
      </c>
      <c r="AH26">
        <f>65.7537537537537*1</f>
        <v>65.753753753753699</v>
      </c>
      <c r="AI26">
        <f>1.89381441783266*1</f>
        <v>1.8938144178326599</v>
      </c>
      <c r="AJ26">
        <v>1</v>
      </c>
      <c r="AK26">
        <v>0</v>
      </c>
      <c r="AL26">
        <v>0</v>
      </c>
      <c r="AN26" t="s">
        <v>19</v>
      </c>
      <c r="AO26">
        <f>SUMPRODUCT(Table1[Selected],Table1[CRY])</f>
        <v>2</v>
      </c>
      <c r="AP26">
        <v>3</v>
      </c>
    </row>
    <row r="27" spans="1:42" x14ac:dyDescent="0.2">
      <c r="A27" t="s">
        <v>237</v>
      </c>
      <c r="B27" t="s">
        <v>238</v>
      </c>
      <c r="C27" t="s">
        <v>239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23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14.5</v>
      </c>
      <c r="AE27">
        <v>421</v>
      </c>
      <c r="AF27">
        <v>279.35135135135141</v>
      </c>
      <c r="AG27">
        <v>279.35135135135141</v>
      </c>
      <c r="AH27">
        <f>124.156156156156*1</f>
        <v>124.156156156156</v>
      </c>
      <c r="AI27">
        <f>3.19105291805571*1</f>
        <v>3.1910529180557101</v>
      </c>
      <c r="AJ27">
        <v>1</v>
      </c>
      <c r="AK27">
        <v>1</v>
      </c>
      <c r="AL27">
        <v>1</v>
      </c>
      <c r="AN27" t="s">
        <v>20</v>
      </c>
      <c r="AO27">
        <f>SUMPRODUCT(Table1[Selected],Table1[EVE])</f>
        <v>0</v>
      </c>
      <c r="AP27">
        <v>3</v>
      </c>
    </row>
    <row r="28" spans="1:42" hidden="1" x14ac:dyDescent="0.2">
      <c r="A28" t="s">
        <v>99</v>
      </c>
      <c r="B28" t="s">
        <v>100</v>
      </c>
      <c r="C28" t="s">
        <v>100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5.5</v>
      </c>
      <c r="AE28">
        <v>135</v>
      </c>
      <c r="AF28">
        <v>107.5135135135135</v>
      </c>
      <c r="AG28">
        <v>107.5135135135135</v>
      </c>
      <c r="AH28">
        <f>47.7837837837837*1</f>
        <v>47.783783783783697</v>
      </c>
      <c r="AI28">
        <f>1.45476285885639*1</f>
        <v>1.4547628588563899</v>
      </c>
      <c r="AJ28">
        <v>1</v>
      </c>
      <c r="AK28">
        <v>0</v>
      </c>
      <c r="AL28">
        <v>0</v>
      </c>
      <c r="AN28" t="s">
        <v>21</v>
      </c>
      <c r="AO28">
        <f>SUMPRODUCT(Table1[Selected],Table1[FUL])</f>
        <v>0</v>
      </c>
      <c r="AP28">
        <v>3</v>
      </c>
    </row>
    <row r="29" spans="1:42" hidden="1" x14ac:dyDescent="0.2">
      <c r="A29" t="s">
        <v>101</v>
      </c>
      <c r="B29" t="s">
        <v>102</v>
      </c>
      <c r="C29" t="s">
        <v>102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136</v>
      </c>
      <c r="AF29">
        <v>71.675675675675663</v>
      </c>
      <c r="AG29">
        <v>71.675675675675663</v>
      </c>
      <c r="AH29">
        <f>31.8558558558558*1</f>
        <v>31.8558558558558</v>
      </c>
      <c r="AI29">
        <f>0.877750245990612*1</f>
        <v>0.87775024599061202</v>
      </c>
      <c r="AJ29">
        <v>1</v>
      </c>
      <c r="AK29">
        <v>0</v>
      </c>
      <c r="AL29">
        <v>0</v>
      </c>
      <c r="AN29" t="s">
        <v>22</v>
      </c>
      <c r="AO29">
        <f>SUMPRODUCT(Table1[Selected],Table1[LEE])</f>
        <v>0</v>
      </c>
      <c r="AP29">
        <v>3</v>
      </c>
    </row>
    <row r="30" spans="1:42" hidden="1" x14ac:dyDescent="0.2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137</v>
      </c>
      <c r="AF30">
        <v>65.243243243243242</v>
      </c>
      <c r="AG30">
        <v>65.243243243243242</v>
      </c>
      <c r="AH30">
        <f>28.9969969969969*1</f>
        <v>28.996996996996899</v>
      </c>
      <c r="AI30">
        <f>0.624782916388134*1</f>
        <v>0.62478291638813399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105</v>
      </c>
      <c r="B31" t="s">
        <v>106</v>
      </c>
      <c r="C31" t="s">
        <v>106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138</v>
      </c>
      <c r="AF31">
        <v>84.540540540540533</v>
      </c>
      <c r="AG31">
        <v>84.540540540540533</v>
      </c>
      <c r="AH31">
        <f>37.5735735735735*1</f>
        <v>37.573573573573498</v>
      </c>
      <c r="AI31">
        <f>0.969549518940869*1</f>
        <v>0.96954951894086905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1</v>
      </c>
      <c r="AP31">
        <v>3</v>
      </c>
    </row>
    <row r="32" spans="1:42" hidden="1" x14ac:dyDescent="0.2">
      <c r="A32" t="s">
        <v>107</v>
      </c>
      <c r="B32" t="s">
        <v>108</v>
      </c>
      <c r="C32" t="s">
        <v>108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4.9000000000000004</v>
      </c>
      <c r="AE32">
        <v>139</v>
      </c>
      <c r="AF32">
        <v>76.270270270270274</v>
      </c>
      <c r="AG32">
        <v>76.270270270270274</v>
      </c>
      <c r="AH32">
        <f>33.8978978978979*1</f>
        <v>33.897897897897899</v>
      </c>
      <c r="AI32">
        <f>0.865752903405959*1</f>
        <v>0.86575290340595901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109</v>
      </c>
      <c r="B33" t="s">
        <v>110</v>
      </c>
      <c r="C33" t="s">
        <v>111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16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</v>
      </c>
      <c r="AE33">
        <v>159</v>
      </c>
      <c r="AF33">
        <v>119.4594594594595</v>
      </c>
      <c r="AG33">
        <v>119.4594594594595</v>
      </c>
      <c r="AH33">
        <f>53.093093093093*1</f>
        <v>53.093093093093003</v>
      </c>
      <c r="AI33">
        <f>1.10954150955967*1</f>
        <v>1.1095415095596699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112</v>
      </c>
      <c r="B34" t="s">
        <v>113</v>
      </c>
      <c r="C34" t="s">
        <v>113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16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</v>
      </c>
      <c r="AE34">
        <v>165</v>
      </c>
      <c r="AF34">
        <v>118.5405405405405</v>
      </c>
      <c r="AG34">
        <v>118.5405405405405</v>
      </c>
      <c r="AH34">
        <f>52.6846846846846*1</f>
        <v>52.684684684684598</v>
      </c>
      <c r="AI34">
        <f>1.20594623496893*1</f>
        <v>1.2059462349689301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2</v>
      </c>
      <c r="AP34">
        <v>3</v>
      </c>
    </row>
    <row r="35" spans="1:42" hidden="1" x14ac:dyDescent="0.2">
      <c r="A35" t="s">
        <v>114</v>
      </c>
      <c r="B35" t="s">
        <v>115</v>
      </c>
      <c r="C35" t="s">
        <v>115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166</v>
      </c>
      <c r="AF35">
        <v>89.13513513513513</v>
      </c>
      <c r="AG35">
        <v>89.13513513513513</v>
      </c>
      <c r="AH35">
        <f>39.6156156156156*1</f>
        <v>39.615615615615603</v>
      </c>
      <c r="AI35">
        <f>1.11844261442502*1</f>
        <v>1.1184426144250199</v>
      </c>
      <c r="AJ35">
        <v>1</v>
      </c>
      <c r="AK35">
        <v>0</v>
      </c>
      <c r="AL35">
        <v>0</v>
      </c>
      <c r="AN35" t="s">
        <v>28</v>
      </c>
      <c r="AO35">
        <f>SUMPRODUCT(Table1[Selected],Table1[SUN])</f>
        <v>0</v>
      </c>
      <c r="AP35">
        <v>3</v>
      </c>
    </row>
    <row r="36" spans="1:42" hidden="1" x14ac:dyDescent="0.2">
      <c r="A36" t="s">
        <v>116</v>
      </c>
      <c r="B36" t="s">
        <v>117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7</v>
      </c>
      <c r="AE36">
        <v>178</v>
      </c>
      <c r="AF36">
        <v>136.91891891891891</v>
      </c>
      <c r="AG36">
        <v>136.91891891891891</v>
      </c>
      <c r="AH36">
        <f>60.8528528528528*1</f>
        <v>60.852852852852799</v>
      </c>
      <c r="AI36">
        <f>1.33658967828825*1</f>
        <v>1.33658967828825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5.9</v>
      </c>
      <c r="AE37">
        <v>179</v>
      </c>
      <c r="AF37">
        <v>122.2162162162162</v>
      </c>
      <c r="AG37">
        <v>122.2162162162162</v>
      </c>
      <c r="AH37">
        <f>54.3183183183183*1</f>
        <v>54.318318318318298</v>
      </c>
      <c r="AI37">
        <f>1.29384286741448*1</f>
        <v>1.29384286741448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2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183</v>
      </c>
      <c r="AF38">
        <v>85.459459459459467</v>
      </c>
      <c r="AG38">
        <v>85.459459459459467</v>
      </c>
      <c r="AH38">
        <f>37.9819819819819*1</f>
        <v>37.981981981981903</v>
      </c>
      <c r="AI38">
        <f>1.11160469365123*1</f>
        <v>1.11160469365123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 hidden="1" x14ac:dyDescent="0.2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4.9000000000000004</v>
      </c>
      <c r="AE39">
        <v>184</v>
      </c>
      <c r="AF39">
        <v>58.810810810810807</v>
      </c>
      <c r="AG39">
        <v>58.810810810810807</v>
      </c>
      <c r="AH39">
        <f>26.1381381381381*1</f>
        <v>26.1381381381381</v>
      </c>
      <c r="AI39">
        <f>0.975481065815971*1</f>
        <v>0.97548106581597105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125</v>
      </c>
      <c r="D40" t="s">
        <v>3</v>
      </c>
      <c r="E40">
        <v>1</v>
      </c>
      <c r="F40">
        <v>0</v>
      </c>
      <c r="G40">
        <v>0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196</v>
      </c>
      <c r="AF40">
        <v>91.891891891891888</v>
      </c>
      <c r="AG40">
        <v>91.891891891891888</v>
      </c>
      <c r="AH40">
        <f>40.8408408408408*1</f>
        <v>40.840840840840798</v>
      </c>
      <c r="AI40">
        <f>1.24382359481471*1</f>
        <v>1.2438235948147101</v>
      </c>
      <c r="AJ40">
        <v>1</v>
      </c>
      <c r="AK40">
        <v>0</v>
      </c>
      <c r="AL40">
        <v>0</v>
      </c>
    </row>
    <row r="41" spans="1:42" hidden="1" x14ac:dyDescent="0.2">
      <c r="A41" t="s">
        <v>107</v>
      </c>
      <c r="B41" t="s">
        <v>126</v>
      </c>
      <c r="C41" t="s">
        <v>126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17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4.5</v>
      </c>
      <c r="AE41">
        <v>203</v>
      </c>
      <c r="AF41">
        <v>68</v>
      </c>
      <c r="AG41">
        <v>68</v>
      </c>
      <c r="AH41">
        <f>30.2222222222222*1</f>
        <v>30.2222222222222</v>
      </c>
      <c r="AI41">
        <f>1.29767078703189*1</f>
        <v>1.29767078703189</v>
      </c>
      <c r="AJ41">
        <v>1</v>
      </c>
      <c r="AK41">
        <v>0</v>
      </c>
      <c r="AL41">
        <v>0</v>
      </c>
    </row>
    <row r="42" spans="1:42" hidden="1" x14ac:dyDescent="0.2">
      <c r="A42" t="s">
        <v>127</v>
      </c>
      <c r="B42" t="s">
        <v>128</v>
      </c>
      <c r="C42" t="s">
        <v>129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207</v>
      </c>
      <c r="AF42">
        <v>80.86486486486487</v>
      </c>
      <c r="AG42">
        <v>80.86486486486487</v>
      </c>
      <c r="AH42">
        <f>35.9399399399399*1</f>
        <v>35.939939939939897</v>
      </c>
      <c r="AI42">
        <f>0.897565726558012*1</f>
        <v>0.89756572655801203</v>
      </c>
      <c r="AJ42">
        <v>1</v>
      </c>
      <c r="AK42">
        <v>0</v>
      </c>
      <c r="AL42">
        <v>0</v>
      </c>
    </row>
    <row r="43" spans="1:42" hidden="1" x14ac:dyDescent="0.2">
      <c r="A43" t="s">
        <v>130</v>
      </c>
      <c r="B43" t="s">
        <v>131</v>
      </c>
      <c r="C43" t="s">
        <v>130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5.8</v>
      </c>
      <c r="AE43">
        <v>214</v>
      </c>
      <c r="AF43">
        <v>103.8378378378378</v>
      </c>
      <c r="AG43">
        <v>103.8378378378378</v>
      </c>
      <c r="AH43">
        <f>46.1501501501501*1</f>
        <v>46.150150150150097</v>
      </c>
      <c r="AI43">
        <f>1.32789145207294*1</f>
        <v>1.3278914520729399</v>
      </c>
      <c r="AJ43">
        <v>1</v>
      </c>
      <c r="AK43">
        <v>0</v>
      </c>
      <c r="AL43">
        <v>0</v>
      </c>
    </row>
    <row r="44" spans="1:42" hidden="1" x14ac:dyDescent="0.2">
      <c r="A44" t="s">
        <v>132</v>
      </c>
      <c r="B44" t="s">
        <v>133</v>
      </c>
      <c r="C44" t="s">
        <v>133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5.3</v>
      </c>
      <c r="AE44">
        <v>219</v>
      </c>
      <c r="AF44">
        <v>112.1081081081081</v>
      </c>
      <c r="AG44">
        <v>112.1081081081081</v>
      </c>
      <c r="AH44">
        <f>49.8258258258258*1</f>
        <v>49.825825825825802</v>
      </c>
      <c r="AI44">
        <f>1.5717170108777*1</f>
        <v>1.5717170108777001</v>
      </c>
      <c r="AJ44">
        <v>1</v>
      </c>
      <c r="AK44">
        <v>0</v>
      </c>
      <c r="AL44">
        <v>0</v>
      </c>
    </row>
    <row r="45" spans="1:42" hidden="1" x14ac:dyDescent="0.2">
      <c r="A45" t="s">
        <v>134</v>
      </c>
      <c r="B45" t="s">
        <v>135</v>
      </c>
      <c r="C45" t="s">
        <v>135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4.9000000000000004</v>
      </c>
      <c r="AE45">
        <v>222</v>
      </c>
      <c r="AF45">
        <v>74.432432432432421</v>
      </c>
      <c r="AG45">
        <v>74.432432432432421</v>
      </c>
      <c r="AH45">
        <f>33.081081081081*1</f>
        <v>33.081081081081003</v>
      </c>
      <c r="AI45">
        <f>0.89064849158545*1</f>
        <v>0.89064849158545001</v>
      </c>
      <c r="AJ45">
        <v>1</v>
      </c>
      <c r="AK45">
        <v>0</v>
      </c>
      <c r="AL45">
        <v>0</v>
      </c>
    </row>
    <row r="46" spans="1:42" hidden="1" x14ac:dyDescent="0.2">
      <c r="A46" t="s">
        <v>136</v>
      </c>
      <c r="B46" t="s">
        <v>137</v>
      </c>
      <c r="C46" t="s">
        <v>137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4.9000000000000004</v>
      </c>
      <c r="AE46">
        <v>223</v>
      </c>
      <c r="AF46">
        <v>83.621621621621628</v>
      </c>
      <c r="AG46">
        <v>83.621621621621628</v>
      </c>
      <c r="AH46">
        <f>37.1651651651651*1</f>
        <v>37.165165165165099</v>
      </c>
      <c r="AI46">
        <f>0.835089792196642*1</f>
        <v>0.83508979219664203</v>
      </c>
      <c r="AJ46">
        <v>1</v>
      </c>
      <c r="AK46">
        <v>0</v>
      </c>
      <c r="AL46">
        <v>0</v>
      </c>
    </row>
    <row r="47" spans="1:42" x14ac:dyDescent="0.2">
      <c r="A47" t="s">
        <v>267</v>
      </c>
      <c r="B47" t="s">
        <v>268</v>
      </c>
      <c r="C47" t="s">
        <v>268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25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8.1</v>
      </c>
      <c r="AE47">
        <v>475</v>
      </c>
      <c r="AF47">
        <v>200.32432432432429</v>
      </c>
      <c r="AG47">
        <v>200.32432432432429</v>
      </c>
      <c r="AH47">
        <f>89.033033033033*1</f>
        <v>89.033033033033007</v>
      </c>
      <c r="AI47">
        <f>2.30181810748891*1</f>
        <v>2.3018181074889101</v>
      </c>
      <c r="AJ47">
        <v>1</v>
      </c>
      <c r="AK47">
        <v>1</v>
      </c>
      <c r="AL47">
        <v>1</v>
      </c>
    </row>
    <row r="48" spans="1:42" hidden="1" x14ac:dyDescent="0.2">
      <c r="A48" t="s">
        <v>140</v>
      </c>
      <c r="B48" t="s">
        <v>141</v>
      </c>
      <c r="C48" t="s">
        <v>141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4.8</v>
      </c>
      <c r="AE48">
        <v>237</v>
      </c>
      <c r="AF48">
        <v>78.108108108108112</v>
      </c>
      <c r="AG48">
        <v>78.108108108108112</v>
      </c>
      <c r="AH48">
        <f>34.7147147147147*1</f>
        <v>34.714714714714702</v>
      </c>
      <c r="AI48">
        <f>1.04000970031911*1</f>
        <v>1.04000970031911</v>
      </c>
      <c r="AJ48">
        <v>1</v>
      </c>
      <c r="AK48">
        <v>0</v>
      </c>
      <c r="AL48">
        <v>0</v>
      </c>
    </row>
    <row r="49" spans="1:38" hidden="1" x14ac:dyDescent="0.2">
      <c r="A49" t="s">
        <v>142</v>
      </c>
      <c r="B49" t="s">
        <v>143</v>
      </c>
      <c r="C49" t="s">
        <v>144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6.2</v>
      </c>
      <c r="AE49">
        <v>242</v>
      </c>
      <c r="AF49">
        <v>136.91891891891891</v>
      </c>
      <c r="AG49">
        <v>136.91891891891891</v>
      </c>
      <c r="AH49">
        <f>60.8528528528528*1</f>
        <v>60.852852852852799</v>
      </c>
      <c r="AI49">
        <f>1.31326376591257*1</f>
        <v>1.3132637659125701</v>
      </c>
      <c r="AJ49">
        <v>1</v>
      </c>
      <c r="AK49">
        <v>0</v>
      </c>
      <c r="AL49">
        <v>0</v>
      </c>
    </row>
    <row r="50" spans="1:38" x14ac:dyDescent="0.2">
      <c r="A50" t="s">
        <v>376</v>
      </c>
      <c r="B50" t="s">
        <v>377</v>
      </c>
      <c r="C50" t="s">
        <v>377</v>
      </c>
      <c r="D50" t="s">
        <v>6</v>
      </c>
      <c r="E50">
        <v>0</v>
      </c>
      <c r="F50">
        <v>0</v>
      </c>
      <c r="G50">
        <v>0</v>
      </c>
      <c r="H50">
        <v>1</v>
      </c>
      <c r="I50" t="s">
        <v>30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7.8</v>
      </c>
      <c r="AE50">
        <v>695</v>
      </c>
      <c r="AF50">
        <v>189.29729729729729</v>
      </c>
      <c r="AG50">
        <v>189.29729729729729</v>
      </c>
      <c r="AH50">
        <f>84.1321321321321*1</f>
        <v>84.132132132132099</v>
      </c>
      <c r="AI50">
        <f>2.1335923486086*1</f>
        <v>2.1335923486085999</v>
      </c>
      <c r="AJ50">
        <v>1</v>
      </c>
      <c r="AK50">
        <v>1</v>
      </c>
      <c r="AL50">
        <v>1</v>
      </c>
    </row>
    <row r="51" spans="1:38" hidden="1" x14ac:dyDescent="0.2">
      <c r="A51" t="s">
        <v>147</v>
      </c>
      <c r="B51" t="s">
        <v>148</v>
      </c>
      <c r="C51" t="s">
        <v>148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4.9000000000000004</v>
      </c>
      <c r="AE51">
        <v>246</v>
      </c>
      <c r="AF51">
        <v>74.432432432432421</v>
      </c>
      <c r="AG51">
        <v>74.432432432432421</v>
      </c>
      <c r="AH51">
        <f>33.081081081081*1</f>
        <v>33.081081081081003</v>
      </c>
      <c r="AI51">
        <f>1.01338327899281*1</f>
        <v>1.0133832789928101</v>
      </c>
      <c r="AJ51">
        <v>1</v>
      </c>
      <c r="AK51">
        <v>0</v>
      </c>
      <c r="AL51">
        <v>0</v>
      </c>
    </row>
    <row r="52" spans="1:38" hidden="1" x14ac:dyDescent="0.2">
      <c r="A52" t="s">
        <v>149</v>
      </c>
      <c r="B52" t="s">
        <v>150</v>
      </c>
      <c r="C52" t="s">
        <v>150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10.4</v>
      </c>
      <c r="AE52">
        <v>253</v>
      </c>
      <c r="AF52">
        <v>188.37837837837839</v>
      </c>
      <c r="AG52">
        <v>188.37837837837839</v>
      </c>
      <c r="AH52">
        <f>83.7237237237237*1</f>
        <v>83.723723723723694</v>
      </c>
      <c r="AI52">
        <f>2.47895664739898*1</f>
        <v>2.4789566473989799</v>
      </c>
      <c r="AJ52">
        <v>1</v>
      </c>
      <c r="AK52">
        <v>0</v>
      </c>
      <c r="AL52">
        <v>0</v>
      </c>
    </row>
    <row r="53" spans="1:38" hidden="1" x14ac:dyDescent="0.2">
      <c r="A53" t="s">
        <v>151</v>
      </c>
      <c r="B53" t="s">
        <v>152</v>
      </c>
      <c r="C53" t="s">
        <v>153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</v>
      </c>
      <c r="AE53">
        <v>254</v>
      </c>
      <c r="AF53">
        <v>104.7567567567568</v>
      </c>
      <c r="AG53">
        <v>104.7567567567568</v>
      </c>
      <c r="AH53">
        <f>46.5585585585585*1</f>
        <v>46.558558558558502</v>
      </c>
      <c r="AI53">
        <f>1.44270140690701*1</f>
        <v>1.4427014069070101</v>
      </c>
      <c r="AJ53">
        <v>1</v>
      </c>
      <c r="AK53">
        <v>0</v>
      </c>
      <c r="AL53">
        <v>0</v>
      </c>
    </row>
    <row r="54" spans="1:38" hidden="1" x14ac:dyDescent="0.2">
      <c r="A54" t="s">
        <v>154</v>
      </c>
      <c r="B54" t="s">
        <v>155</v>
      </c>
      <c r="C54" t="s">
        <v>154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6.6</v>
      </c>
      <c r="AE54">
        <v>255</v>
      </c>
      <c r="AF54">
        <v>145.18918918918919</v>
      </c>
      <c r="AG54">
        <v>145.18918918918919</v>
      </c>
      <c r="AH54">
        <f>64.5285285285285*1</f>
        <v>64.528528528528497</v>
      </c>
      <c r="AI54">
        <f>1.80020622367185*1</f>
        <v>1.8002062236718499</v>
      </c>
      <c r="AJ54">
        <v>1</v>
      </c>
      <c r="AK54">
        <v>0</v>
      </c>
      <c r="AL54">
        <v>0</v>
      </c>
    </row>
    <row r="55" spans="1:38" hidden="1" x14ac:dyDescent="0.2">
      <c r="A55" t="s">
        <v>156</v>
      </c>
      <c r="B55" t="s">
        <v>157</v>
      </c>
      <c r="C55" t="s">
        <v>158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5.6</v>
      </c>
      <c r="AE55">
        <v>259</v>
      </c>
      <c r="AF55">
        <v>103.8378378378378</v>
      </c>
      <c r="AG55">
        <v>103.8378378378378</v>
      </c>
      <c r="AH55">
        <f>46.1501501501501*1</f>
        <v>46.150150150150097</v>
      </c>
      <c r="AI55">
        <f>1.83843134838402*1</f>
        <v>1.83843134838402</v>
      </c>
      <c r="AJ55">
        <v>1</v>
      </c>
      <c r="AK55">
        <v>0</v>
      </c>
      <c r="AL55">
        <v>0</v>
      </c>
    </row>
    <row r="56" spans="1:38" hidden="1" x14ac:dyDescent="0.2">
      <c r="A56" t="s">
        <v>159</v>
      </c>
      <c r="B56" t="s">
        <v>160</v>
      </c>
      <c r="C56" t="s">
        <v>159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7.8</v>
      </c>
      <c r="AE56">
        <v>266</v>
      </c>
      <c r="AF56">
        <v>162.6486486486487</v>
      </c>
      <c r="AG56">
        <v>162.6486486486487</v>
      </c>
      <c r="AH56">
        <f>72.2882882882883*1</f>
        <v>72.2882882882883</v>
      </c>
      <c r="AI56">
        <f>1.86439891330638*1</f>
        <v>1.8643989133063801</v>
      </c>
      <c r="AJ56">
        <v>1</v>
      </c>
      <c r="AK56">
        <v>0</v>
      </c>
      <c r="AL56">
        <v>0</v>
      </c>
    </row>
    <row r="57" spans="1:38" hidden="1" x14ac:dyDescent="0.2">
      <c r="A57" t="s">
        <v>161</v>
      </c>
      <c r="B57" t="s">
        <v>162</v>
      </c>
      <c r="C57" t="s">
        <v>162</v>
      </c>
      <c r="D57" t="s">
        <v>6</v>
      </c>
      <c r="E57">
        <v>0</v>
      </c>
      <c r="F57">
        <v>0</v>
      </c>
      <c r="G57">
        <v>0</v>
      </c>
      <c r="H57">
        <v>1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6.3</v>
      </c>
      <c r="AE57">
        <v>267</v>
      </c>
      <c r="AF57">
        <v>114.8648648648649</v>
      </c>
      <c r="AG57">
        <v>114.8648648648649</v>
      </c>
      <c r="AH57">
        <f>51.051051051051*1</f>
        <v>51.051051051050997</v>
      </c>
      <c r="AI57">
        <f>1.40010349452889*1</f>
        <v>1.4001034945288899</v>
      </c>
      <c r="AJ57">
        <v>1</v>
      </c>
      <c r="AK57">
        <v>0</v>
      </c>
      <c r="AL57">
        <v>0</v>
      </c>
    </row>
    <row r="58" spans="1:38" hidden="1" x14ac:dyDescent="0.2">
      <c r="A58" t="s">
        <v>163</v>
      </c>
      <c r="B58" t="s">
        <v>164</v>
      </c>
      <c r="C58" t="s">
        <v>165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6.5</v>
      </c>
      <c r="AE58">
        <v>268</v>
      </c>
      <c r="AF58">
        <v>151.62162162162161</v>
      </c>
      <c r="AG58">
        <v>151.62162162162161</v>
      </c>
      <c r="AH58">
        <f>67.3873873873873*1</f>
        <v>67.387387387387307</v>
      </c>
      <c r="AI58">
        <f>1.80753029257252*1</f>
        <v>1.8075302925725201</v>
      </c>
      <c r="AJ58">
        <v>1</v>
      </c>
      <c r="AK58">
        <v>0</v>
      </c>
      <c r="AL58">
        <v>0</v>
      </c>
    </row>
    <row r="59" spans="1:38" hidden="1" x14ac:dyDescent="0.2">
      <c r="A59" t="s">
        <v>166</v>
      </c>
      <c r="B59" t="s">
        <v>167</v>
      </c>
      <c r="C59" t="s">
        <v>167</v>
      </c>
      <c r="D59" t="s">
        <v>3</v>
      </c>
      <c r="E59">
        <v>1</v>
      </c>
      <c r="F59">
        <v>0</v>
      </c>
      <c r="G59">
        <v>0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272</v>
      </c>
      <c r="AF59">
        <v>127.7297297297297</v>
      </c>
      <c r="AG59">
        <v>127.7297297297297</v>
      </c>
      <c r="AH59">
        <f>56.7687687687687*1</f>
        <v>56.768768768768702</v>
      </c>
      <c r="AI59">
        <f>1.77519126189717*1</f>
        <v>1.7751912618971699</v>
      </c>
      <c r="AJ59">
        <v>1</v>
      </c>
      <c r="AK59">
        <v>0</v>
      </c>
      <c r="AL59">
        <v>0</v>
      </c>
    </row>
    <row r="60" spans="1:38" hidden="1" x14ac:dyDescent="0.2">
      <c r="A60" t="s">
        <v>168</v>
      </c>
      <c r="B60" t="s">
        <v>169</v>
      </c>
      <c r="C60" t="s">
        <v>169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</v>
      </c>
      <c r="AE60">
        <v>277</v>
      </c>
      <c r="AF60">
        <v>125.8918918918919</v>
      </c>
      <c r="AG60">
        <v>125.8918918918919</v>
      </c>
      <c r="AH60">
        <f>55.9519519519519*1</f>
        <v>55.951951951951898</v>
      </c>
      <c r="AI60">
        <f>1.35116966386658*1</f>
        <v>1.35116966386658</v>
      </c>
      <c r="AJ60">
        <v>1</v>
      </c>
      <c r="AK60">
        <v>0</v>
      </c>
      <c r="AL60">
        <v>0</v>
      </c>
    </row>
    <row r="61" spans="1:38" x14ac:dyDescent="0.2">
      <c r="A61" t="s">
        <v>291</v>
      </c>
      <c r="B61" t="s">
        <v>292</v>
      </c>
      <c r="C61" t="s">
        <v>292</v>
      </c>
      <c r="D61" t="s">
        <v>3</v>
      </c>
      <c r="E61">
        <v>1</v>
      </c>
      <c r="F61">
        <v>0</v>
      </c>
      <c r="G61">
        <v>0</v>
      </c>
      <c r="H61">
        <v>0</v>
      </c>
      <c r="I61" t="s">
        <v>26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</v>
      </c>
      <c r="AE61">
        <v>516</v>
      </c>
      <c r="AF61">
        <v>135.08108108108109</v>
      </c>
      <c r="AG61">
        <v>135.08108108108109</v>
      </c>
      <c r="AH61">
        <f>60.036036036036*1</f>
        <v>60.036036036036002</v>
      </c>
      <c r="AI61">
        <f>1.87576022463752*1</f>
        <v>1.87576022463752</v>
      </c>
      <c r="AJ61">
        <v>1</v>
      </c>
      <c r="AK61">
        <v>1</v>
      </c>
      <c r="AL61">
        <v>1</v>
      </c>
    </row>
    <row r="62" spans="1:38" x14ac:dyDescent="0.2">
      <c r="A62" t="s">
        <v>256</v>
      </c>
      <c r="B62" t="s">
        <v>257</v>
      </c>
      <c r="C62" t="s">
        <v>257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24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5.8</v>
      </c>
      <c r="AE62">
        <v>446</v>
      </c>
      <c r="AF62">
        <v>140.59459459459461</v>
      </c>
      <c r="AG62">
        <v>140.59459459459461</v>
      </c>
      <c r="AH62">
        <f>62.4864864864864*1</f>
        <v>62.486486486486399</v>
      </c>
      <c r="AI62">
        <f>1.86339286225496*1</f>
        <v>1.86339286225496</v>
      </c>
      <c r="AJ62">
        <v>1</v>
      </c>
      <c r="AK62">
        <v>0</v>
      </c>
      <c r="AL62">
        <v>1</v>
      </c>
    </row>
    <row r="63" spans="1:38" hidden="1" x14ac:dyDescent="0.2">
      <c r="A63" t="s">
        <v>173</v>
      </c>
      <c r="B63" t="s">
        <v>174</v>
      </c>
      <c r="C63" t="s">
        <v>174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6.5</v>
      </c>
      <c r="AE63">
        <v>285</v>
      </c>
      <c r="AF63">
        <v>145.18918918918919</v>
      </c>
      <c r="AG63">
        <v>145.18918918918919</v>
      </c>
      <c r="AH63">
        <f>64.5285285285285*1</f>
        <v>64.528528528528497</v>
      </c>
      <c r="AI63">
        <f>1.6327061143815*1</f>
        <v>1.6327061143815</v>
      </c>
      <c r="AJ63">
        <v>1</v>
      </c>
      <c r="AK63">
        <v>0</v>
      </c>
      <c r="AL63">
        <v>0</v>
      </c>
    </row>
    <row r="64" spans="1:38" hidden="1" x14ac:dyDescent="0.2">
      <c r="A64" t="s">
        <v>175</v>
      </c>
      <c r="B64" t="s">
        <v>176</v>
      </c>
      <c r="C64" t="s">
        <v>176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4.9000000000000004</v>
      </c>
      <c r="AE64">
        <v>288</v>
      </c>
      <c r="AF64">
        <v>68.918918918918919</v>
      </c>
      <c r="AG64">
        <v>68.918918918918919</v>
      </c>
      <c r="AH64">
        <f>30.6306306306306*1</f>
        <v>30.630630630630598</v>
      </c>
      <c r="AI64">
        <f>0.951083769537647*1</f>
        <v>0.95108376953764695</v>
      </c>
      <c r="AJ64">
        <v>1</v>
      </c>
      <c r="AK64">
        <v>0</v>
      </c>
      <c r="AL64">
        <v>0</v>
      </c>
    </row>
    <row r="65" spans="1:38" hidden="1" x14ac:dyDescent="0.2">
      <c r="A65" t="s">
        <v>177</v>
      </c>
      <c r="B65" t="s">
        <v>178</v>
      </c>
      <c r="C65" t="s">
        <v>179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290</v>
      </c>
      <c r="AF65">
        <v>60.648648648648653</v>
      </c>
      <c r="AG65">
        <v>60.648648648648653</v>
      </c>
      <c r="AH65">
        <f>26.9549549549549*1</f>
        <v>26.9549549549549</v>
      </c>
      <c r="AI65">
        <f>0.922589420767452*1</f>
        <v>0.92258942076745198</v>
      </c>
      <c r="AJ65">
        <v>1</v>
      </c>
      <c r="AK65">
        <v>0</v>
      </c>
      <c r="AL65">
        <v>0</v>
      </c>
    </row>
    <row r="66" spans="1:38" hidden="1" x14ac:dyDescent="0.2">
      <c r="A66" t="s">
        <v>180</v>
      </c>
      <c r="B66" t="s">
        <v>181</v>
      </c>
      <c r="C66" t="s">
        <v>181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7.6</v>
      </c>
      <c r="AE66">
        <v>301</v>
      </c>
      <c r="AF66">
        <v>141.51351351351349</v>
      </c>
      <c r="AG66">
        <v>141.51351351351349</v>
      </c>
      <c r="AH66">
        <f>62.8948948948948*1</f>
        <v>62.894894894894797</v>
      </c>
      <c r="AI66">
        <f>1.51678725740765*1</f>
        <v>1.51678725740765</v>
      </c>
      <c r="AJ66">
        <v>1</v>
      </c>
      <c r="AK66">
        <v>0</v>
      </c>
      <c r="AL66">
        <v>0</v>
      </c>
    </row>
    <row r="67" spans="1:38" hidden="1" x14ac:dyDescent="0.2">
      <c r="A67" t="s">
        <v>182</v>
      </c>
      <c r="B67" t="s">
        <v>183</v>
      </c>
      <c r="C67" t="s">
        <v>183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5.4</v>
      </c>
      <c r="AE67">
        <v>302</v>
      </c>
      <c r="AF67">
        <v>59.729729729729733</v>
      </c>
      <c r="AG67">
        <v>59.729729729729733</v>
      </c>
      <c r="AH67">
        <f>26.5465465465465*1</f>
        <v>26.546546546546502</v>
      </c>
      <c r="AI67">
        <f>0.911481097897205*1</f>
        <v>0.91148109789720499</v>
      </c>
      <c r="AJ67">
        <v>1</v>
      </c>
      <c r="AK67">
        <v>0</v>
      </c>
      <c r="AL67">
        <v>0</v>
      </c>
    </row>
    <row r="68" spans="1:38" hidden="1" x14ac:dyDescent="0.2">
      <c r="A68" t="s">
        <v>184</v>
      </c>
      <c r="B68" t="s">
        <v>185</v>
      </c>
      <c r="C68" t="s">
        <v>185</v>
      </c>
      <c r="D68" t="s">
        <v>3</v>
      </c>
      <c r="E68">
        <v>1</v>
      </c>
      <c r="F68">
        <v>0</v>
      </c>
      <c r="G68">
        <v>0</v>
      </c>
      <c r="H68">
        <v>0</v>
      </c>
      <c r="I68" t="s">
        <v>20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5.5</v>
      </c>
      <c r="AE68">
        <v>310</v>
      </c>
      <c r="AF68">
        <v>153.45945945945951</v>
      </c>
      <c r="AG68">
        <v>153.45945945945951</v>
      </c>
      <c r="AH68">
        <f>68.2042042042042*1</f>
        <v>68.204204204204203</v>
      </c>
      <c r="AI68">
        <f>1.65901322425559*1</f>
        <v>1.6590132242555899</v>
      </c>
      <c r="AJ68">
        <v>1</v>
      </c>
      <c r="AK68">
        <v>0</v>
      </c>
      <c r="AL68">
        <v>0</v>
      </c>
    </row>
    <row r="69" spans="1:38" hidden="1" x14ac:dyDescent="0.2">
      <c r="A69" t="s">
        <v>186</v>
      </c>
      <c r="B69" t="s">
        <v>187</v>
      </c>
      <c r="C69" t="s">
        <v>187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5.3</v>
      </c>
      <c r="AE69">
        <v>313</v>
      </c>
      <c r="AF69">
        <v>112.1081081081081</v>
      </c>
      <c r="AG69">
        <v>112.1081081081081</v>
      </c>
      <c r="AH69">
        <f>49.8258258258258*1</f>
        <v>49.825825825825802</v>
      </c>
      <c r="AI69">
        <f>1.42364127379589*1</f>
        <v>1.4236412737958899</v>
      </c>
      <c r="AJ69">
        <v>1</v>
      </c>
      <c r="AK69">
        <v>0</v>
      </c>
      <c r="AL69">
        <v>0</v>
      </c>
    </row>
    <row r="70" spans="1:38" hidden="1" x14ac:dyDescent="0.2">
      <c r="A70" t="s">
        <v>188</v>
      </c>
      <c r="B70" t="s">
        <v>189</v>
      </c>
      <c r="C70" t="s">
        <v>189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5.5</v>
      </c>
      <c r="AE70">
        <v>314</v>
      </c>
      <c r="AF70">
        <v>108.43243243243241</v>
      </c>
      <c r="AG70">
        <v>108.43243243243241</v>
      </c>
      <c r="AH70">
        <f>48.1921921921921*1</f>
        <v>48.192192192192103</v>
      </c>
      <c r="AI70">
        <f>1.08437160644134*1</f>
        <v>1.08437160644134</v>
      </c>
      <c r="AJ70">
        <v>1</v>
      </c>
      <c r="AK70">
        <v>0</v>
      </c>
      <c r="AL70">
        <v>0</v>
      </c>
    </row>
    <row r="71" spans="1:38" hidden="1" x14ac:dyDescent="0.2">
      <c r="A71" t="s">
        <v>190</v>
      </c>
      <c r="B71" t="s">
        <v>191</v>
      </c>
      <c r="C71" t="s">
        <v>191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4.9000000000000004</v>
      </c>
      <c r="AE71">
        <v>315</v>
      </c>
      <c r="AF71">
        <v>106.5945945945946</v>
      </c>
      <c r="AG71">
        <v>106.5945945945946</v>
      </c>
      <c r="AH71">
        <f>47.3753753753753*1</f>
        <v>47.375375375375299</v>
      </c>
      <c r="AI71">
        <f>1.53782746572809*1</f>
        <v>1.5378274657280899</v>
      </c>
      <c r="AJ71">
        <v>1</v>
      </c>
      <c r="AK71">
        <v>0</v>
      </c>
      <c r="AL71">
        <v>0</v>
      </c>
    </row>
    <row r="72" spans="1:38" hidden="1" x14ac:dyDescent="0.2">
      <c r="A72" t="s">
        <v>192</v>
      </c>
      <c r="B72" t="s">
        <v>193</v>
      </c>
      <c r="C72" t="s">
        <v>194</v>
      </c>
      <c r="D72" t="s">
        <v>6</v>
      </c>
      <c r="E72">
        <v>0</v>
      </c>
      <c r="F72">
        <v>0</v>
      </c>
      <c r="G72">
        <v>0</v>
      </c>
      <c r="H72">
        <v>1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5.4</v>
      </c>
      <c r="AE72">
        <v>334</v>
      </c>
      <c r="AF72">
        <v>82.702702702702709</v>
      </c>
      <c r="AG72">
        <v>82.702702702702709</v>
      </c>
      <c r="AH72">
        <f>36.7567567567567*1</f>
        <v>36.756756756756701</v>
      </c>
      <c r="AI72">
        <f>0.961670502836961*1</f>
        <v>0.96167050283696098</v>
      </c>
      <c r="AJ72">
        <v>1</v>
      </c>
      <c r="AK72">
        <v>0</v>
      </c>
      <c r="AL72">
        <v>0</v>
      </c>
    </row>
    <row r="73" spans="1:38" hidden="1" x14ac:dyDescent="0.2">
      <c r="A73" t="s">
        <v>195</v>
      </c>
      <c r="B73" t="s">
        <v>196</v>
      </c>
      <c r="C73" t="s">
        <v>196</v>
      </c>
      <c r="D73" t="s">
        <v>3</v>
      </c>
      <c r="E73">
        <v>1</v>
      </c>
      <c r="F73">
        <v>0</v>
      </c>
      <c r="G73">
        <v>0</v>
      </c>
      <c r="H73">
        <v>0</v>
      </c>
      <c r="I73" t="s">
        <v>21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344</v>
      </c>
      <c r="AF73">
        <v>108.43243243243241</v>
      </c>
      <c r="AG73">
        <v>108.43243243243241</v>
      </c>
      <c r="AH73">
        <f>48.1921921921921*1</f>
        <v>48.192192192192103</v>
      </c>
      <c r="AI73">
        <f>1.35608878909883*1</f>
        <v>1.35608878909883</v>
      </c>
      <c r="AJ73">
        <v>1</v>
      </c>
      <c r="AK73">
        <v>0</v>
      </c>
      <c r="AL73">
        <v>0</v>
      </c>
    </row>
    <row r="74" spans="1:38" hidden="1" x14ac:dyDescent="0.2">
      <c r="A74" t="s">
        <v>197</v>
      </c>
      <c r="B74" t="s">
        <v>198</v>
      </c>
      <c r="C74" t="s">
        <v>198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21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</v>
      </c>
      <c r="AE74">
        <v>346</v>
      </c>
      <c r="AF74">
        <v>97.405405405405403</v>
      </c>
      <c r="AG74">
        <v>97.405405405405403</v>
      </c>
      <c r="AH74">
        <f>43.2912912912912*1</f>
        <v>43.291291291291202</v>
      </c>
      <c r="AI74">
        <f>1.19792185979261*1</f>
        <v>1.19792185979261</v>
      </c>
      <c r="AJ74">
        <v>1</v>
      </c>
      <c r="AK74">
        <v>0</v>
      </c>
      <c r="AL74">
        <v>0</v>
      </c>
    </row>
    <row r="75" spans="1:38" hidden="1" x14ac:dyDescent="0.2">
      <c r="A75" t="s">
        <v>199</v>
      </c>
      <c r="B75" t="s">
        <v>200</v>
      </c>
      <c r="C75" t="s">
        <v>200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21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</v>
      </c>
      <c r="AE75">
        <v>347</v>
      </c>
      <c r="AF75">
        <v>76.270270270270274</v>
      </c>
      <c r="AG75">
        <v>76.270270270270274</v>
      </c>
      <c r="AH75">
        <f>33.8978978978979*1</f>
        <v>33.897897897897899</v>
      </c>
      <c r="AI75">
        <f>1.3666174457208*1</f>
        <v>1.3666174457208</v>
      </c>
      <c r="AJ75">
        <v>1</v>
      </c>
      <c r="AK75">
        <v>0</v>
      </c>
      <c r="AL75">
        <v>0</v>
      </c>
    </row>
    <row r="76" spans="1:38" hidden="1" x14ac:dyDescent="0.2">
      <c r="A76" t="s">
        <v>201</v>
      </c>
      <c r="B76" t="s">
        <v>202</v>
      </c>
      <c r="C76" t="s">
        <v>202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21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</v>
      </c>
      <c r="AE76">
        <v>348</v>
      </c>
      <c r="AF76">
        <v>78.108108108108112</v>
      </c>
      <c r="AG76">
        <v>78.108108108108112</v>
      </c>
      <c r="AH76">
        <f>34.7147147147147*1</f>
        <v>34.714714714714702</v>
      </c>
      <c r="AI76">
        <f>1.12711495319237*1</f>
        <v>1.1271149531923701</v>
      </c>
      <c r="AJ76">
        <v>1</v>
      </c>
      <c r="AK76">
        <v>0</v>
      </c>
      <c r="AL76">
        <v>0</v>
      </c>
    </row>
    <row r="77" spans="1:38" hidden="1" x14ac:dyDescent="0.2">
      <c r="A77" t="s">
        <v>203</v>
      </c>
      <c r="B77" t="s">
        <v>204</v>
      </c>
      <c r="C77" t="s">
        <v>204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349</v>
      </c>
      <c r="AF77">
        <v>80.86486486486487</v>
      </c>
      <c r="AG77">
        <v>80.86486486486487</v>
      </c>
      <c r="AH77">
        <f>35.9399399399399*1</f>
        <v>35.939939939939897</v>
      </c>
      <c r="AI77">
        <f>0.998317683750068*1</f>
        <v>0.99831768375006802</v>
      </c>
      <c r="AJ77">
        <v>1</v>
      </c>
      <c r="AK77">
        <v>0</v>
      </c>
      <c r="AL77">
        <v>0</v>
      </c>
    </row>
    <row r="78" spans="1:38" hidden="1" x14ac:dyDescent="0.2">
      <c r="A78" t="s">
        <v>205</v>
      </c>
      <c r="B78" t="s">
        <v>206</v>
      </c>
      <c r="C78" t="s">
        <v>206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21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4.5</v>
      </c>
      <c r="AE78">
        <v>352</v>
      </c>
      <c r="AF78">
        <v>76.270270270270274</v>
      </c>
      <c r="AG78">
        <v>76.270270270270274</v>
      </c>
      <c r="AH78">
        <f>33.8978978978979*1</f>
        <v>33.897897897897899</v>
      </c>
      <c r="AI78">
        <f>1.13496510313091*1</f>
        <v>1.13496510313091</v>
      </c>
      <c r="AJ78">
        <v>1</v>
      </c>
      <c r="AK78">
        <v>0</v>
      </c>
      <c r="AL78">
        <v>0</v>
      </c>
    </row>
    <row r="79" spans="1:38" hidden="1" x14ac:dyDescent="0.2">
      <c r="A79" t="s">
        <v>207</v>
      </c>
      <c r="B79" t="s">
        <v>208</v>
      </c>
      <c r="C79" t="s">
        <v>208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6.5</v>
      </c>
      <c r="AE79">
        <v>354</v>
      </c>
      <c r="AF79">
        <v>135.08108108108109</v>
      </c>
      <c r="AG79">
        <v>135.08108108108109</v>
      </c>
      <c r="AH79">
        <f>60.036036036036*1</f>
        <v>60.036036036036002</v>
      </c>
      <c r="AI79">
        <f>1.51015256470973*1</f>
        <v>1.51015256470973</v>
      </c>
      <c r="AJ79">
        <v>1</v>
      </c>
      <c r="AK79">
        <v>0</v>
      </c>
      <c r="AL79">
        <v>0</v>
      </c>
    </row>
    <row r="80" spans="1:38" hidden="1" x14ac:dyDescent="0.2">
      <c r="A80" t="s">
        <v>209</v>
      </c>
      <c r="B80" t="s">
        <v>210</v>
      </c>
      <c r="C80" t="s">
        <v>210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5.9</v>
      </c>
      <c r="AE80">
        <v>355</v>
      </c>
      <c r="AF80">
        <v>110.2702702702703</v>
      </c>
      <c r="AG80">
        <v>110.2702702702703</v>
      </c>
      <c r="AH80">
        <f>49.009009009009*1</f>
        <v>49.009009009008999</v>
      </c>
      <c r="AI80">
        <f>1.41057220788185*1</f>
        <v>1.4105722078818499</v>
      </c>
      <c r="AJ80">
        <v>1</v>
      </c>
      <c r="AK80">
        <v>0</v>
      </c>
      <c r="AL80">
        <v>0</v>
      </c>
    </row>
    <row r="81" spans="1:38" hidden="1" x14ac:dyDescent="0.2">
      <c r="A81" t="s">
        <v>211</v>
      </c>
      <c r="B81" t="s">
        <v>212</v>
      </c>
      <c r="C81" t="s">
        <v>211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5.3</v>
      </c>
      <c r="AE81">
        <v>357</v>
      </c>
      <c r="AF81">
        <v>83.621621621621628</v>
      </c>
      <c r="AG81">
        <v>83.621621621621628</v>
      </c>
      <c r="AH81">
        <f>37.1651651651651*1</f>
        <v>37.165165165165099</v>
      </c>
      <c r="AI81">
        <f>1.4417846688276*1</f>
        <v>1.4417846688275999</v>
      </c>
      <c r="AJ81">
        <v>1</v>
      </c>
      <c r="AK81">
        <v>0</v>
      </c>
      <c r="AL81">
        <v>0</v>
      </c>
    </row>
    <row r="82" spans="1:38" hidden="1" x14ac:dyDescent="0.2">
      <c r="A82" t="s">
        <v>213</v>
      </c>
      <c r="B82" t="s">
        <v>214</v>
      </c>
      <c r="C82" t="s">
        <v>214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5.4</v>
      </c>
      <c r="AE82">
        <v>359</v>
      </c>
      <c r="AF82">
        <v>99.243243243243242</v>
      </c>
      <c r="AG82">
        <v>99.243243243243242</v>
      </c>
      <c r="AH82">
        <f>44.1081081081081*1</f>
        <v>44.108108108108098</v>
      </c>
      <c r="AI82">
        <f>1.13240185433984*1</f>
        <v>1.13240185433984</v>
      </c>
      <c r="AJ82">
        <v>1</v>
      </c>
      <c r="AK82">
        <v>0</v>
      </c>
      <c r="AL82">
        <v>0</v>
      </c>
    </row>
    <row r="83" spans="1:38" hidden="1" x14ac:dyDescent="0.2">
      <c r="A83" t="s">
        <v>215</v>
      </c>
      <c r="B83" t="s">
        <v>216</v>
      </c>
      <c r="C83" t="s">
        <v>216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</v>
      </c>
      <c r="AE83">
        <v>360</v>
      </c>
      <c r="AF83">
        <v>63.405405405405403</v>
      </c>
      <c r="AG83">
        <v>63.405405405405403</v>
      </c>
      <c r="AH83">
        <f>28.1801801801801*1</f>
        <v>28.180180180180098</v>
      </c>
      <c r="AI83">
        <f>0.930480964008051*1</f>
        <v>0.93048096400805103</v>
      </c>
      <c r="AJ83">
        <v>1</v>
      </c>
      <c r="AK83">
        <v>0</v>
      </c>
      <c r="AL83">
        <v>0</v>
      </c>
    </row>
    <row r="84" spans="1:38" hidden="1" x14ac:dyDescent="0.2">
      <c r="A84" t="s">
        <v>217</v>
      </c>
      <c r="B84" t="s">
        <v>218</v>
      </c>
      <c r="C84" t="s">
        <v>218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4.9000000000000004</v>
      </c>
      <c r="AE84">
        <v>361</v>
      </c>
      <c r="AF84">
        <v>42.270270270270267</v>
      </c>
      <c r="AG84">
        <v>42.270270270270267</v>
      </c>
      <c r="AH84">
        <f>18.7867867867867*1</f>
        <v>18.786786786786699</v>
      </c>
      <c r="AI84">
        <f>0.788535418834736*1</f>
        <v>0.78853541883473599</v>
      </c>
      <c r="AJ84">
        <v>1</v>
      </c>
      <c r="AK84">
        <v>0</v>
      </c>
      <c r="AL84">
        <v>0</v>
      </c>
    </row>
    <row r="85" spans="1:38" hidden="1" x14ac:dyDescent="0.2">
      <c r="A85" t="s">
        <v>219</v>
      </c>
      <c r="B85" t="s">
        <v>220</v>
      </c>
      <c r="C85" t="s">
        <v>220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</v>
      </c>
      <c r="AE85">
        <v>362</v>
      </c>
      <c r="AF85">
        <v>68</v>
      </c>
      <c r="AG85">
        <v>68</v>
      </c>
      <c r="AH85">
        <f>30.2222222222222*1</f>
        <v>30.2222222222222</v>
      </c>
      <c r="AI85">
        <f>0.80035452637709*1</f>
        <v>0.80035452637709004</v>
      </c>
      <c r="AJ85">
        <v>1</v>
      </c>
      <c r="AK85">
        <v>0</v>
      </c>
      <c r="AL85">
        <v>0</v>
      </c>
    </row>
    <row r="86" spans="1:38" hidden="1" x14ac:dyDescent="0.2">
      <c r="A86" t="s">
        <v>221</v>
      </c>
      <c r="B86" t="s">
        <v>222</v>
      </c>
      <c r="C86" t="s">
        <v>223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5.5</v>
      </c>
      <c r="AE86">
        <v>368</v>
      </c>
      <c r="AF86">
        <v>90.972972972972983</v>
      </c>
      <c r="AG86">
        <v>90.972972972972983</v>
      </c>
      <c r="AH86">
        <f>40.4324324324324*1</f>
        <v>40.4324324324324</v>
      </c>
      <c r="AI86">
        <f>1.16808796252681*1</f>
        <v>1.1680879625268099</v>
      </c>
      <c r="AJ86">
        <v>1</v>
      </c>
      <c r="AK86">
        <v>0</v>
      </c>
      <c r="AL86">
        <v>0</v>
      </c>
    </row>
    <row r="87" spans="1:38" hidden="1" x14ac:dyDescent="0.2">
      <c r="A87" t="s">
        <v>132</v>
      </c>
      <c r="B87" t="s">
        <v>224</v>
      </c>
      <c r="C87" t="s">
        <v>224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5.3</v>
      </c>
      <c r="AE87">
        <v>386</v>
      </c>
      <c r="AF87">
        <v>78.108108108108112</v>
      </c>
      <c r="AG87">
        <v>78.108108108108112</v>
      </c>
      <c r="AH87">
        <f>34.7147147147147*1</f>
        <v>34.714714714714702</v>
      </c>
      <c r="AI87">
        <f>1.25847534285835*1</f>
        <v>1.2584753428583499</v>
      </c>
      <c r="AJ87">
        <v>1</v>
      </c>
      <c r="AK87">
        <v>0</v>
      </c>
      <c r="AL87">
        <v>0</v>
      </c>
    </row>
    <row r="88" spans="1:38" hidden="1" x14ac:dyDescent="0.2">
      <c r="A88" t="s">
        <v>225</v>
      </c>
      <c r="B88" t="s">
        <v>226</v>
      </c>
      <c r="C88" t="s">
        <v>226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4.9000000000000004</v>
      </c>
      <c r="AE88">
        <v>400</v>
      </c>
      <c r="AF88">
        <v>60.648648648648653</v>
      </c>
      <c r="AG88">
        <v>60.648648648648653</v>
      </c>
      <c r="AH88">
        <f>26.9549549549549*1</f>
        <v>26.9549549549549</v>
      </c>
      <c r="AI88">
        <f>1.02547356596368*1</f>
        <v>1.02547356596368</v>
      </c>
      <c r="AJ88">
        <v>1</v>
      </c>
      <c r="AK88">
        <v>0</v>
      </c>
      <c r="AL88">
        <v>0</v>
      </c>
    </row>
    <row r="89" spans="1:38" hidden="1" x14ac:dyDescent="0.2">
      <c r="A89" t="s">
        <v>227</v>
      </c>
      <c r="B89" t="s">
        <v>228</v>
      </c>
      <c r="C89" t="s">
        <v>228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5.5</v>
      </c>
      <c r="AE89">
        <v>403</v>
      </c>
      <c r="AF89">
        <v>96.486486486486484</v>
      </c>
      <c r="AG89">
        <v>96.486486486486484</v>
      </c>
      <c r="AH89">
        <f>42.8828828828828*1</f>
        <v>42.882882882882797</v>
      </c>
      <c r="AI89">
        <f>1.45614436114846*1</f>
        <v>1.4561443611484599</v>
      </c>
      <c r="AJ89">
        <v>1</v>
      </c>
      <c r="AK89">
        <v>0</v>
      </c>
      <c r="AL89">
        <v>0</v>
      </c>
    </row>
    <row r="90" spans="1:38" hidden="1" x14ac:dyDescent="0.2">
      <c r="A90" t="s">
        <v>188</v>
      </c>
      <c r="B90" t="s">
        <v>95</v>
      </c>
      <c r="C90" t="s">
        <v>95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</v>
      </c>
      <c r="AE90">
        <v>405</v>
      </c>
      <c r="AF90">
        <v>65.243243243243242</v>
      </c>
      <c r="AG90">
        <v>65.243243243243242</v>
      </c>
      <c r="AH90">
        <f>28.9969969969969*1</f>
        <v>28.996996996996899</v>
      </c>
      <c r="AI90">
        <f>1.16077879313522*1</f>
        <v>1.16077879313522</v>
      </c>
      <c r="AJ90">
        <v>1</v>
      </c>
      <c r="AK90">
        <v>0</v>
      </c>
      <c r="AL90">
        <v>0</v>
      </c>
    </row>
    <row r="91" spans="1:38" hidden="1" x14ac:dyDescent="0.2">
      <c r="A91" t="s">
        <v>229</v>
      </c>
      <c r="B91" t="s">
        <v>230</v>
      </c>
      <c r="C91" t="s">
        <v>230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</v>
      </c>
      <c r="AE91">
        <v>411</v>
      </c>
      <c r="AF91">
        <v>123.1351351351351</v>
      </c>
      <c r="AG91">
        <v>123.1351351351351</v>
      </c>
      <c r="AH91">
        <f>54.7267267267267*1</f>
        <v>54.726726726726703</v>
      </c>
      <c r="AI91">
        <f>1.30181852564139*1</f>
        <v>1.3018185256413899</v>
      </c>
      <c r="AJ91">
        <v>1</v>
      </c>
      <c r="AK91">
        <v>0</v>
      </c>
      <c r="AL91">
        <v>0</v>
      </c>
    </row>
    <row r="92" spans="1:38" hidden="1" x14ac:dyDescent="0.2">
      <c r="A92" t="s">
        <v>231</v>
      </c>
      <c r="B92" t="s">
        <v>232</v>
      </c>
      <c r="C92" t="s">
        <v>232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23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5.9</v>
      </c>
      <c r="AE92">
        <v>412</v>
      </c>
      <c r="AF92">
        <v>104.7567567567568</v>
      </c>
      <c r="AG92">
        <v>104.7567567567568</v>
      </c>
      <c r="AH92">
        <f>46.5585585585585*1</f>
        <v>46.558558558558502</v>
      </c>
      <c r="AI92">
        <f>1.0594993441702*1</f>
        <v>1.0594993441702001</v>
      </c>
      <c r="AJ92">
        <v>1</v>
      </c>
      <c r="AK92">
        <v>0</v>
      </c>
      <c r="AL92">
        <v>0</v>
      </c>
    </row>
    <row r="93" spans="1:38" hidden="1" x14ac:dyDescent="0.2">
      <c r="A93" t="s">
        <v>233</v>
      </c>
      <c r="B93" t="s">
        <v>234</v>
      </c>
      <c r="C93" t="s">
        <v>233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6.1</v>
      </c>
      <c r="AE93">
        <v>413</v>
      </c>
      <c r="AF93">
        <v>134.16216216216219</v>
      </c>
      <c r="AG93">
        <v>134.16216216216219</v>
      </c>
      <c r="AH93">
        <f>59.6276276276276*1</f>
        <v>59.627627627627596</v>
      </c>
      <c r="AI93">
        <f>1.78597923880688*1</f>
        <v>1.78597923880688</v>
      </c>
      <c r="AJ93">
        <v>1</v>
      </c>
      <c r="AK93">
        <v>0</v>
      </c>
      <c r="AL93">
        <v>0</v>
      </c>
    </row>
    <row r="94" spans="1:38" hidden="1" x14ac:dyDescent="0.2">
      <c r="A94" t="s">
        <v>235</v>
      </c>
      <c r="B94" t="s">
        <v>236</v>
      </c>
      <c r="C94" t="s">
        <v>236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5.5</v>
      </c>
      <c r="AE94">
        <v>414</v>
      </c>
      <c r="AF94">
        <v>118.5405405405405</v>
      </c>
      <c r="AG94">
        <v>118.5405405405405</v>
      </c>
      <c r="AH94">
        <f>52.6846846846846*1</f>
        <v>52.684684684684598</v>
      </c>
      <c r="AI94">
        <f>1.31181616330173*1</f>
        <v>1.31181616330173</v>
      </c>
      <c r="AJ94">
        <v>1</v>
      </c>
      <c r="AK94">
        <v>0</v>
      </c>
      <c r="AL94">
        <v>0</v>
      </c>
    </row>
    <row r="95" spans="1:38" x14ac:dyDescent="0.2">
      <c r="A95" t="s">
        <v>286</v>
      </c>
      <c r="B95" t="s">
        <v>309</v>
      </c>
      <c r="C95" t="s">
        <v>310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6.3</v>
      </c>
      <c r="AE95">
        <v>535</v>
      </c>
      <c r="AF95">
        <v>150.70270270270271</v>
      </c>
      <c r="AG95">
        <v>150.70270270270271</v>
      </c>
      <c r="AH95">
        <f>66.9789789789789*1</f>
        <v>66.978978978978901</v>
      </c>
      <c r="AI95">
        <f>1.85081192169239*1</f>
        <v>1.8508119216923899</v>
      </c>
      <c r="AJ95">
        <v>1</v>
      </c>
      <c r="AK95">
        <v>1</v>
      </c>
      <c r="AL95">
        <v>1</v>
      </c>
    </row>
    <row r="96" spans="1:38" hidden="1" x14ac:dyDescent="0.2">
      <c r="A96" t="s">
        <v>240</v>
      </c>
      <c r="B96" t="s">
        <v>241</v>
      </c>
      <c r="C96" t="s">
        <v>241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7.7</v>
      </c>
      <c r="AE96">
        <v>424</v>
      </c>
      <c r="AF96">
        <v>133.2432432432432</v>
      </c>
      <c r="AG96">
        <v>133.2432432432432</v>
      </c>
      <c r="AH96">
        <f>59.2192192192192*1</f>
        <v>59.219219219219198</v>
      </c>
      <c r="AI96">
        <f>1.50636400756577*1</f>
        <v>1.50636400756577</v>
      </c>
      <c r="AJ96">
        <v>1</v>
      </c>
      <c r="AK96">
        <v>0</v>
      </c>
      <c r="AL96">
        <v>0</v>
      </c>
    </row>
    <row r="97" spans="1:38" hidden="1" x14ac:dyDescent="0.2">
      <c r="A97" t="s">
        <v>242</v>
      </c>
      <c r="B97" t="s">
        <v>243</v>
      </c>
      <c r="C97" t="s">
        <v>243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6.4</v>
      </c>
      <c r="AE97">
        <v>426</v>
      </c>
      <c r="AF97">
        <v>124.972972972973</v>
      </c>
      <c r="AG97">
        <v>124.972972972973</v>
      </c>
      <c r="AH97">
        <f>55.5435435435435*1</f>
        <v>55.5435435435435</v>
      </c>
      <c r="AI97">
        <f>1.22630181687497*1</f>
        <v>1.22630181687497</v>
      </c>
      <c r="AJ97">
        <v>1</v>
      </c>
      <c r="AK97">
        <v>0</v>
      </c>
      <c r="AL97">
        <v>0</v>
      </c>
    </row>
    <row r="98" spans="1:38" hidden="1" x14ac:dyDescent="0.2">
      <c r="A98" t="s">
        <v>244</v>
      </c>
      <c r="B98" t="s">
        <v>245</v>
      </c>
      <c r="C98" t="s">
        <v>245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6.5</v>
      </c>
      <c r="AE98">
        <v>427</v>
      </c>
      <c r="AF98">
        <v>138.75675675675669</v>
      </c>
      <c r="AG98">
        <v>138.75675675675669</v>
      </c>
      <c r="AH98">
        <f>61.6696696696696*1</f>
        <v>61.669669669669602</v>
      </c>
      <c r="AI98">
        <f>1.55136084336881*1</f>
        <v>1.55136084336881</v>
      </c>
      <c r="AJ98">
        <v>1</v>
      </c>
      <c r="AK98">
        <v>0</v>
      </c>
      <c r="AL98">
        <v>0</v>
      </c>
    </row>
    <row r="99" spans="1:38" hidden="1" x14ac:dyDescent="0.2">
      <c r="A99" t="s">
        <v>246</v>
      </c>
      <c r="B99" t="s">
        <v>247</v>
      </c>
      <c r="C99" t="s">
        <v>248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5.4</v>
      </c>
      <c r="AE99">
        <v>428</v>
      </c>
      <c r="AF99">
        <v>84.540540540540533</v>
      </c>
      <c r="AG99">
        <v>84.540540540540533</v>
      </c>
      <c r="AH99">
        <f>37.5735735735735*1</f>
        <v>37.573573573573498</v>
      </c>
      <c r="AI99">
        <f>0.980250761454592*1</f>
        <v>0.980250761454592</v>
      </c>
      <c r="AJ99">
        <v>1</v>
      </c>
      <c r="AK99">
        <v>0</v>
      </c>
      <c r="AL99">
        <v>0</v>
      </c>
    </row>
    <row r="100" spans="1:38" hidden="1" x14ac:dyDescent="0.2">
      <c r="A100" t="s">
        <v>105</v>
      </c>
      <c r="B100" t="s">
        <v>249</v>
      </c>
      <c r="C100" t="s">
        <v>249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5.5</v>
      </c>
      <c r="AE100">
        <v>429</v>
      </c>
      <c r="AF100">
        <v>89.13513513513513</v>
      </c>
      <c r="AG100">
        <v>89.13513513513513</v>
      </c>
      <c r="AH100">
        <f>39.6156156156156*1</f>
        <v>39.615615615615603</v>
      </c>
      <c r="AI100">
        <f>1.29556749433696*1</f>
        <v>1.2955674943369599</v>
      </c>
      <c r="AJ100">
        <v>1</v>
      </c>
      <c r="AK100">
        <v>0</v>
      </c>
      <c r="AL100">
        <v>0</v>
      </c>
    </row>
    <row r="101" spans="1:38" hidden="1" x14ac:dyDescent="0.2">
      <c r="A101" t="s">
        <v>250</v>
      </c>
      <c r="B101" t="s">
        <v>251</v>
      </c>
      <c r="C101" t="s">
        <v>250</v>
      </c>
      <c r="D101" t="s">
        <v>6</v>
      </c>
      <c r="E101">
        <v>0</v>
      </c>
      <c r="F101">
        <v>0</v>
      </c>
      <c r="G101">
        <v>0</v>
      </c>
      <c r="H101">
        <v>1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6.5</v>
      </c>
      <c r="AE101">
        <v>435</v>
      </c>
      <c r="AF101">
        <v>77.189189189189193</v>
      </c>
      <c r="AG101">
        <v>77.189189189189193</v>
      </c>
      <c r="AH101">
        <f>34.3063063063063*1</f>
        <v>34.306306306306297</v>
      </c>
      <c r="AI101">
        <f>1.18639856715895*1</f>
        <v>1.1863985671589501</v>
      </c>
      <c r="AJ101">
        <v>1</v>
      </c>
      <c r="AK101">
        <v>0</v>
      </c>
      <c r="AL101">
        <v>0</v>
      </c>
    </row>
    <row r="102" spans="1:38" hidden="1" x14ac:dyDescent="0.2">
      <c r="A102" t="s">
        <v>252</v>
      </c>
      <c r="B102" t="s">
        <v>253</v>
      </c>
      <c r="C102" t="s">
        <v>253</v>
      </c>
      <c r="D102" t="s">
        <v>6</v>
      </c>
      <c r="E102">
        <v>0</v>
      </c>
      <c r="F102">
        <v>0</v>
      </c>
      <c r="G102">
        <v>0</v>
      </c>
      <c r="H102">
        <v>1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10.4</v>
      </c>
      <c r="AE102">
        <v>437</v>
      </c>
      <c r="AF102">
        <v>222.37837837837839</v>
      </c>
      <c r="AG102">
        <v>222.37837837837839</v>
      </c>
      <c r="AH102">
        <f>98.8348348348348*1</f>
        <v>98.834834834834794</v>
      </c>
      <c r="AI102">
        <f>2.54067382951383*1</f>
        <v>2.54067382951383</v>
      </c>
      <c r="AJ102">
        <v>1</v>
      </c>
      <c r="AK102">
        <v>0</v>
      </c>
      <c r="AL102">
        <v>0</v>
      </c>
    </row>
    <row r="103" spans="1:38" hidden="1" x14ac:dyDescent="0.2">
      <c r="A103" t="s">
        <v>254</v>
      </c>
      <c r="B103" t="s">
        <v>255</v>
      </c>
      <c r="C103" t="s">
        <v>255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5.9</v>
      </c>
      <c r="AE103">
        <v>445</v>
      </c>
      <c r="AF103">
        <v>120.3783783783784</v>
      </c>
      <c r="AG103">
        <v>120.3783783783784</v>
      </c>
      <c r="AH103">
        <f>53.5015015015015*1</f>
        <v>53.501501501501501</v>
      </c>
      <c r="AI103">
        <f>1.16871561743427*1</f>
        <v>1.1687156174342701</v>
      </c>
      <c r="AJ103">
        <v>1</v>
      </c>
      <c r="AK103">
        <v>0</v>
      </c>
      <c r="AL103">
        <v>0</v>
      </c>
    </row>
    <row r="104" spans="1:38" x14ac:dyDescent="0.2">
      <c r="A104" t="s">
        <v>61</v>
      </c>
      <c r="B104" t="s">
        <v>62</v>
      </c>
      <c r="C104" t="s">
        <v>62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12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7.5</v>
      </c>
      <c r="AE104">
        <v>29</v>
      </c>
      <c r="AF104">
        <v>161.72972972972971</v>
      </c>
      <c r="AG104">
        <v>161.72972972972971</v>
      </c>
      <c r="AH104">
        <f>71.8798798798798*1</f>
        <v>71.879879879879795</v>
      </c>
      <c r="AI104">
        <f>1.78482846554349*1</f>
        <v>1.7848284655434901</v>
      </c>
      <c r="AJ104">
        <v>1</v>
      </c>
      <c r="AK104">
        <v>1</v>
      </c>
      <c r="AL104">
        <v>1</v>
      </c>
    </row>
    <row r="105" spans="1:38" hidden="1" x14ac:dyDescent="0.2">
      <c r="A105" t="s">
        <v>258</v>
      </c>
      <c r="B105" t="s">
        <v>107</v>
      </c>
      <c r="C105" t="s">
        <v>107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</v>
      </c>
      <c r="AE105">
        <v>453</v>
      </c>
      <c r="AF105">
        <v>90.972972972972983</v>
      </c>
      <c r="AG105">
        <v>90.972972972972983</v>
      </c>
      <c r="AH105">
        <f>40.4324324324324*1</f>
        <v>40.4324324324324</v>
      </c>
      <c r="AI105">
        <f>1.1666016438231*1</f>
        <v>1.1666016438230999</v>
      </c>
      <c r="AJ105">
        <v>1</v>
      </c>
      <c r="AK105">
        <v>0</v>
      </c>
      <c r="AL105">
        <v>0</v>
      </c>
    </row>
    <row r="106" spans="1:38" hidden="1" x14ac:dyDescent="0.2">
      <c r="A106" t="s">
        <v>259</v>
      </c>
      <c r="B106" t="s">
        <v>260</v>
      </c>
      <c r="C106" t="s">
        <v>260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8</v>
      </c>
      <c r="AE106">
        <v>457</v>
      </c>
      <c r="AF106">
        <v>166.32432432432429</v>
      </c>
      <c r="AG106">
        <v>166.32432432432429</v>
      </c>
      <c r="AH106">
        <f>73.9219219219219*1</f>
        <v>73.921921921921907</v>
      </c>
      <c r="AI106">
        <f>2.77434699376158*1</f>
        <v>2.7743469937615801</v>
      </c>
      <c r="AJ106">
        <v>1</v>
      </c>
      <c r="AK106">
        <v>0</v>
      </c>
      <c r="AL106">
        <v>0</v>
      </c>
    </row>
    <row r="107" spans="1:38" hidden="1" x14ac:dyDescent="0.2">
      <c r="A107" t="s">
        <v>261</v>
      </c>
      <c r="B107" t="s">
        <v>262</v>
      </c>
      <c r="C107" t="s">
        <v>262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6.4</v>
      </c>
      <c r="AE107">
        <v>461</v>
      </c>
      <c r="AF107">
        <v>104.7567567567568</v>
      </c>
      <c r="AG107">
        <v>104.7567567567568</v>
      </c>
      <c r="AH107">
        <f>46.5585585585585*1</f>
        <v>46.558558558558502</v>
      </c>
      <c r="AI107">
        <f>1.53355082772469*1</f>
        <v>1.5335508277246901</v>
      </c>
      <c r="AJ107">
        <v>1</v>
      </c>
      <c r="AK107">
        <v>0</v>
      </c>
      <c r="AL107">
        <v>0</v>
      </c>
    </row>
    <row r="108" spans="1:38" hidden="1" x14ac:dyDescent="0.2">
      <c r="A108" t="s">
        <v>263</v>
      </c>
      <c r="B108" t="s">
        <v>264</v>
      </c>
      <c r="C108" t="s">
        <v>264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</v>
      </c>
      <c r="AE108">
        <v>464</v>
      </c>
      <c r="AF108">
        <v>112.1081081081081</v>
      </c>
      <c r="AG108">
        <v>112.1081081081081</v>
      </c>
      <c r="AH108">
        <f>49.8258258258258*1</f>
        <v>49.825825825825802</v>
      </c>
      <c r="AI108">
        <f>1.29813088739289*1</f>
        <v>1.2981308873928901</v>
      </c>
      <c r="AJ108">
        <v>1</v>
      </c>
      <c r="AK108">
        <v>0</v>
      </c>
      <c r="AL108">
        <v>0</v>
      </c>
    </row>
    <row r="109" spans="1:38" hidden="1" x14ac:dyDescent="0.2">
      <c r="A109" t="s">
        <v>265</v>
      </c>
      <c r="B109" t="s">
        <v>266</v>
      </c>
      <c r="C109" t="s">
        <v>266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14.1</v>
      </c>
      <c r="AE109">
        <v>471</v>
      </c>
      <c r="AF109">
        <v>214.1081081081081</v>
      </c>
      <c r="AG109">
        <v>214.1081081081081</v>
      </c>
      <c r="AH109">
        <f>95.1591591591591*1</f>
        <v>95.159159159159103</v>
      </c>
      <c r="AI109">
        <f>3.48019570414212*1</f>
        <v>3.4801957041421199</v>
      </c>
      <c r="AJ109">
        <v>1</v>
      </c>
      <c r="AK109">
        <v>0</v>
      </c>
      <c r="AL109">
        <v>0</v>
      </c>
    </row>
    <row r="110" spans="1:38" x14ac:dyDescent="0.2">
      <c r="A110" t="s">
        <v>171</v>
      </c>
      <c r="B110" t="s">
        <v>338</v>
      </c>
      <c r="C110" t="s">
        <v>338</v>
      </c>
      <c r="D110" t="s">
        <v>6</v>
      </c>
      <c r="E110">
        <v>0</v>
      </c>
      <c r="F110">
        <v>0</v>
      </c>
      <c r="G110">
        <v>0</v>
      </c>
      <c r="H110">
        <v>1</v>
      </c>
      <c r="I110" t="s">
        <v>27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7.6</v>
      </c>
      <c r="AE110">
        <v>575</v>
      </c>
      <c r="AF110">
        <v>182.86486486486481</v>
      </c>
      <c r="AG110">
        <v>182.86486486486481</v>
      </c>
      <c r="AH110">
        <f>81.2732732732732*1</f>
        <v>81.273273273273205</v>
      </c>
      <c r="AI110">
        <f>1.62383329785623*1</f>
        <v>1.62383329785623</v>
      </c>
      <c r="AJ110">
        <v>1</v>
      </c>
      <c r="AK110">
        <v>1</v>
      </c>
      <c r="AL110">
        <v>1</v>
      </c>
    </row>
    <row r="111" spans="1:38" hidden="1" x14ac:dyDescent="0.2">
      <c r="A111" t="s">
        <v>269</v>
      </c>
      <c r="B111" t="s">
        <v>84</v>
      </c>
      <c r="C111" t="s">
        <v>84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25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4.9000000000000004</v>
      </c>
      <c r="AE111">
        <v>477</v>
      </c>
      <c r="AF111">
        <v>120.3783783783784</v>
      </c>
      <c r="AG111">
        <v>120.3783783783784</v>
      </c>
      <c r="AH111">
        <f>53.5015015015015*1</f>
        <v>53.501501501501501</v>
      </c>
      <c r="AI111">
        <f>1.51350567206638*1</f>
        <v>1.51350567206638</v>
      </c>
      <c r="AJ111">
        <v>1</v>
      </c>
      <c r="AK111">
        <v>0</v>
      </c>
      <c r="AL111">
        <v>0</v>
      </c>
    </row>
    <row r="112" spans="1:38" hidden="1" x14ac:dyDescent="0.2">
      <c r="A112" t="s">
        <v>270</v>
      </c>
      <c r="B112" t="s">
        <v>271</v>
      </c>
      <c r="C112" t="s">
        <v>272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4.5</v>
      </c>
      <c r="AE112">
        <v>485</v>
      </c>
      <c r="AF112">
        <v>106.5945945945946</v>
      </c>
      <c r="AG112">
        <v>106.5945945945946</v>
      </c>
      <c r="AH112">
        <f>47.3753753753753*0</f>
        <v>0</v>
      </c>
      <c r="AI112">
        <f>1.38550827565169*0</f>
        <v>0</v>
      </c>
      <c r="AJ112">
        <v>0</v>
      </c>
      <c r="AK112">
        <v>0</v>
      </c>
      <c r="AL112">
        <v>0</v>
      </c>
    </row>
    <row r="113" spans="1:38" hidden="1" x14ac:dyDescent="0.2">
      <c r="A113" t="s">
        <v>213</v>
      </c>
      <c r="B113" t="s">
        <v>273</v>
      </c>
      <c r="C113" t="s">
        <v>273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4.4000000000000004</v>
      </c>
      <c r="AE113">
        <v>487</v>
      </c>
      <c r="AF113">
        <v>68</v>
      </c>
      <c r="AG113">
        <v>68</v>
      </c>
      <c r="AH113">
        <f>30.2222222222222*1</f>
        <v>30.2222222222222</v>
      </c>
      <c r="AI113">
        <f>1.23507974841284*1</f>
        <v>1.23507974841284</v>
      </c>
      <c r="AJ113">
        <v>1</v>
      </c>
      <c r="AK113">
        <v>0</v>
      </c>
      <c r="AL113">
        <v>0</v>
      </c>
    </row>
    <row r="114" spans="1:38" hidden="1" x14ac:dyDescent="0.2">
      <c r="A114" t="s">
        <v>274</v>
      </c>
      <c r="B114" t="s">
        <v>275</v>
      </c>
      <c r="C114" t="s">
        <v>276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9</v>
      </c>
      <c r="AE114">
        <v>494</v>
      </c>
      <c r="AF114">
        <v>168.16216216216219</v>
      </c>
      <c r="AG114">
        <v>168.16216216216219</v>
      </c>
      <c r="AH114">
        <f>74.7387387387387*1</f>
        <v>74.738738738738704</v>
      </c>
      <c r="AI114">
        <f>1.99662406720487*1</f>
        <v>1.9966240672048701</v>
      </c>
      <c r="AJ114">
        <v>1</v>
      </c>
      <c r="AK114">
        <v>0</v>
      </c>
      <c r="AL114">
        <v>0</v>
      </c>
    </row>
    <row r="115" spans="1:38" hidden="1" x14ac:dyDescent="0.2">
      <c r="A115" t="s">
        <v>277</v>
      </c>
      <c r="B115" t="s">
        <v>278</v>
      </c>
      <c r="C115" t="s">
        <v>277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6.4</v>
      </c>
      <c r="AE115">
        <v>497</v>
      </c>
      <c r="AF115">
        <v>145.18918918918919</v>
      </c>
      <c r="AG115">
        <v>145.18918918918919</v>
      </c>
      <c r="AH115">
        <f>64.5285285285285*1</f>
        <v>64.528528528528497</v>
      </c>
      <c r="AI115">
        <f>1.87680588301888*1</f>
        <v>1.8768058830188801</v>
      </c>
      <c r="AJ115">
        <v>1</v>
      </c>
      <c r="AK115">
        <v>0</v>
      </c>
      <c r="AL115">
        <v>0</v>
      </c>
    </row>
    <row r="116" spans="1:38" hidden="1" x14ac:dyDescent="0.2">
      <c r="A116" t="s">
        <v>279</v>
      </c>
      <c r="B116" t="s">
        <v>280</v>
      </c>
      <c r="C116" t="s">
        <v>281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5.5</v>
      </c>
      <c r="AE116">
        <v>500</v>
      </c>
      <c r="AF116">
        <v>70.756756756756758</v>
      </c>
      <c r="AG116">
        <v>70.756756756756758</v>
      </c>
      <c r="AH116">
        <f>31.4474474474474*1</f>
        <v>31.447447447447399</v>
      </c>
      <c r="AI116">
        <f>1.04570498833519*1</f>
        <v>1.0457049883351901</v>
      </c>
      <c r="AJ116">
        <v>1</v>
      </c>
      <c r="AK116">
        <v>0</v>
      </c>
      <c r="AL116">
        <v>0</v>
      </c>
    </row>
    <row r="117" spans="1:38" hidden="1" x14ac:dyDescent="0.2">
      <c r="A117" t="s">
        <v>282</v>
      </c>
      <c r="B117" t="s">
        <v>283</v>
      </c>
      <c r="C117" t="s">
        <v>283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4.9000000000000004</v>
      </c>
      <c r="AE117">
        <v>501</v>
      </c>
      <c r="AF117">
        <v>79.027027027027017</v>
      </c>
      <c r="AG117">
        <v>79.027027027027017</v>
      </c>
      <c r="AH117">
        <f>35.1231231231231*1</f>
        <v>35.123123123123101</v>
      </c>
      <c r="AI117">
        <f>1.10509351553791*1</f>
        <v>1.10509351553791</v>
      </c>
      <c r="AJ117">
        <v>1</v>
      </c>
      <c r="AK117">
        <v>0</v>
      </c>
      <c r="AL117">
        <v>0</v>
      </c>
    </row>
    <row r="118" spans="1:38" hidden="1" x14ac:dyDescent="0.2">
      <c r="A118" t="s">
        <v>284</v>
      </c>
      <c r="B118" t="s">
        <v>285</v>
      </c>
      <c r="C118" t="s">
        <v>285</v>
      </c>
      <c r="D118" t="s">
        <v>6</v>
      </c>
      <c r="E118">
        <v>0</v>
      </c>
      <c r="F118">
        <v>0</v>
      </c>
      <c r="G118">
        <v>0</v>
      </c>
      <c r="H118">
        <v>1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6.3</v>
      </c>
      <c r="AE118">
        <v>508</v>
      </c>
      <c r="AF118">
        <v>93.729729729729726</v>
      </c>
      <c r="AG118">
        <v>93.729729729729726</v>
      </c>
      <c r="AH118">
        <f>41.6576576576576*1</f>
        <v>41.657657657657602</v>
      </c>
      <c r="AI118">
        <f>1.28547584214065*1</f>
        <v>1.28547584214065</v>
      </c>
      <c r="AJ118">
        <v>1</v>
      </c>
      <c r="AK118">
        <v>0</v>
      </c>
      <c r="AL118">
        <v>0</v>
      </c>
    </row>
    <row r="119" spans="1:38" hidden="1" x14ac:dyDescent="0.2">
      <c r="A119" t="s">
        <v>286</v>
      </c>
      <c r="B119" t="s">
        <v>287</v>
      </c>
      <c r="C119" t="s">
        <v>288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5.4</v>
      </c>
      <c r="AE119">
        <v>514</v>
      </c>
      <c r="AF119">
        <v>74.432432432432421</v>
      </c>
      <c r="AG119">
        <v>74.432432432432421</v>
      </c>
      <c r="AH119">
        <f>33.081081081081*1</f>
        <v>33.081081081081003</v>
      </c>
      <c r="AI119">
        <f>1.19617799547358*1</f>
        <v>1.1961779954735801</v>
      </c>
      <c r="AJ119">
        <v>1</v>
      </c>
      <c r="AK119">
        <v>0</v>
      </c>
      <c r="AL119">
        <v>0</v>
      </c>
    </row>
    <row r="120" spans="1:38" hidden="1" x14ac:dyDescent="0.2">
      <c r="A120" t="s">
        <v>289</v>
      </c>
      <c r="B120" t="s">
        <v>290</v>
      </c>
      <c r="C120" t="s">
        <v>290</v>
      </c>
      <c r="D120" t="s">
        <v>6</v>
      </c>
      <c r="E120">
        <v>0</v>
      </c>
      <c r="F120">
        <v>0</v>
      </c>
      <c r="G120">
        <v>0</v>
      </c>
      <c r="H120">
        <v>1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7.5</v>
      </c>
      <c r="AE120">
        <v>515</v>
      </c>
      <c r="AF120">
        <v>188.37837837837839</v>
      </c>
      <c r="AG120">
        <v>188.37837837837839</v>
      </c>
      <c r="AH120">
        <f>83.7237237237237*0.909090909090909</f>
        <v>76.112476112476074</v>
      </c>
      <c r="AI120">
        <f>2.0764657946795*0.909090909090909</f>
        <v>1.8876961769813636</v>
      </c>
      <c r="AJ120">
        <v>0.90909090909090906</v>
      </c>
      <c r="AK120">
        <v>0</v>
      </c>
      <c r="AL120">
        <v>0</v>
      </c>
    </row>
    <row r="121" spans="1:38" x14ac:dyDescent="0.2">
      <c r="A121" t="s">
        <v>145</v>
      </c>
      <c r="B121" t="s">
        <v>146</v>
      </c>
      <c r="C121" t="s">
        <v>146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18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5.0999999999999996</v>
      </c>
      <c r="AE121">
        <v>244</v>
      </c>
      <c r="AF121">
        <v>143.3513513513513</v>
      </c>
      <c r="AG121">
        <v>143.3513513513513</v>
      </c>
      <c r="AH121">
        <f>63.7117117117117*1</f>
        <v>63.7117117117117</v>
      </c>
      <c r="AI121">
        <f>1.58555011820481*1</f>
        <v>1.58555011820481</v>
      </c>
      <c r="AJ121">
        <v>1</v>
      </c>
      <c r="AK121">
        <v>1</v>
      </c>
      <c r="AL121">
        <v>1</v>
      </c>
    </row>
    <row r="122" spans="1:38" hidden="1" x14ac:dyDescent="0.2">
      <c r="A122" t="s">
        <v>107</v>
      </c>
      <c r="B122" t="s">
        <v>293</v>
      </c>
      <c r="C122" t="s">
        <v>293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5.4</v>
      </c>
      <c r="AE122">
        <v>519</v>
      </c>
      <c r="AF122">
        <v>122.2162162162162</v>
      </c>
      <c r="AG122">
        <v>122.2162162162162</v>
      </c>
      <c r="AH122">
        <f>54.3183183183183*1</f>
        <v>54.318318318318298</v>
      </c>
      <c r="AI122">
        <f>1.40621247399399*1</f>
        <v>1.4062124739939901</v>
      </c>
      <c r="AJ122">
        <v>1</v>
      </c>
      <c r="AK122">
        <v>0</v>
      </c>
      <c r="AL122">
        <v>0</v>
      </c>
    </row>
    <row r="123" spans="1:38" hidden="1" x14ac:dyDescent="0.2">
      <c r="A123" t="s">
        <v>294</v>
      </c>
      <c r="B123" t="s">
        <v>295</v>
      </c>
      <c r="C123" t="s">
        <v>295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5.5</v>
      </c>
      <c r="AE123">
        <v>520</v>
      </c>
      <c r="AF123">
        <v>127.7297297297297</v>
      </c>
      <c r="AG123">
        <v>127.7297297297297</v>
      </c>
      <c r="AH123">
        <f>56.7687687687687*1</f>
        <v>56.768768768768702</v>
      </c>
      <c r="AI123">
        <f>1.42119400418619*1</f>
        <v>1.4211940041861899</v>
      </c>
      <c r="AJ123">
        <v>1</v>
      </c>
      <c r="AK123">
        <v>0</v>
      </c>
      <c r="AL123">
        <v>0</v>
      </c>
    </row>
    <row r="124" spans="1:38" hidden="1" x14ac:dyDescent="0.2">
      <c r="A124" t="s">
        <v>296</v>
      </c>
      <c r="B124" t="s">
        <v>297</v>
      </c>
      <c r="C124" t="s">
        <v>297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</v>
      </c>
      <c r="AE124">
        <v>522</v>
      </c>
      <c r="AF124">
        <v>119.4594594594595</v>
      </c>
      <c r="AG124">
        <v>119.4594594594595</v>
      </c>
      <c r="AH124">
        <f>53.093093093093*1</f>
        <v>53.093093093093003</v>
      </c>
      <c r="AI124">
        <f>1.30710282230598*1</f>
        <v>1.30710282230598</v>
      </c>
      <c r="AJ124">
        <v>1</v>
      </c>
      <c r="AK124">
        <v>0</v>
      </c>
      <c r="AL124">
        <v>0</v>
      </c>
    </row>
    <row r="125" spans="1:38" hidden="1" x14ac:dyDescent="0.2">
      <c r="A125" t="s">
        <v>298</v>
      </c>
      <c r="B125" t="s">
        <v>299</v>
      </c>
      <c r="C125" t="s">
        <v>299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5.0999999999999996</v>
      </c>
      <c r="AE125">
        <v>523</v>
      </c>
      <c r="AF125">
        <v>108.43243243243241</v>
      </c>
      <c r="AG125">
        <v>108.43243243243241</v>
      </c>
      <c r="AH125">
        <f>48.1921921921921*1</f>
        <v>48.192192192192103</v>
      </c>
      <c r="AI125">
        <f>1.44563450710109*1</f>
        <v>1.4456345071010901</v>
      </c>
      <c r="AJ125">
        <v>1</v>
      </c>
      <c r="AK125">
        <v>0</v>
      </c>
      <c r="AL125">
        <v>0</v>
      </c>
    </row>
    <row r="126" spans="1:38" hidden="1" x14ac:dyDescent="0.2">
      <c r="A126" t="s">
        <v>300</v>
      </c>
      <c r="B126" t="s">
        <v>301</v>
      </c>
      <c r="C126" t="s">
        <v>301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</v>
      </c>
      <c r="AE126">
        <v>524</v>
      </c>
      <c r="AF126">
        <v>106.5945945945946</v>
      </c>
      <c r="AG126">
        <v>106.5945945945946</v>
      </c>
      <c r="AH126">
        <f>47.3753753753753*1</f>
        <v>47.375375375375299</v>
      </c>
      <c r="AI126">
        <f>2.06400060828092*1</f>
        <v>2.0640006082809199</v>
      </c>
      <c r="AJ126">
        <v>1</v>
      </c>
      <c r="AK126">
        <v>0</v>
      </c>
      <c r="AL126">
        <v>0</v>
      </c>
    </row>
    <row r="127" spans="1:38" hidden="1" x14ac:dyDescent="0.2">
      <c r="A127" t="s">
        <v>302</v>
      </c>
      <c r="B127" t="s">
        <v>303</v>
      </c>
      <c r="C127" t="s">
        <v>303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7.4</v>
      </c>
      <c r="AE127">
        <v>531</v>
      </c>
      <c r="AF127">
        <v>124.972972972973</v>
      </c>
      <c r="AG127">
        <v>124.972972972973</v>
      </c>
      <c r="AH127">
        <f>55.5435435435435*1</f>
        <v>55.5435435435435</v>
      </c>
      <c r="AI127">
        <f>1.005644975171*1</f>
        <v>1.0056449751709999</v>
      </c>
      <c r="AJ127">
        <v>1</v>
      </c>
      <c r="AK127">
        <v>0</v>
      </c>
      <c r="AL127">
        <v>0</v>
      </c>
    </row>
    <row r="128" spans="1:38" hidden="1" x14ac:dyDescent="0.2">
      <c r="A128" t="s">
        <v>302</v>
      </c>
      <c r="B128" t="s">
        <v>304</v>
      </c>
      <c r="C128" t="s">
        <v>304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7</v>
      </c>
      <c r="AE128">
        <v>532</v>
      </c>
      <c r="AF128">
        <v>137.83783783783781</v>
      </c>
      <c r="AG128">
        <v>137.83783783783781</v>
      </c>
      <c r="AH128">
        <f>61.2612612612612*1</f>
        <v>61.261261261261197</v>
      </c>
      <c r="AI128">
        <f>0.961294358109607*1</f>
        <v>0.96129435810960695</v>
      </c>
      <c r="AJ128">
        <v>1</v>
      </c>
      <c r="AK128">
        <v>0</v>
      </c>
      <c r="AL128">
        <v>0</v>
      </c>
    </row>
    <row r="129" spans="1:38" hidden="1" x14ac:dyDescent="0.2">
      <c r="A129" t="s">
        <v>305</v>
      </c>
      <c r="B129" t="s">
        <v>306</v>
      </c>
      <c r="C129" t="s">
        <v>306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6.5</v>
      </c>
      <c r="AE129">
        <v>533</v>
      </c>
      <c r="AF129">
        <v>120.3783783783784</v>
      </c>
      <c r="AG129">
        <v>120.3783783783784</v>
      </c>
      <c r="AH129">
        <f>53.5015015015015*1</f>
        <v>53.501501501501501</v>
      </c>
      <c r="AI129">
        <f>1.67711344086791*1</f>
        <v>1.67711344086791</v>
      </c>
      <c r="AJ129">
        <v>1</v>
      </c>
      <c r="AK129">
        <v>0</v>
      </c>
      <c r="AL129">
        <v>0</v>
      </c>
    </row>
    <row r="130" spans="1:38" hidden="1" x14ac:dyDescent="0.2">
      <c r="A130" t="s">
        <v>274</v>
      </c>
      <c r="B130" t="s">
        <v>307</v>
      </c>
      <c r="C130" t="s">
        <v>308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6.5</v>
      </c>
      <c r="AE130">
        <v>534</v>
      </c>
      <c r="AF130">
        <v>117.6216216216216</v>
      </c>
      <c r="AG130">
        <v>117.6216216216216</v>
      </c>
      <c r="AH130">
        <f>52.2762762762762*1</f>
        <v>52.276276276276199</v>
      </c>
      <c r="AI130">
        <f>1.68801993631003*1</f>
        <v>1.6880199363100299</v>
      </c>
      <c r="AJ130">
        <v>1</v>
      </c>
      <c r="AK130">
        <v>0</v>
      </c>
      <c r="AL130">
        <v>0</v>
      </c>
    </row>
    <row r="131" spans="1:38" x14ac:dyDescent="0.2">
      <c r="A131" t="s">
        <v>142</v>
      </c>
      <c r="B131" t="s">
        <v>170</v>
      </c>
      <c r="C131" t="s">
        <v>170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19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4.7</v>
      </c>
      <c r="AE131">
        <v>279</v>
      </c>
      <c r="AF131">
        <v>127.7297297297297</v>
      </c>
      <c r="AG131">
        <v>127.7297297297297</v>
      </c>
      <c r="AH131">
        <f>56.7687687687687*1</f>
        <v>56.768768768768702</v>
      </c>
      <c r="AI131">
        <f>1.46508700044225*1</f>
        <v>1.46508700044225</v>
      </c>
      <c r="AJ131">
        <v>1</v>
      </c>
      <c r="AK131">
        <v>1</v>
      </c>
      <c r="AL131">
        <v>1</v>
      </c>
    </row>
    <row r="132" spans="1:38" hidden="1" x14ac:dyDescent="0.2">
      <c r="A132" t="s">
        <v>311</v>
      </c>
      <c r="B132" t="s">
        <v>312</v>
      </c>
      <c r="C132" t="s">
        <v>313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5.9</v>
      </c>
      <c r="AE132">
        <v>536</v>
      </c>
      <c r="AF132">
        <v>98.324324324324337</v>
      </c>
      <c r="AG132">
        <v>98.324324324324337</v>
      </c>
      <c r="AH132">
        <f>43.6996996996997*1</f>
        <v>43.6996996996997</v>
      </c>
      <c r="AI132">
        <f>1.2495979318595*1</f>
        <v>1.2495979318595001</v>
      </c>
      <c r="AJ132">
        <v>1</v>
      </c>
      <c r="AK132">
        <v>0</v>
      </c>
      <c r="AL132">
        <v>0</v>
      </c>
    </row>
    <row r="133" spans="1:38" hidden="1" x14ac:dyDescent="0.2">
      <c r="A133" t="s">
        <v>314</v>
      </c>
      <c r="B133" t="s">
        <v>315</v>
      </c>
      <c r="C133" t="s">
        <v>315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5.4</v>
      </c>
      <c r="AE133">
        <v>537</v>
      </c>
      <c r="AF133">
        <v>97.405405405405403</v>
      </c>
      <c r="AG133">
        <v>97.405405405405403</v>
      </c>
      <c r="AH133">
        <f>43.2912912912912*1</f>
        <v>43.291291291291202</v>
      </c>
      <c r="AI133">
        <f>1.28485936285315*1</f>
        <v>1.2848593628531499</v>
      </c>
      <c r="AJ133">
        <v>1</v>
      </c>
      <c r="AK133">
        <v>0</v>
      </c>
      <c r="AL133">
        <v>0</v>
      </c>
    </row>
    <row r="134" spans="1:38" hidden="1" x14ac:dyDescent="0.2">
      <c r="A134" t="s">
        <v>316</v>
      </c>
      <c r="B134" t="s">
        <v>317</v>
      </c>
      <c r="C134" t="s">
        <v>317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</v>
      </c>
      <c r="AE134">
        <v>539</v>
      </c>
      <c r="AF134">
        <v>47.78378378378379</v>
      </c>
      <c r="AG134">
        <v>47.78378378378379</v>
      </c>
      <c r="AH134">
        <f>21.2372372372372*1</f>
        <v>21.237237237237199</v>
      </c>
      <c r="AI134">
        <f>0.714424900910914*1</f>
        <v>0.71442490091091404</v>
      </c>
      <c r="AJ134">
        <v>1</v>
      </c>
      <c r="AK134">
        <v>0</v>
      </c>
      <c r="AL134">
        <v>0</v>
      </c>
    </row>
    <row r="135" spans="1:38" hidden="1" x14ac:dyDescent="0.2">
      <c r="A135" t="s">
        <v>318</v>
      </c>
      <c r="B135" t="s">
        <v>319</v>
      </c>
      <c r="C135" t="s">
        <v>319</v>
      </c>
      <c r="D135" t="s">
        <v>3</v>
      </c>
      <c r="E135">
        <v>1</v>
      </c>
      <c r="F135">
        <v>0</v>
      </c>
      <c r="G135">
        <v>0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4.9000000000000004</v>
      </c>
      <c r="AE135">
        <v>546</v>
      </c>
      <c r="AF135">
        <v>113.027027027027</v>
      </c>
      <c r="AG135">
        <v>113.027027027027</v>
      </c>
      <c r="AH135">
        <f>50.2342342342342*1</f>
        <v>50.234234234234201</v>
      </c>
      <c r="AI135">
        <f>1.5835182433974*1</f>
        <v>1.5835182433974</v>
      </c>
      <c r="AJ135">
        <v>1</v>
      </c>
      <c r="AK135">
        <v>0</v>
      </c>
      <c r="AL135">
        <v>0</v>
      </c>
    </row>
    <row r="136" spans="1:38" x14ac:dyDescent="0.2">
      <c r="A136" t="s">
        <v>138</v>
      </c>
      <c r="B136" t="s">
        <v>139</v>
      </c>
      <c r="C136" t="s">
        <v>139</v>
      </c>
      <c r="D136" t="s">
        <v>6</v>
      </c>
      <c r="E136">
        <v>0</v>
      </c>
      <c r="F136">
        <v>0</v>
      </c>
      <c r="G136">
        <v>0</v>
      </c>
      <c r="H136">
        <v>1</v>
      </c>
      <c r="I136" t="s">
        <v>17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6.3</v>
      </c>
      <c r="AE136">
        <v>233</v>
      </c>
      <c r="AF136">
        <v>127.7297297297297</v>
      </c>
      <c r="AG136">
        <v>127.7297297297297</v>
      </c>
      <c r="AH136">
        <f>56.7687687687687*1</f>
        <v>56.768768768768702</v>
      </c>
      <c r="AI136">
        <f>1.43967898185506*1</f>
        <v>1.4396789818550599</v>
      </c>
      <c r="AJ136">
        <v>1</v>
      </c>
      <c r="AK136">
        <v>1</v>
      </c>
      <c r="AL136">
        <v>1</v>
      </c>
    </row>
    <row r="137" spans="1:38" hidden="1" x14ac:dyDescent="0.2">
      <c r="A137" t="s">
        <v>322</v>
      </c>
      <c r="B137" t="s">
        <v>323</v>
      </c>
      <c r="C137" t="s">
        <v>323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5.5</v>
      </c>
      <c r="AE137">
        <v>555</v>
      </c>
      <c r="AF137">
        <v>124.972972972973</v>
      </c>
      <c r="AG137">
        <v>124.972972972973</v>
      </c>
      <c r="AH137">
        <f>55.5435435435435*1</f>
        <v>55.5435435435435</v>
      </c>
      <c r="AI137">
        <f>1.4886568127563*1</f>
        <v>1.4886568127563</v>
      </c>
      <c r="AJ137">
        <v>1</v>
      </c>
      <c r="AK137">
        <v>0</v>
      </c>
      <c r="AL137">
        <v>0</v>
      </c>
    </row>
    <row r="138" spans="1:38" hidden="1" x14ac:dyDescent="0.2">
      <c r="A138" t="s">
        <v>324</v>
      </c>
      <c r="B138" t="s">
        <v>325</v>
      </c>
      <c r="C138" t="s">
        <v>325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4.9000000000000004</v>
      </c>
      <c r="AE138">
        <v>557</v>
      </c>
      <c r="AF138">
        <v>122.2162162162162</v>
      </c>
      <c r="AG138">
        <v>122.2162162162162</v>
      </c>
      <c r="AH138">
        <f>54.3183183183183*0.636363636363636</f>
        <v>34.566202566202534</v>
      </c>
      <c r="AI138">
        <f>1.54172286964891*0.636363636363636</f>
        <v>0.98109637159476037</v>
      </c>
      <c r="AJ138">
        <v>0.63636363636363635</v>
      </c>
      <c r="AK138">
        <v>1</v>
      </c>
      <c r="AL138">
        <v>0</v>
      </c>
    </row>
    <row r="139" spans="1:38" hidden="1" x14ac:dyDescent="0.2">
      <c r="A139" t="s">
        <v>326</v>
      </c>
      <c r="B139" t="s">
        <v>327</v>
      </c>
      <c r="C139" t="s">
        <v>328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5</v>
      </c>
      <c r="AE139">
        <v>558</v>
      </c>
      <c r="AF139">
        <v>97.405405405405403</v>
      </c>
      <c r="AG139">
        <v>97.405405405405403</v>
      </c>
      <c r="AH139">
        <f>43.2912912912912*1</f>
        <v>43.291291291291202</v>
      </c>
      <c r="AI139">
        <f>0.958634130504205*1</f>
        <v>0.95863413050420498</v>
      </c>
      <c r="AJ139">
        <v>1</v>
      </c>
      <c r="AK139">
        <v>0</v>
      </c>
      <c r="AL139">
        <v>0</v>
      </c>
    </row>
    <row r="140" spans="1:38" hidden="1" x14ac:dyDescent="0.2">
      <c r="A140" t="s">
        <v>75</v>
      </c>
      <c r="B140" t="s">
        <v>329</v>
      </c>
      <c r="C140" t="s">
        <v>329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7.5</v>
      </c>
      <c r="AE140">
        <v>565</v>
      </c>
      <c r="AF140">
        <v>149.7837837837838</v>
      </c>
      <c r="AG140">
        <v>149.7837837837838</v>
      </c>
      <c r="AH140">
        <f>66.5705705705705*1</f>
        <v>66.570570570570496</v>
      </c>
      <c r="AI140">
        <f>1.68735553681636*1</f>
        <v>1.68735553681636</v>
      </c>
      <c r="AJ140">
        <v>1</v>
      </c>
      <c r="AK140">
        <v>0</v>
      </c>
      <c r="AL140">
        <v>0</v>
      </c>
    </row>
    <row r="141" spans="1:38" hidden="1" x14ac:dyDescent="0.2">
      <c r="A141" t="s">
        <v>330</v>
      </c>
      <c r="B141" t="s">
        <v>331</v>
      </c>
      <c r="C141" t="s">
        <v>331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6</v>
      </c>
      <c r="AE141">
        <v>566</v>
      </c>
      <c r="AF141">
        <v>116.70270270270269</v>
      </c>
      <c r="AG141">
        <v>116.70270270270269</v>
      </c>
      <c r="AH141">
        <f>51.8678678678678*1</f>
        <v>51.867867867867801</v>
      </c>
      <c r="AI141">
        <f>1.34976887751632*1</f>
        <v>1.3497688775163199</v>
      </c>
      <c r="AJ141">
        <v>1</v>
      </c>
      <c r="AK141">
        <v>0</v>
      </c>
      <c r="AL141">
        <v>0</v>
      </c>
    </row>
    <row r="142" spans="1:38" hidden="1" x14ac:dyDescent="0.2">
      <c r="A142" t="s">
        <v>332</v>
      </c>
      <c r="B142" t="s">
        <v>333</v>
      </c>
      <c r="C142" t="s">
        <v>333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5.5</v>
      </c>
      <c r="AE142">
        <v>567</v>
      </c>
      <c r="AF142">
        <v>99.243243243243242</v>
      </c>
      <c r="AG142">
        <v>99.243243243243242</v>
      </c>
      <c r="AH142">
        <f>44.1081081081081*1</f>
        <v>44.108108108108098</v>
      </c>
      <c r="AI142">
        <f>1.0629003946231*1</f>
        <v>1.0629003946230999</v>
      </c>
      <c r="AJ142">
        <v>1</v>
      </c>
      <c r="AK142">
        <v>0</v>
      </c>
      <c r="AL142">
        <v>0</v>
      </c>
    </row>
    <row r="143" spans="1:38" hidden="1" x14ac:dyDescent="0.2">
      <c r="A143" t="s">
        <v>334</v>
      </c>
      <c r="B143" t="s">
        <v>335</v>
      </c>
      <c r="C143" t="s">
        <v>336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5</v>
      </c>
      <c r="AE143">
        <v>569</v>
      </c>
      <c r="AF143">
        <v>52.378378378378379</v>
      </c>
      <c r="AG143">
        <v>52.378378378378379</v>
      </c>
      <c r="AH143">
        <f>23.2792792792792*1</f>
        <v>23.279279279279201</v>
      </c>
      <c r="AI143">
        <f>0.825343436511563*1</f>
        <v>0.82534343651156294</v>
      </c>
      <c r="AJ143">
        <v>1</v>
      </c>
      <c r="AK143">
        <v>0</v>
      </c>
      <c r="AL143">
        <v>0</v>
      </c>
    </row>
    <row r="144" spans="1:38" hidden="1" x14ac:dyDescent="0.2">
      <c r="A144" t="s">
        <v>105</v>
      </c>
      <c r="B144" t="s">
        <v>337</v>
      </c>
      <c r="C144" t="s">
        <v>337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4.9000000000000004</v>
      </c>
      <c r="AE144">
        <v>572</v>
      </c>
      <c r="AF144">
        <v>57.891891891891888</v>
      </c>
      <c r="AG144">
        <v>57.891891891891888</v>
      </c>
      <c r="AH144">
        <f>25.7297297297297*1</f>
        <v>25.729729729729701</v>
      </c>
      <c r="AI144">
        <f>0.799569121508732*1</f>
        <v>0.79956912150873205</v>
      </c>
      <c r="AJ144">
        <v>1</v>
      </c>
      <c r="AK144">
        <v>0</v>
      </c>
      <c r="AL144">
        <v>0</v>
      </c>
    </row>
    <row r="145" spans="1:38" x14ac:dyDescent="0.2">
      <c r="A145" t="s">
        <v>171</v>
      </c>
      <c r="B145" t="s">
        <v>172</v>
      </c>
      <c r="C145" t="s">
        <v>172</v>
      </c>
      <c r="D145" t="s">
        <v>4</v>
      </c>
      <c r="E145">
        <v>0</v>
      </c>
      <c r="F145">
        <v>1</v>
      </c>
      <c r="G145">
        <v>0</v>
      </c>
      <c r="H145">
        <v>0</v>
      </c>
      <c r="I145" t="s">
        <v>19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4.5</v>
      </c>
      <c r="AE145">
        <v>280</v>
      </c>
      <c r="AF145">
        <v>120.3783783783784</v>
      </c>
      <c r="AG145">
        <v>120.3783783783784</v>
      </c>
      <c r="AH145">
        <f>53.5015015015015*1</f>
        <v>53.501501501501501</v>
      </c>
      <c r="AI145">
        <f>1.41663641625466*1</f>
        <v>1.4166364162546601</v>
      </c>
      <c r="AJ145">
        <v>1</v>
      </c>
      <c r="AK145">
        <v>1</v>
      </c>
      <c r="AL145">
        <v>1</v>
      </c>
    </row>
    <row r="146" spans="1:38" hidden="1" x14ac:dyDescent="0.2">
      <c r="A146" t="s">
        <v>339</v>
      </c>
      <c r="B146" t="s">
        <v>340</v>
      </c>
      <c r="C146" t="s">
        <v>340</v>
      </c>
      <c r="D146" t="s">
        <v>6</v>
      </c>
      <c r="E146">
        <v>0</v>
      </c>
      <c r="F146">
        <v>0</v>
      </c>
      <c r="G146">
        <v>0</v>
      </c>
      <c r="H146">
        <v>1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5.3</v>
      </c>
      <c r="AE146">
        <v>577</v>
      </c>
      <c r="AF146">
        <v>57.891891891891888</v>
      </c>
      <c r="AG146">
        <v>57.891891891891888</v>
      </c>
      <c r="AH146">
        <f>25.7297297297297*1</f>
        <v>25.729729729729701</v>
      </c>
      <c r="AI146">
        <f>0.510032605056854*1</f>
        <v>0.51003260505685399</v>
      </c>
      <c r="AJ146">
        <v>1</v>
      </c>
      <c r="AK146">
        <v>0</v>
      </c>
      <c r="AL146">
        <v>0</v>
      </c>
    </row>
    <row r="147" spans="1:38" hidden="1" x14ac:dyDescent="0.2">
      <c r="A147" t="s">
        <v>341</v>
      </c>
      <c r="B147" t="s">
        <v>342</v>
      </c>
      <c r="C147" t="s">
        <v>342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28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5.4</v>
      </c>
      <c r="AE147">
        <v>602</v>
      </c>
      <c r="AF147">
        <v>72.594594594594597</v>
      </c>
      <c r="AG147">
        <v>72.594594594594597</v>
      </c>
      <c r="AH147">
        <f>32.2642642642642*1</f>
        <v>32.264264264264199</v>
      </c>
      <c r="AI147">
        <f>1.17546841580455*1</f>
        <v>1.1754684158045501</v>
      </c>
      <c r="AJ147">
        <v>1</v>
      </c>
      <c r="AK147">
        <v>0</v>
      </c>
      <c r="AL147">
        <v>0</v>
      </c>
    </row>
    <row r="148" spans="1:38" hidden="1" x14ac:dyDescent="0.2">
      <c r="A148" t="s">
        <v>343</v>
      </c>
      <c r="B148" t="s">
        <v>344</v>
      </c>
      <c r="C148" t="s">
        <v>344</v>
      </c>
      <c r="D148" t="s">
        <v>3</v>
      </c>
      <c r="E148">
        <v>1</v>
      </c>
      <c r="F148">
        <v>0</v>
      </c>
      <c r="G148">
        <v>0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5.0999999999999996</v>
      </c>
      <c r="AE148">
        <v>632</v>
      </c>
      <c r="AF148">
        <v>107.5135135135135</v>
      </c>
      <c r="AG148">
        <v>107.5135135135135</v>
      </c>
      <c r="AH148">
        <f>47.7837837837837*1</f>
        <v>47.783783783783697</v>
      </c>
      <c r="AI148">
        <f>1.79087460298924*1</f>
        <v>1.7908746029892399</v>
      </c>
      <c r="AJ148">
        <v>1</v>
      </c>
      <c r="AK148">
        <v>0</v>
      </c>
      <c r="AL148">
        <v>0</v>
      </c>
    </row>
    <row r="149" spans="1:38" hidden="1" x14ac:dyDescent="0.2">
      <c r="A149" t="s">
        <v>345</v>
      </c>
      <c r="B149" t="s">
        <v>346</v>
      </c>
      <c r="C149" t="s">
        <v>346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29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4.4000000000000004</v>
      </c>
      <c r="AE149">
        <v>641</v>
      </c>
      <c r="AF149">
        <v>69.837837837837839</v>
      </c>
      <c r="AG149">
        <v>69.837837837837839</v>
      </c>
      <c r="AH149">
        <f>31.039039039039*1</f>
        <v>31.039039039039</v>
      </c>
      <c r="AI149">
        <f>0.810279287782524*1</f>
        <v>0.810279287782524</v>
      </c>
      <c r="AJ149">
        <v>1</v>
      </c>
      <c r="AK149">
        <v>0</v>
      </c>
      <c r="AL149">
        <v>0</v>
      </c>
    </row>
    <row r="150" spans="1:38" hidden="1" x14ac:dyDescent="0.2">
      <c r="A150" t="s">
        <v>347</v>
      </c>
      <c r="B150" t="s">
        <v>348</v>
      </c>
      <c r="C150" t="s">
        <v>347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8.5</v>
      </c>
      <c r="AE150">
        <v>646</v>
      </c>
      <c r="AF150">
        <v>142.43243243243239</v>
      </c>
      <c r="AG150">
        <v>142.43243243243239</v>
      </c>
      <c r="AH150">
        <f>63.3033033033033*1</f>
        <v>63.303303303303302</v>
      </c>
      <c r="AI150">
        <f>2.43926478017326*1</f>
        <v>2.4392647801732599</v>
      </c>
      <c r="AJ150">
        <v>1</v>
      </c>
      <c r="AK150">
        <v>0</v>
      </c>
      <c r="AL150">
        <v>0</v>
      </c>
    </row>
    <row r="151" spans="1:38" hidden="1" x14ac:dyDescent="0.2">
      <c r="A151" t="s">
        <v>349</v>
      </c>
      <c r="B151" t="s">
        <v>350</v>
      </c>
      <c r="C151" t="s">
        <v>350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7.1</v>
      </c>
      <c r="AE151">
        <v>647</v>
      </c>
      <c r="AF151">
        <v>143.3513513513513</v>
      </c>
      <c r="AG151">
        <v>143.3513513513513</v>
      </c>
      <c r="AH151">
        <f>63.7117117117117*1</f>
        <v>63.7117117117117</v>
      </c>
      <c r="AI151">
        <f>1.62593106292474*1</f>
        <v>1.6259310629247401</v>
      </c>
      <c r="AJ151">
        <v>1</v>
      </c>
      <c r="AK151">
        <v>0</v>
      </c>
      <c r="AL151">
        <v>0</v>
      </c>
    </row>
    <row r="152" spans="1:38" hidden="1" x14ac:dyDescent="0.2">
      <c r="A152" t="s">
        <v>188</v>
      </c>
      <c r="B152" t="s">
        <v>351</v>
      </c>
      <c r="C152" t="s">
        <v>351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6.9</v>
      </c>
      <c r="AE152">
        <v>648</v>
      </c>
      <c r="AF152">
        <v>134.16216216216219</v>
      </c>
      <c r="AG152">
        <v>134.16216216216219</v>
      </c>
      <c r="AH152">
        <f>59.6276276276276*1</f>
        <v>59.627627627627596</v>
      </c>
      <c r="AI152">
        <f>1.95137372779447*1</f>
        <v>1.95137372779447</v>
      </c>
      <c r="AJ152">
        <v>1</v>
      </c>
      <c r="AK152">
        <v>0</v>
      </c>
      <c r="AL152">
        <v>0</v>
      </c>
    </row>
    <row r="153" spans="1:38" hidden="1" x14ac:dyDescent="0.2">
      <c r="A153" t="s">
        <v>352</v>
      </c>
      <c r="B153" t="s">
        <v>353</v>
      </c>
      <c r="C153" t="s">
        <v>353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6.6</v>
      </c>
      <c r="AE153">
        <v>649</v>
      </c>
      <c r="AF153">
        <v>120.3783783783784</v>
      </c>
      <c r="AG153">
        <v>120.3783783783784</v>
      </c>
      <c r="AH153">
        <f>53.5015015015015*1</f>
        <v>53.501501501501501</v>
      </c>
      <c r="AI153">
        <f>1.66849751691139*1</f>
        <v>1.66849751691139</v>
      </c>
      <c r="AJ153">
        <v>1</v>
      </c>
      <c r="AK153">
        <v>0</v>
      </c>
      <c r="AL153">
        <v>0</v>
      </c>
    </row>
    <row r="154" spans="1:38" hidden="1" x14ac:dyDescent="0.2">
      <c r="A154" t="s">
        <v>354</v>
      </c>
      <c r="B154" t="s">
        <v>355</v>
      </c>
      <c r="C154" t="s">
        <v>355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6.4</v>
      </c>
      <c r="AE154">
        <v>650</v>
      </c>
      <c r="AF154">
        <v>127.7297297297297</v>
      </c>
      <c r="AG154">
        <v>127.7297297297297</v>
      </c>
      <c r="AH154">
        <f>56.7687687687687*1</f>
        <v>56.768768768768702</v>
      </c>
      <c r="AI154">
        <f>1.68801815959596*1</f>
        <v>1.68801815959596</v>
      </c>
      <c r="AJ154">
        <v>1</v>
      </c>
      <c r="AK154">
        <v>0</v>
      </c>
      <c r="AL154">
        <v>0</v>
      </c>
    </row>
    <row r="155" spans="1:38" hidden="1" x14ac:dyDescent="0.2">
      <c r="A155" t="s">
        <v>221</v>
      </c>
      <c r="B155" t="s">
        <v>356</v>
      </c>
      <c r="C155" t="s">
        <v>356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5.4</v>
      </c>
      <c r="AE155">
        <v>652</v>
      </c>
      <c r="AF155">
        <v>61.567567567567558</v>
      </c>
      <c r="AG155">
        <v>61.567567567567558</v>
      </c>
      <c r="AH155">
        <f>27.3633633633633*1</f>
        <v>27.363363363363302</v>
      </c>
      <c r="AI155">
        <f>0.720356196137426*1</f>
        <v>0.72035619613742596</v>
      </c>
      <c r="AJ155">
        <v>1</v>
      </c>
      <c r="AK155">
        <v>0</v>
      </c>
      <c r="AL155">
        <v>0</v>
      </c>
    </row>
    <row r="156" spans="1:38" hidden="1" x14ac:dyDescent="0.2">
      <c r="A156" t="s">
        <v>357</v>
      </c>
      <c r="B156" t="s">
        <v>358</v>
      </c>
      <c r="C156" t="s">
        <v>358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29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5.3</v>
      </c>
      <c r="AE156">
        <v>654</v>
      </c>
      <c r="AF156">
        <v>58.810810810810807</v>
      </c>
      <c r="AG156">
        <v>58.810810810810807</v>
      </c>
      <c r="AH156">
        <f>26.1381381381381*1</f>
        <v>26.1381381381381</v>
      </c>
      <c r="AI156">
        <f>0.816568004524576*1</f>
        <v>0.81656800452457601</v>
      </c>
      <c r="AJ156">
        <v>1</v>
      </c>
      <c r="AK156">
        <v>0</v>
      </c>
      <c r="AL156">
        <v>0</v>
      </c>
    </row>
    <row r="157" spans="1:38" hidden="1" x14ac:dyDescent="0.2">
      <c r="A157" t="s">
        <v>359</v>
      </c>
      <c r="B157" t="s">
        <v>174</v>
      </c>
      <c r="C157" t="s">
        <v>360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5</v>
      </c>
      <c r="AE157">
        <v>660</v>
      </c>
      <c r="AF157">
        <v>79.945945945945951</v>
      </c>
      <c r="AG157">
        <v>79.945945945945951</v>
      </c>
      <c r="AH157">
        <f>35.5315315315315*1</f>
        <v>35.531531531531499</v>
      </c>
      <c r="AI157">
        <f>0.959690947616101*1</f>
        <v>0.95969094761610096</v>
      </c>
      <c r="AJ157">
        <v>1</v>
      </c>
      <c r="AK157">
        <v>0</v>
      </c>
      <c r="AL157">
        <v>0</v>
      </c>
    </row>
    <row r="158" spans="1:38" hidden="1" x14ac:dyDescent="0.2">
      <c r="A158" t="s">
        <v>361</v>
      </c>
      <c r="B158" t="s">
        <v>362</v>
      </c>
      <c r="C158" t="s">
        <v>362</v>
      </c>
      <c r="D158" t="s">
        <v>3</v>
      </c>
      <c r="E158">
        <v>1</v>
      </c>
      <c r="F158">
        <v>0</v>
      </c>
      <c r="G158">
        <v>0</v>
      </c>
      <c r="H158">
        <v>0</v>
      </c>
      <c r="I158" t="s">
        <v>30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4.4000000000000004</v>
      </c>
      <c r="AE158">
        <v>671</v>
      </c>
      <c r="AF158">
        <v>95.567567567567579</v>
      </c>
      <c r="AG158">
        <v>95.567567567567579</v>
      </c>
      <c r="AH158">
        <f>42.4744744744744*1</f>
        <v>42.474474474474398</v>
      </c>
      <c r="AI158">
        <f>1.73404306539857*1</f>
        <v>1.7340430653985699</v>
      </c>
      <c r="AJ158">
        <v>1</v>
      </c>
      <c r="AK158">
        <v>0</v>
      </c>
      <c r="AL158">
        <v>0</v>
      </c>
    </row>
    <row r="159" spans="1:38" hidden="1" x14ac:dyDescent="0.2">
      <c r="A159" t="s">
        <v>363</v>
      </c>
      <c r="B159" t="s">
        <v>364</v>
      </c>
      <c r="C159" t="s">
        <v>363</v>
      </c>
      <c r="D159" t="s">
        <v>4</v>
      </c>
      <c r="E159">
        <v>0</v>
      </c>
      <c r="F159">
        <v>1</v>
      </c>
      <c r="G159">
        <v>0</v>
      </c>
      <c r="H159">
        <v>0</v>
      </c>
      <c r="I159" t="s">
        <v>30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4.4000000000000004</v>
      </c>
      <c r="AE159">
        <v>675</v>
      </c>
      <c r="AF159">
        <v>70.756756756756758</v>
      </c>
      <c r="AG159">
        <v>70.756756756756758</v>
      </c>
      <c r="AH159">
        <f>31.4474474474474*1</f>
        <v>31.447447447447399</v>
      </c>
      <c r="AI159">
        <f>0.836531497758217*1</f>
        <v>0.836531497758217</v>
      </c>
      <c r="AJ159">
        <v>1</v>
      </c>
      <c r="AK159">
        <v>0</v>
      </c>
      <c r="AL159">
        <v>0</v>
      </c>
    </row>
    <row r="160" spans="1:38" hidden="1" x14ac:dyDescent="0.2">
      <c r="A160" t="s">
        <v>365</v>
      </c>
      <c r="B160" t="s">
        <v>366</v>
      </c>
      <c r="C160" t="s">
        <v>366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30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4.4000000000000004</v>
      </c>
      <c r="AE160">
        <v>677</v>
      </c>
      <c r="AF160">
        <v>51.45945945945946</v>
      </c>
      <c r="AG160">
        <v>51.45945945945946</v>
      </c>
      <c r="AH160">
        <f>22.8708708708708*1</f>
        <v>22.8708708708708</v>
      </c>
      <c r="AI160">
        <f>0.746493921179935*1</f>
        <v>0.74649392117993496</v>
      </c>
      <c r="AJ160">
        <v>1</v>
      </c>
      <c r="AK160">
        <v>0</v>
      </c>
      <c r="AL160">
        <v>0</v>
      </c>
    </row>
    <row r="161" spans="1:38" x14ac:dyDescent="0.2">
      <c r="A161" t="s">
        <v>318</v>
      </c>
      <c r="B161" t="s">
        <v>367</v>
      </c>
      <c r="C161" t="s">
        <v>367</v>
      </c>
      <c r="D161" t="s">
        <v>4</v>
      </c>
      <c r="E161">
        <v>0</v>
      </c>
      <c r="F161">
        <v>1</v>
      </c>
      <c r="G161">
        <v>0</v>
      </c>
      <c r="H161">
        <v>0</v>
      </c>
      <c r="I161" t="s">
        <v>30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4.3</v>
      </c>
      <c r="AE161">
        <v>681</v>
      </c>
      <c r="AF161">
        <v>108.43243243243241</v>
      </c>
      <c r="AG161">
        <v>108.43243243243241</v>
      </c>
      <c r="AH161">
        <f>48.1921921921921*1</f>
        <v>48.192192192192103</v>
      </c>
      <c r="AI161">
        <f>1.35336528740411*1</f>
        <v>1.35336528740411</v>
      </c>
      <c r="AJ161">
        <v>1</v>
      </c>
      <c r="AK161">
        <v>1</v>
      </c>
      <c r="AL161">
        <v>1</v>
      </c>
    </row>
    <row r="162" spans="1:38" hidden="1" x14ac:dyDescent="0.2">
      <c r="A162" t="s">
        <v>68</v>
      </c>
      <c r="B162" t="s">
        <v>368</v>
      </c>
      <c r="C162" t="s">
        <v>369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30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5.9</v>
      </c>
      <c r="AE162">
        <v>683</v>
      </c>
      <c r="AF162">
        <v>94.648648648648646</v>
      </c>
      <c r="AG162">
        <v>94.648648648648646</v>
      </c>
      <c r="AH162">
        <f>42.066066066066*1</f>
        <v>42.066066066066</v>
      </c>
      <c r="AI162">
        <f>0.640092276262834*1</f>
        <v>0.64009227626283405</v>
      </c>
      <c r="AJ162">
        <v>1</v>
      </c>
      <c r="AK162">
        <v>0</v>
      </c>
      <c r="AL162">
        <v>0</v>
      </c>
    </row>
    <row r="163" spans="1:38" hidden="1" x14ac:dyDescent="0.2">
      <c r="A163" t="s">
        <v>370</v>
      </c>
      <c r="B163" t="s">
        <v>371</v>
      </c>
      <c r="C163" t="s">
        <v>371</v>
      </c>
      <c r="D163" t="s">
        <v>5</v>
      </c>
      <c r="E163">
        <v>0</v>
      </c>
      <c r="F163">
        <v>0</v>
      </c>
      <c r="G163">
        <v>1</v>
      </c>
      <c r="H163">
        <v>0</v>
      </c>
      <c r="I163" t="s">
        <v>30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5.8</v>
      </c>
      <c r="AE163">
        <v>684</v>
      </c>
      <c r="AF163">
        <v>107.5135135135135</v>
      </c>
      <c r="AG163">
        <v>107.5135135135135</v>
      </c>
      <c r="AH163">
        <f>47.7837837837837*1</f>
        <v>47.783783783783697</v>
      </c>
      <c r="AI163">
        <f>1.54026679008653*1</f>
        <v>1.5402667900865299</v>
      </c>
      <c r="AJ163">
        <v>1</v>
      </c>
      <c r="AK163">
        <v>0</v>
      </c>
      <c r="AL163">
        <v>0</v>
      </c>
    </row>
    <row r="164" spans="1:38" hidden="1" x14ac:dyDescent="0.2">
      <c r="A164" t="s">
        <v>188</v>
      </c>
      <c r="B164" t="s">
        <v>372</v>
      </c>
      <c r="C164" t="s">
        <v>372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30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5.9</v>
      </c>
      <c r="AE164">
        <v>685</v>
      </c>
      <c r="AF164">
        <v>82.702702702702709</v>
      </c>
      <c r="AG164">
        <v>82.702702702702709</v>
      </c>
      <c r="AH164">
        <f>36.7567567567567*1</f>
        <v>36.756756756756701</v>
      </c>
      <c r="AI164">
        <f>1.5514924670278*1</f>
        <v>1.5514924670278001</v>
      </c>
      <c r="AJ164">
        <v>1</v>
      </c>
      <c r="AK164">
        <v>0</v>
      </c>
      <c r="AL164">
        <v>0</v>
      </c>
    </row>
    <row r="165" spans="1:38" hidden="1" x14ac:dyDescent="0.2">
      <c r="A165" t="s">
        <v>373</v>
      </c>
      <c r="B165" t="s">
        <v>374</v>
      </c>
      <c r="C165" t="s">
        <v>375</v>
      </c>
      <c r="D165" t="s">
        <v>5</v>
      </c>
      <c r="E165">
        <v>0</v>
      </c>
      <c r="F165">
        <v>0</v>
      </c>
      <c r="G165">
        <v>1</v>
      </c>
      <c r="H165">
        <v>0</v>
      </c>
      <c r="I165" t="s">
        <v>30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4.9000000000000004</v>
      </c>
      <c r="AE165">
        <v>687</v>
      </c>
      <c r="AF165">
        <v>55.135135135135137</v>
      </c>
      <c r="AG165">
        <v>55.135135135135137</v>
      </c>
      <c r="AH165">
        <f>24.5045045045045*1</f>
        <v>24.504504504504499</v>
      </c>
      <c r="AI165">
        <f>0.734285134835088*1</f>
        <v>0.73428513483508795</v>
      </c>
      <c r="AJ165">
        <v>1</v>
      </c>
      <c r="AK165">
        <v>0</v>
      </c>
      <c r="AL165">
        <v>0</v>
      </c>
    </row>
    <row r="166" spans="1:38" x14ac:dyDescent="0.2">
      <c r="A166" t="s">
        <v>320</v>
      </c>
      <c r="B166" t="s">
        <v>321</v>
      </c>
      <c r="C166" t="s">
        <v>321</v>
      </c>
      <c r="D166" t="s">
        <v>3</v>
      </c>
      <c r="E166">
        <v>1</v>
      </c>
      <c r="F166">
        <v>0</v>
      </c>
      <c r="G166">
        <v>0</v>
      </c>
      <c r="H166">
        <v>0</v>
      </c>
      <c r="I166" t="s">
        <v>27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5</v>
      </c>
      <c r="AE166">
        <v>552</v>
      </c>
      <c r="AF166">
        <v>124.972972972973</v>
      </c>
      <c r="AG166">
        <v>124.972972972973</v>
      </c>
      <c r="AH166">
        <f>55.5435435435435*1</f>
        <v>55.5435435435435</v>
      </c>
      <c r="AI166">
        <f>1.35148149673881*1</f>
        <v>1.35148149673881</v>
      </c>
      <c r="AJ166">
        <v>1</v>
      </c>
      <c r="AK166">
        <v>1</v>
      </c>
      <c r="AL166">
        <v>1</v>
      </c>
    </row>
    <row r="167" spans="1:38" hidden="1" x14ac:dyDescent="0.2">
      <c r="A167" t="s">
        <v>378</v>
      </c>
      <c r="B167" t="s">
        <v>379</v>
      </c>
      <c r="C167" t="s">
        <v>379</v>
      </c>
      <c r="D167" t="s">
        <v>4</v>
      </c>
      <c r="E167">
        <v>0</v>
      </c>
      <c r="F167">
        <v>1</v>
      </c>
      <c r="G167">
        <v>0</v>
      </c>
      <c r="H167">
        <v>0</v>
      </c>
      <c r="I167" t="s">
        <v>30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4.4000000000000004</v>
      </c>
      <c r="AE167">
        <v>698</v>
      </c>
      <c r="AF167">
        <v>56.972972972972983</v>
      </c>
      <c r="AG167">
        <v>56.972972972972983</v>
      </c>
      <c r="AH167">
        <f>25.3213213213213*1</f>
        <v>25.3213213213213</v>
      </c>
      <c r="AI167">
        <f>0.446261592126013*1</f>
        <v>0.44626159212601302</v>
      </c>
      <c r="AJ167">
        <v>1</v>
      </c>
      <c r="AK167">
        <v>0</v>
      </c>
      <c r="AL167">
        <v>0</v>
      </c>
    </row>
    <row r="168" spans="1:38" hidden="1" x14ac:dyDescent="0.2">
      <c r="A168" t="s">
        <v>380</v>
      </c>
      <c r="B168" t="s">
        <v>381</v>
      </c>
      <c r="C168" t="s">
        <v>382</v>
      </c>
      <c r="D168" t="s">
        <v>3</v>
      </c>
      <c r="E168">
        <v>1</v>
      </c>
      <c r="F168">
        <v>0</v>
      </c>
      <c r="G168">
        <v>0</v>
      </c>
      <c r="H168">
        <v>0</v>
      </c>
      <c r="I168" t="s">
        <v>31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4.5</v>
      </c>
      <c r="AE168">
        <v>705</v>
      </c>
      <c r="AF168">
        <v>107.5135135135135</v>
      </c>
      <c r="AG168">
        <v>107.5135135135135</v>
      </c>
      <c r="AH168">
        <f>47.7837837837837*1</f>
        <v>47.783783783783697</v>
      </c>
      <c r="AI168">
        <f>1.89056400223608*1</f>
        <v>1.8905640022360799</v>
      </c>
      <c r="AJ168">
        <v>1</v>
      </c>
      <c r="AK168">
        <v>0</v>
      </c>
      <c r="AL168">
        <v>0</v>
      </c>
    </row>
    <row r="169" spans="1:38" hidden="1" x14ac:dyDescent="0.2">
      <c r="A169" t="s">
        <v>383</v>
      </c>
      <c r="B169" t="s">
        <v>384</v>
      </c>
      <c r="C169" t="s">
        <v>384</v>
      </c>
      <c r="D169" t="s">
        <v>4</v>
      </c>
      <c r="E169">
        <v>0</v>
      </c>
      <c r="F169">
        <v>1</v>
      </c>
      <c r="G169">
        <v>0</v>
      </c>
      <c r="H169">
        <v>0</v>
      </c>
      <c r="I169" t="s">
        <v>31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4.4000000000000004</v>
      </c>
      <c r="AE169">
        <v>708</v>
      </c>
      <c r="AF169">
        <v>72.594594594594597</v>
      </c>
      <c r="AG169">
        <v>72.594594594594597</v>
      </c>
      <c r="AH169">
        <f>32.2642642642642*1</f>
        <v>32.264264264264199</v>
      </c>
      <c r="AI169">
        <f>0.911383456373597*1</f>
        <v>0.91138345637359697</v>
      </c>
      <c r="AJ169">
        <v>1</v>
      </c>
      <c r="AK169">
        <v>0</v>
      </c>
      <c r="AL169">
        <v>0</v>
      </c>
    </row>
    <row r="170" spans="1:38" hidden="1" x14ac:dyDescent="0.2">
      <c r="A170" t="s">
        <v>385</v>
      </c>
      <c r="B170" t="s">
        <v>386</v>
      </c>
      <c r="C170" t="s">
        <v>386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31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5.4</v>
      </c>
      <c r="AE170">
        <v>720</v>
      </c>
      <c r="AF170">
        <v>84.540540540540533</v>
      </c>
      <c r="AG170">
        <v>84.540540540540533</v>
      </c>
      <c r="AH170">
        <f>37.5735735735735*1</f>
        <v>37.573573573573498</v>
      </c>
      <c r="AI170">
        <f>1.04611391265273*1</f>
        <v>1.0461139126527299</v>
      </c>
      <c r="AJ170">
        <v>1</v>
      </c>
      <c r="AK170">
        <v>0</v>
      </c>
      <c r="AL170">
        <v>0</v>
      </c>
    </row>
    <row r="171" spans="1:38" hidden="1" x14ac:dyDescent="0.2">
      <c r="A171" t="s">
        <v>387</v>
      </c>
      <c r="B171" t="s">
        <v>388</v>
      </c>
      <c r="C171" t="s">
        <v>389</v>
      </c>
      <c r="D171" t="s">
        <v>5</v>
      </c>
      <c r="E171">
        <v>0</v>
      </c>
      <c r="F171">
        <v>0</v>
      </c>
      <c r="G171">
        <v>1</v>
      </c>
      <c r="H171">
        <v>0</v>
      </c>
      <c r="I171" t="s">
        <v>31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5.4</v>
      </c>
      <c r="AE171">
        <v>722</v>
      </c>
      <c r="AF171">
        <v>84.540540540540533</v>
      </c>
      <c r="AG171">
        <v>84.540540540540533</v>
      </c>
      <c r="AH171">
        <f>37.5735735735735*1</f>
        <v>37.573573573573498</v>
      </c>
      <c r="AI171">
        <f>0.908614962845137*1</f>
        <v>0.90861496284513699</v>
      </c>
      <c r="AJ171">
        <v>1</v>
      </c>
      <c r="AK171">
        <v>0</v>
      </c>
      <c r="AL171">
        <v>0</v>
      </c>
    </row>
    <row r="172" spans="1:38" hidden="1" x14ac:dyDescent="0.2">
      <c r="A172" t="s">
        <v>390</v>
      </c>
      <c r="B172" t="s">
        <v>391</v>
      </c>
      <c r="C172" t="s">
        <v>392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31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5.5</v>
      </c>
      <c r="AE172">
        <v>723</v>
      </c>
      <c r="AF172">
        <v>71.675675675675663</v>
      </c>
      <c r="AG172">
        <v>71.675675675675663</v>
      </c>
      <c r="AH172">
        <f>31.8558558558558*1</f>
        <v>31.8558558558558</v>
      </c>
      <c r="AI172">
        <f>0.940424052200215*1</f>
        <v>0.94042405220021497</v>
      </c>
      <c r="AJ172">
        <v>1</v>
      </c>
      <c r="AK172">
        <v>0</v>
      </c>
      <c r="AL172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2025-09-19T14:35:52Z</dcterms:created>
  <dcterms:modified xsi:type="dcterms:W3CDTF">2025-09-19T14:45:08Z</dcterms:modified>
</cp:coreProperties>
</file>