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ridog/Documents/FPL-predictor/Predictions/2024-25/"/>
    </mc:Choice>
  </mc:AlternateContent>
  <xr:revisionPtr revIDLastSave="0" documentId="13_ncr:1_{D96A97B4-E7F3-5047-BC66-6213B8994EAE}" xr6:coauthVersionLast="47" xr6:coauthVersionMax="47" xr10:uidLastSave="{00000000-0000-0000-0000-000000000000}"/>
  <bookViews>
    <workbookView xWindow="240" yWindow="760" windowWidth="21780" windowHeight="18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133" i="1" l="1"/>
  <c r="AI133" i="1"/>
  <c r="AJ132" i="1"/>
  <c r="AI132" i="1"/>
  <c r="AJ131" i="1"/>
  <c r="AI131" i="1"/>
  <c r="AJ130" i="1"/>
  <c r="AI130" i="1"/>
  <c r="AJ129" i="1"/>
  <c r="AI129" i="1"/>
  <c r="AJ128" i="1"/>
  <c r="AI128" i="1"/>
  <c r="AJ127" i="1"/>
  <c r="AI127" i="1"/>
  <c r="AJ126" i="1"/>
  <c r="AI126" i="1"/>
  <c r="AJ125" i="1"/>
  <c r="AI125" i="1"/>
  <c r="AJ124" i="1"/>
  <c r="AI124" i="1"/>
  <c r="AJ123" i="1"/>
  <c r="AI123" i="1"/>
  <c r="AJ122" i="1"/>
  <c r="AI122" i="1"/>
  <c r="AJ121" i="1"/>
  <c r="AI121" i="1"/>
  <c r="AJ120" i="1"/>
  <c r="AI120" i="1"/>
  <c r="AJ119" i="1"/>
  <c r="AI119" i="1"/>
  <c r="AJ118" i="1"/>
  <c r="AI118" i="1"/>
  <c r="AJ117" i="1"/>
  <c r="AI117" i="1"/>
  <c r="AJ116" i="1"/>
  <c r="AI116" i="1"/>
  <c r="AJ115" i="1"/>
  <c r="AI115" i="1"/>
  <c r="AJ114" i="1"/>
  <c r="AI114" i="1"/>
  <c r="AJ113" i="1"/>
  <c r="AI113" i="1"/>
  <c r="AJ112" i="1"/>
  <c r="AI112" i="1"/>
  <c r="AJ111" i="1"/>
  <c r="AI111" i="1"/>
  <c r="AJ110" i="1"/>
  <c r="AI110" i="1"/>
  <c r="AJ109" i="1"/>
  <c r="AI109" i="1"/>
  <c r="AJ79" i="1"/>
  <c r="AI79" i="1"/>
  <c r="AJ107" i="1"/>
  <c r="AI107" i="1"/>
  <c r="AJ106" i="1"/>
  <c r="AI106" i="1"/>
  <c r="AJ105" i="1"/>
  <c r="AI105" i="1"/>
  <c r="AJ104" i="1"/>
  <c r="AI104" i="1"/>
  <c r="AJ103" i="1"/>
  <c r="AI103" i="1"/>
  <c r="AJ102" i="1"/>
  <c r="AI102" i="1"/>
  <c r="AJ101" i="1"/>
  <c r="AI101" i="1"/>
  <c r="AJ100" i="1"/>
  <c r="AI100" i="1"/>
  <c r="AJ99" i="1"/>
  <c r="AI99" i="1"/>
  <c r="AJ30" i="1"/>
  <c r="AI30" i="1"/>
  <c r="AJ97" i="1"/>
  <c r="AI97" i="1"/>
  <c r="AJ42" i="1"/>
  <c r="AI42" i="1"/>
  <c r="AJ95" i="1"/>
  <c r="AI95" i="1"/>
  <c r="AJ94" i="1"/>
  <c r="AI94" i="1"/>
  <c r="AJ93" i="1"/>
  <c r="AI93" i="1"/>
  <c r="AJ98" i="1"/>
  <c r="AI98" i="1"/>
  <c r="AJ91" i="1"/>
  <c r="AI91" i="1"/>
  <c r="AJ90" i="1"/>
  <c r="AI90" i="1"/>
  <c r="AJ89" i="1"/>
  <c r="AI89" i="1"/>
  <c r="AJ88" i="1"/>
  <c r="AI88" i="1"/>
  <c r="AJ87" i="1"/>
  <c r="AI87" i="1"/>
  <c r="AJ86" i="1"/>
  <c r="AI86" i="1"/>
  <c r="AJ85" i="1"/>
  <c r="AI85" i="1"/>
  <c r="AJ84" i="1"/>
  <c r="AI84" i="1"/>
  <c r="AJ83" i="1"/>
  <c r="AI83" i="1"/>
  <c r="AJ82" i="1"/>
  <c r="AI82" i="1"/>
  <c r="AJ81" i="1"/>
  <c r="AI81" i="1"/>
  <c r="AJ80" i="1"/>
  <c r="AI80" i="1"/>
  <c r="AJ96" i="1"/>
  <c r="AI96" i="1"/>
  <c r="AJ78" i="1"/>
  <c r="AI78" i="1"/>
  <c r="AJ2" i="1"/>
  <c r="AI2" i="1"/>
  <c r="AJ6" i="1"/>
  <c r="AI6" i="1"/>
  <c r="AJ75" i="1"/>
  <c r="AI75" i="1"/>
  <c r="AJ74" i="1"/>
  <c r="AI74" i="1"/>
  <c r="AJ73" i="1"/>
  <c r="AI73" i="1"/>
  <c r="AJ72" i="1"/>
  <c r="AI72" i="1"/>
  <c r="AJ71" i="1"/>
  <c r="AI71" i="1"/>
  <c r="AJ70" i="1"/>
  <c r="AI70" i="1"/>
  <c r="AJ69" i="1"/>
  <c r="AI69" i="1"/>
  <c r="AJ68" i="1"/>
  <c r="AI68" i="1"/>
  <c r="AJ67" i="1"/>
  <c r="AI67" i="1"/>
  <c r="AJ66" i="1"/>
  <c r="AI66" i="1"/>
  <c r="AJ65" i="1"/>
  <c r="AI65" i="1"/>
  <c r="AJ77" i="1"/>
  <c r="AI77" i="1"/>
  <c r="AJ63" i="1"/>
  <c r="AI63" i="1"/>
  <c r="AJ62" i="1"/>
  <c r="AI62" i="1"/>
  <c r="AJ61" i="1"/>
  <c r="AI61" i="1"/>
  <c r="AJ60" i="1"/>
  <c r="AI60" i="1"/>
  <c r="AJ59" i="1"/>
  <c r="AI59" i="1"/>
  <c r="AJ58" i="1"/>
  <c r="AI58" i="1"/>
  <c r="AJ57" i="1"/>
  <c r="AI57" i="1"/>
  <c r="AJ56" i="1"/>
  <c r="AI56" i="1"/>
  <c r="AJ55" i="1"/>
  <c r="AI55" i="1"/>
  <c r="AJ54" i="1"/>
  <c r="AI54" i="1"/>
  <c r="AJ53" i="1"/>
  <c r="AI53" i="1"/>
  <c r="AJ52" i="1"/>
  <c r="AI52" i="1"/>
  <c r="AJ51" i="1"/>
  <c r="AI51" i="1"/>
  <c r="AJ50" i="1"/>
  <c r="AI50" i="1"/>
  <c r="AJ49" i="1"/>
  <c r="AI49" i="1"/>
  <c r="AJ48" i="1"/>
  <c r="AI48" i="1"/>
  <c r="AJ47" i="1"/>
  <c r="AI47" i="1"/>
  <c r="AJ46" i="1"/>
  <c r="AI46" i="1"/>
  <c r="AJ45" i="1"/>
  <c r="AI45" i="1"/>
  <c r="AJ44" i="1"/>
  <c r="AI44" i="1"/>
  <c r="AJ43" i="1"/>
  <c r="AI43" i="1"/>
  <c r="AJ8" i="1"/>
  <c r="AI8" i="1"/>
  <c r="AJ41" i="1"/>
  <c r="AI41" i="1"/>
  <c r="AJ40" i="1"/>
  <c r="AI40" i="1"/>
  <c r="AJ39" i="1"/>
  <c r="AI39" i="1"/>
  <c r="AJ38" i="1"/>
  <c r="AI38" i="1"/>
  <c r="AP37" i="1"/>
  <c r="AJ37" i="1"/>
  <c r="AI37" i="1"/>
  <c r="AP36" i="1"/>
  <c r="AJ36" i="1"/>
  <c r="AI36" i="1"/>
  <c r="AP35" i="1"/>
  <c r="AJ35" i="1"/>
  <c r="AI35" i="1"/>
  <c r="AP34" i="1"/>
  <c r="AJ34" i="1"/>
  <c r="AI34" i="1"/>
  <c r="AP33" i="1"/>
  <c r="AJ33" i="1"/>
  <c r="AI33" i="1"/>
  <c r="AP32" i="1"/>
  <c r="AJ32" i="1"/>
  <c r="AI32" i="1"/>
  <c r="AP31" i="1"/>
  <c r="AJ31" i="1"/>
  <c r="AI31" i="1"/>
  <c r="AP30" i="1"/>
  <c r="AJ16" i="1"/>
  <c r="AI16" i="1"/>
  <c r="AP29" i="1"/>
  <c r="AJ29" i="1"/>
  <c r="AI29" i="1"/>
  <c r="AP28" i="1"/>
  <c r="AJ28" i="1"/>
  <c r="AI28" i="1"/>
  <c r="AP27" i="1"/>
  <c r="AJ27" i="1"/>
  <c r="AI27" i="1"/>
  <c r="AP26" i="1"/>
  <c r="AJ26" i="1"/>
  <c r="AI26" i="1"/>
  <c r="AP25" i="1"/>
  <c r="AJ25" i="1"/>
  <c r="AI25" i="1"/>
  <c r="AP24" i="1"/>
  <c r="AJ24" i="1"/>
  <c r="AI24" i="1"/>
  <c r="AP23" i="1"/>
  <c r="AJ23" i="1"/>
  <c r="AI23" i="1"/>
  <c r="AP22" i="1"/>
  <c r="AJ22" i="1"/>
  <c r="AI22" i="1"/>
  <c r="AP21" i="1"/>
  <c r="AJ21" i="1"/>
  <c r="AI21" i="1"/>
  <c r="AP20" i="1"/>
  <c r="AJ20" i="1"/>
  <c r="AI20" i="1"/>
  <c r="AP19" i="1"/>
  <c r="AJ19" i="1"/>
  <c r="AI19" i="1"/>
  <c r="AP18" i="1"/>
  <c r="AJ18" i="1"/>
  <c r="AI18" i="1"/>
  <c r="AJ17" i="1"/>
  <c r="AI17" i="1"/>
  <c r="AJ76" i="1"/>
  <c r="AI76" i="1"/>
  <c r="AJ15" i="1"/>
  <c r="AI15" i="1"/>
  <c r="AJ14" i="1"/>
  <c r="AI14" i="1"/>
  <c r="AJ13" i="1"/>
  <c r="AI13" i="1"/>
  <c r="AJ12" i="1"/>
  <c r="AI12" i="1"/>
  <c r="AP11" i="1"/>
  <c r="AP14" i="1" s="1"/>
  <c r="AJ11" i="1"/>
  <c r="AI11" i="1"/>
  <c r="AJ10" i="1"/>
  <c r="AI10" i="1"/>
  <c r="AP9" i="1"/>
  <c r="AJ9" i="1"/>
  <c r="AI9" i="1"/>
  <c r="AP8" i="1"/>
  <c r="AJ108" i="1"/>
  <c r="AI108" i="1"/>
  <c r="AP7" i="1"/>
  <c r="AJ7" i="1"/>
  <c r="AI7" i="1"/>
  <c r="AP6" i="1"/>
  <c r="AJ64" i="1"/>
  <c r="AI64" i="1"/>
  <c r="AJ5" i="1"/>
  <c r="AI5" i="1"/>
  <c r="AP4" i="1"/>
  <c r="AJ4" i="1"/>
  <c r="AI4" i="1"/>
  <c r="AJ3" i="1"/>
  <c r="AI3" i="1"/>
  <c r="AJ92" i="1"/>
  <c r="AI92" i="1"/>
  <c r="AP2" i="1" s="1"/>
  <c r="AP16" i="1" l="1"/>
</calcChain>
</file>

<file path=xl/sharedStrings.xml><?xml version="1.0" encoding="utf-8"?>
<sst xmlns="http://schemas.openxmlformats.org/spreadsheetml/2006/main" count="730" uniqueCount="325">
  <si>
    <t>Total Points</t>
  </si>
  <si>
    <t>MAX</t>
  </si>
  <si>
    <t>Total Cost</t>
  </si>
  <si>
    <t>GKP</t>
  </si>
  <si>
    <t>DEF</t>
  </si>
  <si>
    <t>MID</t>
  </si>
  <si>
    <t>FWD</t>
  </si>
  <si>
    <t>Transfers</t>
  </si>
  <si>
    <t>Free</t>
  </si>
  <si>
    <t>Cost</t>
  </si>
  <si>
    <t>Profit</t>
  </si>
  <si>
    <t>ARS</t>
  </si>
  <si>
    <t>AVL</t>
  </si>
  <si>
    <t>BOU</t>
  </si>
  <si>
    <t>BRE</t>
  </si>
  <si>
    <t>BHA</t>
  </si>
  <si>
    <t>CHE</t>
  </si>
  <si>
    <t>CRY</t>
  </si>
  <si>
    <t>EVE</t>
  </si>
  <si>
    <t>FUL</t>
  </si>
  <si>
    <t>IPS</t>
  </si>
  <si>
    <t>LEI</t>
  </si>
  <si>
    <t>LIV</t>
  </si>
  <si>
    <t>MCI</t>
  </si>
  <si>
    <t>MUN</t>
  </si>
  <si>
    <t>NEW</t>
  </si>
  <si>
    <t>NFO</t>
  </si>
  <si>
    <t>SOU</t>
  </si>
  <si>
    <t>TOT</t>
  </si>
  <si>
    <t>WHU</t>
  </si>
  <si>
    <t>WOL</t>
  </si>
  <si>
    <t>First Name</t>
  </si>
  <si>
    <t>Surname</t>
  </si>
  <si>
    <t>Web Name</t>
  </si>
  <si>
    <t>Position</t>
  </si>
  <si>
    <t>Team</t>
  </si>
  <si>
    <t>ID</t>
  </si>
  <si>
    <t>ARIMA</t>
  </si>
  <si>
    <t>LSTM</t>
  </si>
  <si>
    <t>FOREST</t>
  </si>
  <si>
    <t>PP</t>
  </si>
  <si>
    <t>NEXT</t>
  </si>
  <si>
    <t>Health</t>
  </si>
  <si>
    <t>PREV</t>
  </si>
  <si>
    <t>Selected</t>
  </si>
  <si>
    <t>Gabriel</t>
  </si>
  <si>
    <t>dos Santos Magalhães</t>
  </si>
  <si>
    <t>Kai</t>
  </si>
  <si>
    <t>Havertz</t>
  </si>
  <si>
    <t>Martinelli Silva</t>
  </si>
  <si>
    <t>Martinelli</t>
  </si>
  <si>
    <t>Martin</t>
  </si>
  <si>
    <t>Ødegaard</t>
  </si>
  <si>
    <t>David</t>
  </si>
  <si>
    <t>Raya Martin</t>
  </si>
  <si>
    <t>Raya</t>
  </si>
  <si>
    <t>Bukayo</t>
  </si>
  <si>
    <t>Saka</t>
  </si>
  <si>
    <t>William</t>
  </si>
  <si>
    <t>Saliba</t>
  </si>
  <si>
    <t>Leandro</t>
  </si>
  <si>
    <t>Trossard</t>
  </si>
  <si>
    <t>Benjamin</t>
  </si>
  <si>
    <t>White</t>
  </si>
  <si>
    <t>Oleksandr</t>
  </si>
  <si>
    <t>Zinchenko</t>
  </si>
  <si>
    <t>Norberto</t>
  </si>
  <si>
    <t>Murara Neto</t>
  </si>
  <si>
    <t>Neto</t>
  </si>
  <si>
    <t>Raheem</t>
  </si>
  <si>
    <t>Sterling</t>
  </si>
  <si>
    <t>Leon</t>
  </si>
  <si>
    <t>Bailey</t>
  </si>
  <si>
    <t>Lucas</t>
  </si>
  <si>
    <t>Digne</t>
  </si>
  <si>
    <t>Jhon</t>
  </si>
  <si>
    <t>Durán</t>
  </si>
  <si>
    <t>Duran</t>
  </si>
  <si>
    <t>Ezri</t>
  </si>
  <si>
    <t>Konsa Ngoyo</t>
  </si>
  <si>
    <t>Konsa</t>
  </si>
  <si>
    <t>Youri</t>
  </si>
  <si>
    <t>Tielemans</t>
  </si>
  <si>
    <t>Ollie</t>
  </si>
  <si>
    <t>Watkins</t>
  </si>
  <si>
    <t>Amadou</t>
  </si>
  <si>
    <t>Onana</t>
  </si>
  <si>
    <t>Lewis</t>
  </si>
  <si>
    <t>Cook</t>
  </si>
  <si>
    <t>Justin</t>
  </si>
  <si>
    <t>Kluivert</t>
  </si>
  <si>
    <t>Antoine</t>
  </si>
  <si>
    <t>Semenyo</t>
  </si>
  <si>
    <t>Adam</t>
  </si>
  <si>
    <t>Smith</t>
  </si>
  <si>
    <t>Marcus</t>
  </si>
  <si>
    <t>Tavernier</t>
  </si>
  <si>
    <t>Mark</t>
  </si>
  <si>
    <t>Flekken</t>
  </si>
  <si>
    <t>Vitaly</t>
  </si>
  <si>
    <t>Janelt</t>
  </si>
  <si>
    <t>Mathias</t>
  </si>
  <si>
    <t>Jensen</t>
  </si>
  <si>
    <t>Keane</t>
  </si>
  <si>
    <t>Lewis-Potter</t>
  </si>
  <si>
    <t>Bryan</t>
  </si>
  <si>
    <t>Mbeumo</t>
  </si>
  <si>
    <t>Yoane</t>
  </si>
  <si>
    <t>Wissa</t>
  </si>
  <si>
    <t>Simon</t>
  </si>
  <si>
    <t>Adingra</t>
  </si>
  <si>
    <t>Pascal</t>
  </si>
  <si>
    <t>Groß</t>
  </si>
  <si>
    <t>Gross</t>
  </si>
  <si>
    <t>João Pedro</t>
  </si>
  <si>
    <t>Junqueira de Jesus</t>
  </si>
  <si>
    <t>Jan Paul</t>
  </si>
  <si>
    <t>van Hecke</t>
  </si>
  <si>
    <t>Van Hecke</t>
  </si>
  <si>
    <t>Joël</t>
  </si>
  <si>
    <t>Veltman</t>
  </si>
  <si>
    <t>Danny</t>
  </si>
  <si>
    <t>Welbeck</t>
  </si>
  <si>
    <t>Moisés</t>
  </si>
  <si>
    <t>Caicedo Corozo</t>
  </si>
  <si>
    <t>Caicedo</t>
  </si>
  <si>
    <t>Levi</t>
  </si>
  <si>
    <t>Colwill</t>
  </si>
  <si>
    <t>Enzo</t>
  </si>
  <si>
    <t>Fernández</t>
  </si>
  <si>
    <t>Conor</t>
  </si>
  <si>
    <t>Gallagher</t>
  </si>
  <si>
    <t>Noni</t>
  </si>
  <si>
    <t>Madueke</t>
  </si>
  <si>
    <t>Nicolas</t>
  </si>
  <si>
    <t>Jackson</t>
  </si>
  <si>
    <t>N.Jackson</t>
  </si>
  <si>
    <t>Cole</t>
  </si>
  <si>
    <t>Palmer</t>
  </si>
  <si>
    <t>Chris</t>
  </si>
  <si>
    <t>Richards</t>
  </si>
  <si>
    <t>C.Richards</t>
  </si>
  <si>
    <t>Eberechi</t>
  </si>
  <si>
    <t>Eze</t>
  </si>
  <si>
    <t>Marc</t>
  </si>
  <si>
    <t>Guéhi</t>
  </si>
  <si>
    <t>Jean-Philippe</t>
  </si>
  <si>
    <t>Mateta</t>
  </si>
  <si>
    <t>Tyrick</t>
  </si>
  <si>
    <t>Mitchell</t>
  </si>
  <si>
    <t>Jarrad</t>
  </si>
  <si>
    <t>Branthwaite</t>
  </si>
  <si>
    <t>Dominic</t>
  </si>
  <si>
    <t>Calvert-Lewin</t>
  </si>
  <si>
    <t>Jack</t>
  </si>
  <si>
    <t>Harrison</t>
  </si>
  <si>
    <t>Dwight</t>
  </si>
  <si>
    <t>McNeil</t>
  </si>
  <si>
    <t>Vitalii</t>
  </si>
  <si>
    <t>Mykolenko</t>
  </si>
  <si>
    <t>Jordan</t>
  </si>
  <si>
    <t>Pickford</t>
  </si>
  <si>
    <t>Ashley</t>
  </si>
  <si>
    <t>Young</t>
  </si>
  <si>
    <t>Joachim</t>
  </si>
  <si>
    <t>Andersen</t>
  </si>
  <si>
    <t>Andreas</t>
  </si>
  <si>
    <t>Hoelgebaum Pereira</t>
  </si>
  <si>
    <t>Calvin</t>
  </si>
  <si>
    <t>Bassey</t>
  </si>
  <si>
    <t>Timothy</t>
  </si>
  <si>
    <t>Castagne</t>
  </si>
  <si>
    <t>Alex</t>
  </si>
  <si>
    <t>Iwobi</t>
  </si>
  <si>
    <t>Bernd</t>
  </si>
  <si>
    <t>Leno</t>
  </si>
  <si>
    <t>Rodrigo</t>
  </si>
  <si>
    <t>Muniz Carvalho</t>
  </si>
  <si>
    <t>Muniz</t>
  </si>
  <si>
    <t>Raúl</t>
  </si>
  <si>
    <t>Jiménez</t>
  </si>
  <si>
    <t>Antonee</t>
  </si>
  <si>
    <t>Robinson</t>
  </si>
  <si>
    <t>Harry</t>
  </si>
  <si>
    <t>Wilson</t>
  </si>
  <si>
    <t>Dara</t>
  </si>
  <si>
    <t>O'Shea</t>
  </si>
  <si>
    <t>Chiedozie</t>
  </si>
  <si>
    <t>Ogbene</t>
  </si>
  <si>
    <t>Facundo</t>
  </si>
  <si>
    <t>Buonanotte</t>
  </si>
  <si>
    <t>Alisson</t>
  </si>
  <si>
    <t>Ramses Becker</t>
  </si>
  <si>
    <t>A.Becker</t>
  </si>
  <si>
    <t>Trent</t>
  </si>
  <si>
    <t>Alexander-Arnold</t>
  </si>
  <si>
    <t>Darwin</t>
  </si>
  <si>
    <t>Núñez Ribeiro</t>
  </si>
  <si>
    <t>Diogo</t>
  </si>
  <si>
    <t>Teixeira da Silva</t>
  </si>
  <si>
    <t>Diogo J.</t>
  </si>
  <si>
    <t>Harvey</t>
  </si>
  <si>
    <t>Elliott</t>
  </si>
  <si>
    <t>Ibrahima</t>
  </si>
  <si>
    <t>Konaté</t>
  </si>
  <si>
    <t>Luis</t>
  </si>
  <si>
    <t>Díaz</t>
  </si>
  <si>
    <t>Luis Díaz</t>
  </si>
  <si>
    <t>Mohamed</t>
  </si>
  <si>
    <t>Salah</t>
  </si>
  <si>
    <t>M.Salah</t>
  </si>
  <si>
    <t>Alexis</t>
  </si>
  <si>
    <t>Mac Allister</t>
  </si>
  <si>
    <t>Andrew</t>
  </si>
  <si>
    <t>Robertson</t>
  </si>
  <si>
    <t>Dominik</t>
  </si>
  <si>
    <t>Szoboszlai</t>
  </si>
  <si>
    <t>Virgil</t>
  </si>
  <si>
    <t>van Dijk</t>
  </si>
  <si>
    <t>Nathan</t>
  </si>
  <si>
    <t>Aké</t>
  </si>
  <si>
    <t>Bernardo</t>
  </si>
  <si>
    <t>Veiga de Carvalho e Silva</t>
  </si>
  <si>
    <t>Jérémy</t>
  </si>
  <si>
    <t>Doku</t>
  </si>
  <si>
    <t>Ederson</t>
  </si>
  <si>
    <t>Santana de Moraes</t>
  </si>
  <si>
    <t>Ederson M.</t>
  </si>
  <si>
    <t>Phil</t>
  </si>
  <si>
    <t>Foden</t>
  </si>
  <si>
    <t>Joško</t>
  </si>
  <si>
    <t>Gvardiol</t>
  </si>
  <si>
    <t>Erling</t>
  </si>
  <si>
    <t>Haaland</t>
  </si>
  <si>
    <t>Julián</t>
  </si>
  <si>
    <t>Álvarez</t>
  </si>
  <si>
    <t>J.Alvarez</t>
  </si>
  <si>
    <t>Mateo</t>
  </si>
  <si>
    <t>Kovačić</t>
  </si>
  <si>
    <t>Bruno</t>
  </si>
  <si>
    <t>Borges Fernandes</t>
  </si>
  <si>
    <t>B.Fernandes</t>
  </si>
  <si>
    <t>Dalot Teixeira</t>
  </si>
  <si>
    <t>Dalot</t>
  </si>
  <si>
    <t>Alejandro</t>
  </si>
  <si>
    <t>Garnacho</t>
  </si>
  <si>
    <t>Rasmus</t>
  </si>
  <si>
    <t>Højlund</t>
  </si>
  <si>
    <t>Maguire</t>
  </si>
  <si>
    <t>André</t>
  </si>
  <si>
    <t>Rashford</t>
  </si>
  <si>
    <t>Barnes</t>
  </si>
  <si>
    <t>Guimarães Rodriguez Moura</t>
  </si>
  <si>
    <t>Bruno G.</t>
  </si>
  <si>
    <t>Anthony</t>
  </si>
  <si>
    <t>Gordon</t>
  </si>
  <si>
    <t>Alexander</t>
  </si>
  <si>
    <t>Isak</t>
  </si>
  <si>
    <t>Jacob</t>
  </si>
  <si>
    <t>Murphy</t>
  </si>
  <si>
    <t>J.Murphy</t>
  </si>
  <si>
    <t>Danilo</t>
  </si>
  <si>
    <t>dos Santos de Oliveira</t>
  </si>
  <si>
    <t>Elanga</t>
  </si>
  <si>
    <t>Morgan</t>
  </si>
  <si>
    <t>Gibbs-White</t>
  </si>
  <si>
    <t>Callum</t>
  </si>
  <si>
    <t>Hudson-Odoi</t>
  </si>
  <si>
    <t>Murillo</t>
  </si>
  <si>
    <t>Santiago Costa dos Santos</t>
  </si>
  <si>
    <t>Wood</t>
  </si>
  <si>
    <t>Brennan</t>
  </si>
  <si>
    <t>Johnson</t>
  </si>
  <si>
    <t>Dejan</t>
  </si>
  <si>
    <t>Kulusevski</t>
  </si>
  <si>
    <t>James</t>
  </si>
  <si>
    <t>Maddison</t>
  </si>
  <si>
    <t>Pedro</t>
  </si>
  <si>
    <t>Porro</t>
  </si>
  <si>
    <t>Pedro Porro</t>
  </si>
  <si>
    <t>Richarlison</t>
  </si>
  <si>
    <t>de Andrade</t>
  </si>
  <si>
    <t>Cristian</t>
  </si>
  <si>
    <t>Romero</t>
  </si>
  <si>
    <t>Son</t>
  </si>
  <si>
    <t>Heung-min</t>
  </si>
  <si>
    <t>Destiny</t>
  </si>
  <si>
    <t>Udogie</t>
  </si>
  <si>
    <t>Micky</t>
  </si>
  <si>
    <t>van de Ven</t>
  </si>
  <si>
    <t>Van de Ven</t>
  </si>
  <si>
    <t>Guglielmo</t>
  </si>
  <si>
    <t>Vicario</t>
  </si>
  <si>
    <t>Odobert</t>
  </si>
  <si>
    <t>Michail</t>
  </si>
  <si>
    <t>Antonio</t>
  </si>
  <si>
    <t>Alphonse</t>
  </si>
  <si>
    <t>Areola</t>
  </si>
  <si>
    <t>Jarrod</t>
  </si>
  <si>
    <t>Bowen</t>
  </si>
  <si>
    <t>Vladimír</t>
  </si>
  <si>
    <t>Coufal</t>
  </si>
  <si>
    <t>Wes</t>
  </si>
  <si>
    <t>Foderingham</t>
  </si>
  <si>
    <t>Max</t>
  </si>
  <si>
    <t>Kilman</t>
  </si>
  <si>
    <t>Mohammed</t>
  </si>
  <si>
    <t>Kudus</t>
  </si>
  <si>
    <t>Tolentino Coelho de Lima</t>
  </si>
  <si>
    <t>L.Paquetá</t>
  </si>
  <si>
    <t>Tomáš</t>
  </si>
  <si>
    <t>Souček</t>
  </si>
  <si>
    <t>Rayan</t>
  </si>
  <si>
    <t>Aït-Nouri</t>
  </si>
  <si>
    <t>Jean-Ricner</t>
  </si>
  <si>
    <t>Bellegarde</t>
  </si>
  <si>
    <t>Matheus</t>
  </si>
  <si>
    <t>Santos Carneiro Da Cunha</t>
  </si>
  <si>
    <t>Cunha</t>
  </si>
  <si>
    <t>José</t>
  </si>
  <si>
    <t>Malheiro de Sá</t>
  </si>
  <si>
    <t>José Sá</t>
  </si>
  <si>
    <t>Mario</t>
  </si>
  <si>
    <t>Lemina</t>
  </si>
  <si>
    <t>Mario Jr.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</si>
</sst>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M133" totalsRowShown="0">
  <autoFilter ref="A1:AM133" xr:uid="{00000000-0009-0000-0100-000001000000}">
    <filterColumn colId="38">
      <filters>
        <filter val="1"/>
      </filters>
    </filterColumn>
  </autoFilter>
  <sortState xmlns:xlrd2="http://schemas.microsoft.com/office/spreadsheetml/2017/richdata2" ref="A2:AM112">
    <sortCondition descending="1" ref="D1:D133"/>
  </sortState>
  <tableColumns count="39">
    <tableColumn id="1" xr3:uid="{00000000-0010-0000-0000-000001000000}" name="First Name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OU"/>
    <tableColumn id="13" xr3:uid="{00000000-0010-0000-0000-00000D000000}" name="BRE"/>
    <tableColumn id="14" xr3:uid="{00000000-0010-0000-0000-00000E000000}" name="BHA"/>
    <tableColumn id="15" xr3:uid="{00000000-0010-0000-0000-00000F000000}" name="CHE"/>
    <tableColumn id="16" xr3:uid="{00000000-0010-0000-0000-000010000000}" name="CRY"/>
    <tableColumn id="17" xr3:uid="{00000000-0010-0000-0000-000011000000}" name="EVE"/>
    <tableColumn id="18" xr3:uid="{00000000-0010-0000-0000-000012000000}" name="FUL"/>
    <tableColumn id="19" xr3:uid="{00000000-0010-0000-0000-000013000000}" name="IPS"/>
    <tableColumn id="20" xr3:uid="{00000000-0010-0000-0000-000014000000}" name="LEI"/>
    <tableColumn id="21" xr3:uid="{00000000-0010-0000-0000-000015000000}" name="LIV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OU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0" xr3:uid="{00000000-0010-0000-0000-00001E000000}" name="Cost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4" xr3:uid="{00000000-0010-0000-0000-000022000000}" name="FOREST"/>
    <tableColumn id="35" xr3:uid="{00000000-0010-0000-0000-000023000000}" name="PP"/>
    <tableColumn id="36" xr3:uid="{00000000-0010-0000-0000-000024000000}" name="NEXT"/>
    <tableColumn id="37" xr3:uid="{00000000-0010-0000-0000-000025000000}" name="Health"/>
    <tableColumn id="38" xr3:uid="{00000000-0010-0000-0000-000026000000}" name="PREV"/>
    <tableColumn id="39" xr3:uid="{00000000-0010-0000-0000-000027000000}" name="Select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33"/>
  <sheetViews>
    <sheetView tabSelected="1" workbookViewId="0">
      <selection activeCell="AM30" sqref="AM30"/>
    </sheetView>
  </sheetViews>
  <sheetFormatPr baseColWidth="10" defaultColWidth="8.83203125" defaultRowHeight="15" x14ac:dyDescent="0.2"/>
  <cols>
    <col min="5" max="8" width="0" hidden="1" customWidth="1"/>
    <col min="10" max="29" width="0" hidden="1" customWidth="1"/>
    <col min="31" max="34" width="0" hidden="1" customWidth="1"/>
  </cols>
  <sheetData>
    <row r="1" spans="1:43" x14ac:dyDescent="0.2">
      <c r="A1" t="s">
        <v>31</v>
      </c>
      <c r="B1" t="s">
        <v>32</v>
      </c>
      <c r="C1" t="s">
        <v>33</v>
      </c>
      <c r="D1" t="s">
        <v>34</v>
      </c>
      <c r="E1" t="s">
        <v>3</v>
      </c>
      <c r="F1" t="s">
        <v>4</v>
      </c>
      <c r="G1" t="s">
        <v>5</v>
      </c>
      <c r="H1" t="s">
        <v>6</v>
      </c>
      <c r="I1" t="s">
        <v>35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9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</row>
    <row r="2" spans="1:43" x14ac:dyDescent="0.2">
      <c r="A2" t="s">
        <v>208</v>
      </c>
      <c r="B2" t="s">
        <v>209</v>
      </c>
      <c r="C2" t="s">
        <v>210</v>
      </c>
      <c r="D2" t="s">
        <v>5</v>
      </c>
      <c r="E2">
        <v>0</v>
      </c>
      <c r="F2">
        <v>0</v>
      </c>
      <c r="G2">
        <v>1</v>
      </c>
      <c r="H2">
        <v>0</v>
      </c>
      <c r="I2" t="s">
        <v>22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12.8</v>
      </c>
      <c r="AE2">
        <v>389</v>
      </c>
      <c r="AF2">
        <v>34.569377990430603</v>
      </c>
      <c r="AG2">
        <v>35.432222760732273</v>
      </c>
      <c r="AH2">
        <v>35.549892498029102</v>
      </c>
      <c r="AI2">
        <f>44.4300709171674*1</f>
        <v>44.430070917167399</v>
      </c>
      <c r="AJ2">
        <f>8.85753234635956*1</f>
        <v>8.8575323463595605</v>
      </c>
      <c r="AK2">
        <v>1</v>
      </c>
      <c r="AL2">
        <v>0</v>
      </c>
      <c r="AM2">
        <v>1</v>
      </c>
      <c r="AO2" t="s">
        <v>0</v>
      </c>
      <c r="AP2">
        <f>SUMPRODUCT(Table1[Selected], Table1[PP])</f>
        <v>420.81004390849478</v>
      </c>
      <c r="AQ2" t="s">
        <v>1</v>
      </c>
    </row>
    <row r="3" spans="1:43" hidden="1" x14ac:dyDescent="0.2">
      <c r="A3" t="s">
        <v>47</v>
      </c>
      <c r="B3" t="s">
        <v>48</v>
      </c>
      <c r="C3" t="s">
        <v>48</v>
      </c>
      <c r="D3" t="s">
        <v>6</v>
      </c>
      <c r="E3">
        <v>0</v>
      </c>
      <c r="F3">
        <v>0</v>
      </c>
      <c r="G3">
        <v>0</v>
      </c>
      <c r="H3">
        <v>1</v>
      </c>
      <c r="I3" t="s">
        <v>11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8.1999999999999993</v>
      </c>
      <c r="AE3">
        <v>3</v>
      </c>
      <c r="AF3">
        <v>29.960284940673031</v>
      </c>
      <c r="AG3">
        <v>15.45879474818134</v>
      </c>
      <c r="AH3">
        <v>18.688710757855379</v>
      </c>
      <c r="AI3">
        <f>8.50768190531173*1</f>
        <v>8.5076819053117294</v>
      </c>
      <c r="AJ3">
        <f>1.71098596646896*1</f>
        <v>1.71098596646896</v>
      </c>
      <c r="AK3">
        <v>1</v>
      </c>
      <c r="AL3">
        <v>0</v>
      </c>
      <c r="AM3">
        <v>0</v>
      </c>
    </row>
    <row r="4" spans="1:43" hidden="1" x14ac:dyDescent="0.2">
      <c r="A4" t="s">
        <v>45</v>
      </c>
      <c r="B4" t="s">
        <v>49</v>
      </c>
      <c r="C4" t="s">
        <v>50</v>
      </c>
      <c r="D4" t="s">
        <v>5</v>
      </c>
      <c r="E4">
        <v>0</v>
      </c>
      <c r="F4">
        <v>0</v>
      </c>
      <c r="G4">
        <v>1</v>
      </c>
      <c r="H4">
        <v>0</v>
      </c>
      <c r="I4" t="s">
        <v>11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6.9</v>
      </c>
      <c r="AE4">
        <v>8</v>
      </c>
      <c r="AF4">
        <v>22.297297297297309</v>
      </c>
      <c r="AG4">
        <v>30.44016867447419</v>
      </c>
      <c r="AH4">
        <v>22.131818181818179</v>
      </c>
      <c r="AI4">
        <f>19.8353266463247*1</f>
        <v>19.835326646324699</v>
      </c>
      <c r="AJ4">
        <f>3.89091446069484*1</f>
        <v>3.89091446069484</v>
      </c>
      <c r="AK4">
        <v>1</v>
      </c>
      <c r="AL4">
        <v>0</v>
      </c>
      <c r="AM4">
        <v>0</v>
      </c>
      <c r="AO4" t="s">
        <v>2</v>
      </c>
      <c r="AP4">
        <f>SUMPRODUCT(Table1[Selected],Table1[Cost])</f>
        <v>98.6</v>
      </c>
      <c r="AQ4">
        <v>99.3</v>
      </c>
    </row>
    <row r="5" spans="1:43" hidden="1" x14ac:dyDescent="0.2">
      <c r="A5" t="s">
        <v>51</v>
      </c>
      <c r="B5" t="s">
        <v>52</v>
      </c>
      <c r="C5" t="s">
        <v>52</v>
      </c>
      <c r="D5" t="s">
        <v>5</v>
      </c>
      <c r="E5">
        <v>0</v>
      </c>
      <c r="F5">
        <v>0</v>
      </c>
      <c r="G5">
        <v>1</v>
      </c>
      <c r="H5">
        <v>0</v>
      </c>
      <c r="I5" t="s">
        <v>11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8.1999999999999993</v>
      </c>
      <c r="AE5">
        <v>10</v>
      </c>
      <c r="AF5">
        <v>23.432203389830509</v>
      </c>
      <c r="AG5">
        <v>23.368339960525098</v>
      </c>
      <c r="AH5">
        <v>28.328284788917919</v>
      </c>
      <c r="AI5">
        <f>8.52523850463648*1</f>
        <v>8.52523850463648</v>
      </c>
      <c r="AJ5">
        <f>1.65788721357512*1</f>
        <v>1.6578872135751199</v>
      </c>
      <c r="AK5">
        <v>1</v>
      </c>
      <c r="AL5">
        <v>0</v>
      </c>
      <c r="AM5">
        <v>0</v>
      </c>
    </row>
    <row r="6" spans="1:43" x14ac:dyDescent="0.2">
      <c r="A6" t="s">
        <v>205</v>
      </c>
      <c r="B6" t="s">
        <v>206</v>
      </c>
      <c r="C6" t="s">
        <v>207</v>
      </c>
      <c r="D6" t="s">
        <v>5</v>
      </c>
      <c r="E6">
        <v>0</v>
      </c>
      <c r="F6">
        <v>0</v>
      </c>
      <c r="G6">
        <v>1</v>
      </c>
      <c r="H6">
        <v>0</v>
      </c>
      <c r="I6" t="s">
        <v>22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8</v>
      </c>
      <c r="AE6">
        <v>388</v>
      </c>
      <c r="AF6">
        <v>20.67164179104477</v>
      </c>
      <c r="AG6">
        <v>13.991417067371231</v>
      </c>
      <c r="AH6">
        <v>36.103783744594857</v>
      </c>
      <c r="AI6">
        <f>32.9299838068258*1</f>
        <v>32.929983806825803</v>
      </c>
      <c r="AJ6">
        <f>6.51347077785758*1</f>
        <v>6.51347077785758</v>
      </c>
      <c r="AK6">
        <v>1</v>
      </c>
      <c r="AL6">
        <v>0</v>
      </c>
      <c r="AM6">
        <v>1</v>
      </c>
      <c r="AO6" t="s">
        <v>3</v>
      </c>
      <c r="AP6">
        <f>SUMPRODUCT(Table1[Selected],Table1[GKP])</f>
        <v>2</v>
      </c>
      <c r="AQ6">
        <v>2</v>
      </c>
    </row>
    <row r="7" spans="1:43" hidden="1" x14ac:dyDescent="0.2">
      <c r="A7" t="s">
        <v>56</v>
      </c>
      <c r="B7" t="s">
        <v>57</v>
      </c>
      <c r="C7" t="s">
        <v>57</v>
      </c>
      <c r="D7" t="s">
        <v>5</v>
      </c>
      <c r="E7">
        <v>0</v>
      </c>
      <c r="F7">
        <v>0</v>
      </c>
      <c r="G7">
        <v>1</v>
      </c>
      <c r="H7">
        <v>0</v>
      </c>
      <c r="I7" t="s">
        <v>11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10.1</v>
      </c>
      <c r="AE7">
        <v>13</v>
      </c>
      <c r="AF7">
        <v>31.692911828937131</v>
      </c>
      <c r="AG7">
        <v>24.01054651813892</v>
      </c>
      <c r="AH7">
        <v>30.24285714285714</v>
      </c>
      <c r="AI7">
        <f>26.5814474080769*1</f>
        <v>26.581447408076901</v>
      </c>
      <c r="AJ7">
        <f>5.32665574859579*1</f>
        <v>5.3266557485957904</v>
      </c>
      <c r="AK7">
        <v>1</v>
      </c>
      <c r="AL7">
        <v>1</v>
      </c>
      <c r="AM7">
        <v>0</v>
      </c>
      <c r="AO7" t="s">
        <v>4</v>
      </c>
      <c r="AP7">
        <f>SUMPRODUCT(Table1[Selected],Table1[DEF])</f>
        <v>5</v>
      </c>
      <c r="AQ7">
        <v>5</v>
      </c>
    </row>
    <row r="8" spans="1:43" x14ac:dyDescent="0.2">
      <c r="A8" t="s">
        <v>132</v>
      </c>
      <c r="B8" t="s">
        <v>133</v>
      </c>
      <c r="C8" t="s">
        <v>133</v>
      </c>
      <c r="D8" t="s">
        <v>5</v>
      </c>
      <c r="E8">
        <v>0</v>
      </c>
      <c r="F8">
        <v>0</v>
      </c>
      <c r="G8">
        <v>1</v>
      </c>
      <c r="H8">
        <v>0</v>
      </c>
      <c r="I8" t="s">
        <v>16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6.6</v>
      </c>
      <c r="AE8">
        <v>200</v>
      </c>
      <c r="AF8">
        <v>26.323981003180091</v>
      </c>
      <c r="AG8">
        <v>13.45496822729636</v>
      </c>
      <c r="AH8">
        <v>48.887685395110033</v>
      </c>
      <c r="AI8">
        <f>29.4123499952713*1</f>
        <v>29.412349995271299</v>
      </c>
      <c r="AJ8">
        <f>5.45790778431175*1</f>
        <v>5.4579077843117503</v>
      </c>
      <c r="AK8">
        <v>1</v>
      </c>
      <c r="AL8">
        <v>0</v>
      </c>
      <c r="AM8">
        <v>1</v>
      </c>
      <c r="AO8" t="s">
        <v>5</v>
      </c>
      <c r="AP8">
        <f>SUMPRODUCT(Table1[Selected],Table1[MID])</f>
        <v>5</v>
      </c>
      <c r="AQ8">
        <v>5</v>
      </c>
    </row>
    <row r="9" spans="1:43" hidden="1" x14ac:dyDescent="0.2">
      <c r="A9" t="s">
        <v>60</v>
      </c>
      <c r="B9" t="s">
        <v>61</v>
      </c>
      <c r="C9" t="s">
        <v>61</v>
      </c>
      <c r="D9" t="s">
        <v>5</v>
      </c>
      <c r="E9">
        <v>0</v>
      </c>
      <c r="F9">
        <v>0</v>
      </c>
      <c r="G9">
        <v>1</v>
      </c>
      <c r="H9">
        <v>0</v>
      </c>
      <c r="I9" t="s">
        <v>11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6.9</v>
      </c>
      <c r="AE9">
        <v>18</v>
      </c>
      <c r="AF9">
        <v>20.651651505626329</v>
      </c>
      <c r="AG9">
        <v>18.481736684415459</v>
      </c>
      <c r="AH9">
        <v>32.308259013459882</v>
      </c>
      <c r="AI9">
        <f>16.9343675995636*1</f>
        <v>16.9343675995636</v>
      </c>
      <c r="AJ9">
        <f>3.28291605008921*1</f>
        <v>3.2829160500892098</v>
      </c>
      <c r="AK9">
        <v>1</v>
      </c>
      <c r="AL9">
        <v>0</v>
      </c>
      <c r="AM9">
        <v>0</v>
      </c>
      <c r="AO9" t="s">
        <v>6</v>
      </c>
      <c r="AP9">
        <f>SUMPRODUCT(Table1[Selected],Table1[FWD])</f>
        <v>3</v>
      </c>
      <c r="AQ9">
        <v>3</v>
      </c>
    </row>
    <row r="10" spans="1:43" hidden="1" x14ac:dyDescent="0.2">
      <c r="A10" t="s">
        <v>62</v>
      </c>
      <c r="B10" t="s">
        <v>63</v>
      </c>
      <c r="C10" t="s">
        <v>63</v>
      </c>
      <c r="D10" t="s">
        <v>4</v>
      </c>
      <c r="E10">
        <v>0</v>
      </c>
      <c r="F10">
        <v>1</v>
      </c>
      <c r="G10">
        <v>0</v>
      </c>
      <c r="H10">
        <v>0</v>
      </c>
      <c r="I10" t="s">
        <v>11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6.4</v>
      </c>
      <c r="AE10">
        <v>19</v>
      </c>
      <c r="AF10">
        <v>22.337662337662319</v>
      </c>
      <c r="AG10">
        <v>19.239131614041469</v>
      </c>
      <c r="AH10">
        <v>21.90856063007077</v>
      </c>
      <c r="AI10">
        <f>10.335791936251*1</f>
        <v>10.335791936251001</v>
      </c>
      <c r="AJ10">
        <f>2.02838097443363*1</f>
        <v>2.0283809744336301</v>
      </c>
      <c r="AK10">
        <v>1</v>
      </c>
      <c r="AL10">
        <v>0</v>
      </c>
      <c r="AM10">
        <v>0</v>
      </c>
    </row>
    <row r="11" spans="1:43" hidden="1" x14ac:dyDescent="0.2">
      <c r="A11" t="s">
        <v>64</v>
      </c>
      <c r="B11" t="s">
        <v>65</v>
      </c>
      <c r="C11" t="s">
        <v>65</v>
      </c>
      <c r="D11" t="s">
        <v>4</v>
      </c>
      <c r="E11">
        <v>0</v>
      </c>
      <c r="F11">
        <v>1</v>
      </c>
      <c r="G11">
        <v>0</v>
      </c>
      <c r="H11">
        <v>0</v>
      </c>
      <c r="I11" t="s">
        <v>11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4.8</v>
      </c>
      <c r="AE11">
        <v>20</v>
      </c>
      <c r="AF11">
        <v>17.008547008547001</v>
      </c>
      <c r="AG11">
        <v>17.746236433349111</v>
      </c>
      <c r="AH11">
        <v>17.689261481479299</v>
      </c>
      <c r="AI11">
        <f>9.19627420558061*1</f>
        <v>9.1962742055806093</v>
      </c>
      <c r="AJ11">
        <f>1.79374535369417*1</f>
        <v>1.7937453536941701</v>
      </c>
      <c r="AK11">
        <v>1</v>
      </c>
      <c r="AL11">
        <v>0</v>
      </c>
      <c r="AM11">
        <v>0</v>
      </c>
      <c r="AO11" t="s">
        <v>7</v>
      </c>
      <c r="AP11">
        <f>SUMPRODUCT(Table1[Selected], -- (Table1[PREV] = 0))</f>
        <v>11</v>
      </c>
    </row>
    <row r="12" spans="1:43" hidden="1" x14ac:dyDescent="0.2">
      <c r="A12" t="s">
        <v>66</v>
      </c>
      <c r="B12" t="s">
        <v>67</v>
      </c>
      <c r="C12" t="s">
        <v>68</v>
      </c>
      <c r="D12" t="s">
        <v>3</v>
      </c>
      <c r="E12">
        <v>1</v>
      </c>
      <c r="F12">
        <v>0</v>
      </c>
      <c r="G12">
        <v>0</v>
      </c>
      <c r="H12">
        <v>0</v>
      </c>
      <c r="I12" t="s">
        <v>11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4.3</v>
      </c>
      <c r="AE12">
        <v>21</v>
      </c>
      <c r="AF12">
        <v>17.324115509868388</v>
      </c>
      <c r="AG12">
        <v>18.901169053678728</v>
      </c>
      <c r="AH12">
        <v>10.764432624793161</v>
      </c>
      <c r="AI12">
        <f>11.2198017165953*1</f>
        <v>11.219801716595301</v>
      </c>
      <c r="AJ12">
        <f>1.92513456847392*1</f>
        <v>1.9251345684739201</v>
      </c>
      <c r="AK12">
        <v>1</v>
      </c>
      <c r="AL12">
        <v>0</v>
      </c>
      <c r="AM12">
        <v>0</v>
      </c>
      <c r="AO12" t="s">
        <v>8</v>
      </c>
      <c r="AP12">
        <v>15</v>
      </c>
    </row>
    <row r="13" spans="1:43" hidden="1" x14ac:dyDescent="0.2">
      <c r="A13" t="s">
        <v>69</v>
      </c>
      <c r="B13" t="s">
        <v>70</v>
      </c>
      <c r="C13" t="s">
        <v>70</v>
      </c>
      <c r="D13" t="s">
        <v>5</v>
      </c>
      <c r="E13">
        <v>0</v>
      </c>
      <c r="F13">
        <v>0</v>
      </c>
      <c r="G13">
        <v>1</v>
      </c>
      <c r="H13">
        <v>0</v>
      </c>
      <c r="I13" t="s">
        <v>11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6.8</v>
      </c>
      <c r="AE13">
        <v>22</v>
      </c>
      <c r="AF13">
        <v>18.32078458197395</v>
      </c>
      <c r="AG13">
        <v>26.5862466376635</v>
      </c>
      <c r="AH13">
        <v>12.6</v>
      </c>
      <c r="AI13">
        <f>8.76289979236642*1</f>
        <v>8.7628997923664205</v>
      </c>
      <c r="AJ13">
        <f>1.81508829369136*1</f>
        <v>1.8150882936913599</v>
      </c>
      <c r="AK13">
        <v>1</v>
      </c>
      <c r="AL13">
        <v>0</v>
      </c>
      <c r="AM13">
        <v>0</v>
      </c>
    </row>
    <row r="14" spans="1:43" hidden="1" x14ac:dyDescent="0.2">
      <c r="A14" t="s">
        <v>71</v>
      </c>
      <c r="B14" t="s">
        <v>72</v>
      </c>
      <c r="C14" t="s">
        <v>72</v>
      </c>
      <c r="D14" t="s">
        <v>5</v>
      </c>
      <c r="E14">
        <v>0</v>
      </c>
      <c r="F14">
        <v>0</v>
      </c>
      <c r="G14">
        <v>1</v>
      </c>
      <c r="H14">
        <v>0</v>
      </c>
      <c r="I14" t="s">
        <v>12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6.4</v>
      </c>
      <c r="AE14">
        <v>32</v>
      </c>
      <c r="AF14">
        <v>16.333333333333329</v>
      </c>
      <c r="AG14">
        <v>14.03844254238326</v>
      </c>
      <c r="AH14">
        <v>17.339795383161771</v>
      </c>
      <c r="AI14">
        <f>9.49067369400825*1</f>
        <v>9.4906736940082492</v>
      </c>
      <c r="AJ14">
        <f>1.77906856046128*1</f>
        <v>1.7790685604612799</v>
      </c>
      <c r="AK14">
        <v>1</v>
      </c>
      <c r="AL14">
        <v>0</v>
      </c>
      <c r="AM14">
        <v>0</v>
      </c>
      <c r="AO14" t="s">
        <v>9</v>
      </c>
      <c r="AP14">
        <f>((AP11-AP12)+ABS((AP11-AP12)))/2*4</f>
        <v>0</v>
      </c>
    </row>
    <row r="15" spans="1:43" hidden="1" x14ac:dyDescent="0.2">
      <c r="A15" t="s">
        <v>73</v>
      </c>
      <c r="B15" t="s">
        <v>74</v>
      </c>
      <c r="C15" t="s">
        <v>74</v>
      </c>
      <c r="D15" t="s">
        <v>4</v>
      </c>
      <c r="E15">
        <v>0</v>
      </c>
      <c r="F15">
        <v>1</v>
      </c>
      <c r="G15">
        <v>0</v>
      </c>
      <c r="H15">
        <v>0</v>
      </c>
      <c r="I15" t="s">
        <v>12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4.5999999999999996</v>
      </c>
      <c r="AE15">
        <v>40</v>
      </c>
      <c r="AF15">
        <v>12.45668091276346</v>
      </c>
      <c r="AG15">
        <v>17.642540238689271</v>
      </c>
      <c r="AH15">
        <v>6.6625140372559528</v>
      </c>
      <c r="AI15">
        <f>7.94270781409042*1</f>
        <v>7.9427078140904204</v>
      </c>
      <c r="AJ15">
        <f>1.62541582833565*1</f>
        <v>1.6254158283356499</v>
      </c>
      <c r="AK15">
        <v>1</v>
      </c>
      <c r="AL15">
        <v>0</v>
      </c>
      <c r="AM15">
        <v>0</v>
      </c>
    </row>
    <row r="16" spans="1:43" x14ac:dyDescent="0.2">
      <c r="A16" t="s">
        <v>105</v>
      </c>
      <c r="B16" t="s">
        <v>106</v>
      </c>
      <c r="C16" t="s">
        <v>106</v>
      </c>
      <c r="D16" t="s">
        <v>5</v>
      </c>
      <c r="E16">
        <v>0</v>
      </c>
      <c r="F16">
        <v>0</v>
      </c>
      <c r="G16">
        <v>1</v>
      </c>
      <c r="H16">
        <v>0</v>
      </c>
      <c r="I16" t="s">
        <v>14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7.4</v>
      </c>
      <c r="AE16">
        <v>112</v>
      </c>
      <c r="AF16">
        <v>26.697012244668329</v>
      </c>
      <c r="AG16">
        <v>20.907038765919228</v>
      </c>
      <c r="AH16">
        <v>47.365190761619331</v>
      </c>
      <c r="AI16">
        <f>25.753411251461*1</f>
        <v>25.753411251460999</v>
      </c>
      <c r="AJ16">
        <f>5.03285780613649*1</f>
        <v>5.0328578061364899</v>
      </c>
      <c r="AK16">
        <v>1</v>
      </c>
      <c r="AL16">
        <v>0</v>
      </c>
      <c r="AM16">
        <v>1</v>
      </c>
      <c r="AO16" t="s">
        <v>10</v>
      </c>
      <c r="AP16">
        <f>AP2-AP14*5</f>
        <v>420.81004390849478</v>
      </c>
    </row>
    <row r="17" spans="1:43" hidden="1" x14ac:dyDescent="0.2">
      <c r="A17" t="s">
        <v>78</v>
      </c>
      <c r="B17" t="s">
        <v>79</v>
      </c>
      <c r="C17" t="s">
        <v>80</v>
      </c>
      <c r="D17" t="s">
        <v>4</v>
      </c>
      <c r="E17">
        <v>0</v>
      </c>
      <c r="F17">
        <v>1</v>
      </c>
      <c r="G17">
        <v>0</v>
      </c>
      <c r="H17">
        <v>0</v>
      </c>
      <c r="I17" t="s">
        <v>12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4.5</v>
      </c>
      <c r="AE17">
        <v>48</v>
      </c>
      <c r="AF17">
        <v>13.987730061349691</v>
      </c>
      <c r="AG17">
        <v>12.86050205625817</v>
      </c>
      <c r="AH17">
        <v>22.166375766064242</v>
      </c>
      <c r="AI17">
        <f>10.0457989822298*1</f>
        <v>10.045798982229799</v>
      </c>
      <c r="AJ17">
        <f>2.05671903726914*1</f>
        <v>2.05671903726914</v>
      </c>
      <c r="AK17">
        <v>1</v>
      </c>
      <c r="AL17">
        <v>0</v>
      </c>
      <c r="AM17">
        <v>0</v>
      </c>
    </row>
    <row r="18" spans="1:43" hidden="1" x14ac:dyDescent="0.2">
      <c r="A18" t="s">
        <v>81</v>
      </c>
      <c r="B18" t="s">
        <v>82</v>
      </c>
      <c r="C18" t="s">
        <v>82</v>
      </c>
      <c r="D18" t="s">
        <v>5</v>
      </c>
      <c r="E18">
        <v>0</v>
      </c>
      <c r="F18">
        <v>0</v>
      </c>
      <c r="G18">
        <v>1</v>
      </c>
      <c r="H18">
        <v>0</v>
      </c>
      <c r="I18" t="s">
        <v>12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5.5</v>
      </c>
      <c r="AE18">
        <v>61</v>
      </c>
      <c r="AF18">
        <v>14.16511388802197</v>
      </c>
      <c r="AG18">
        <v>17.857424670820741</v>
      </c>
      <c r="AH18">
        <v>10.181192103567231</v>
      </c>
      <c r="AI18">
        <f>12.9665223642633*1</f>
        <v>12.9665223642633</v>
      </c>
      <c r="AJ18">
        <f>2.76631386683912*1</f>
        <v>2.7663138668391198</v>
      </c>
      <c r="AK18">
        <v>1</v>
      </c>
      <c r="AL18">
        <v>0</v>
      </c>
      <c r="AM18">
        <v>0</v>
      </c>
      <c r="AO18" t="s">
        <v>11</v>
      </c>
      <c r="AP18">
        <f>SUMPRODUCT(Table1[Selected],Table1[ARS])</f>
        <v>3</v>
      </c>
      <c r="AQ18">
        <v>3</v>
      </c>
    </row>
    <row r="19" spans="1:43" hidden="1" x14ac:dyDescent="0.2">
      <c r="A19" t="s">
        <v>83</v>
      </c>
      <c r="B19" t="s">
        <v>84</v>
      </c>
      <c r="C19" t="s">
        <v>84</v>
      </c>
      <c r="D19" t="s">
        <v>6</v>
      </c>
      <c r="E19">
        <v>0</v>
      </c>
      <c r="F19">
        <v>0</v>
      </c>
      <c r="G19">
        <v>0</v>
      </c>
      <c r="H19">
        <v>1</v>
      </c>
      <c r="I19" t="s">
        <v>12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9.1</v>
      </c>
      <c r="AE19">
        <v>62</v>
      </c>
      <c r="AF19">
        <v>29.257681199369419</v>
      </c>
      <c r="AG19">
        <v>23.868475365998279</v>
      </c>
      <c r="AH19">
        <v>43.590030680610802</v>
      </c>
      <c r="AI19">
        <f>20.073026475329*1</f>
        <v>20.073026475329002</v>
      </c>
      <c r="AJ19">
        <f>4.09780223723592*1</f>
        <v>4.0978022372359204</v>
      </c>
      <c r="AK19">
        <v>1</v>
      </c>
      <c r="AL19">
        <v>0</v>
      </c>
      <c r="AM19">
        <v>0</v>
      </c>
      <c r="AO19" t="s">
        <v>12</v>
      </c>
      <c r="AP19">
        <f>SUMPRODUCT(Table1[Selected],Table1[AVL])</f>
        <v>1</v>
      </c>
      <c r="AQ19">
        <v>3</v>
      </c>
    </row>
    <row r="20" spans="1:43" hidden="1" x14ac:dyDescent="0.2">
      <c r="A20" t="s">
        <v>85</v>
      </c>
      <c r="B20" t="s">
        <v>86</v>
      </c>
      <c r="C20" t="s">
        <v>86</v>
      </c>
      <c r="D20" t="s">
        <v>5</v>
      </c>
      <c r="E20">
        <v>0</v>
      </c>
      <c r="F20">
        <v>0</v>
      </c>
      <c r="G20">
        <v>1</v>
      </c>
      <c r="H20">
        <v>0</v>
      </c>
      <c r="I20" t="s">
        <v>12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5.2</v>
      </c>
      <c r="AE20">
        <v>63</v>
      </c>
      <c r="AF20">
        <v>12.356683139455919</v>
      </c>
      <c r="AG20">
        <v>11.3162409857059</v>
      </c>
      <c r="AH20">
        <v>12.40258415251178</v>
      </c>
      <c r="AI20">
        <f>16.9655394550992*1</f>
        <v>16.965539455099201</v>
      </c>
      <c r="AJ20">
        <f>3.52991572456745*1</f>
        <v>3.52991572456745</v>
      </c>
      <c r="AK20">
        <v>1</v>
      </c>
      <c r="AL20">
        <v>0</v>
      </c>
      <c r="AM20">
        <v>0</v>
      </c>
      <c r="AO20" t="s">
        <v>13</v>
      </c>
      <c r="AP20">
        <f>SUMPRODUCT(Table1[Selected],Table1[BOU])</f>
        <v>0</v>
      </c>
      <c r="AQ20">
        <v>3</v>
      </c>
    </row>
    <row r="21" spans="1:43" hidden="1" x14ac:dyDescent="0.2">
      <c r="A21" t="s">
        <v>87</v>
      </c>
      <c r="B21" t="s">
        <v>88</v>
      </c>
      <c r="C21" t="s">
        <v>88</v>
      </c>
      <c r="D21" t="s">
        <v>5</v>
      </c>
      <c r="E21">
        <v>0</v>
      </c>
      <c r="F21">
        <v>0</v>
      </c>
      <c r="G21">
        <v>1</v>
      </c>
      <c r="H21">
        <v>0</v>
      </c>
      <c r="I21" t="s">
        <v>13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5</v>
      </c>
      <c r="AE21">
        <v>74</v>
      </c>
      <c r="AF21">
        <v>13.88293593865788</v>
      </c>
      <c r="AG21">
        <v>8.4478536016372558</v>
      </c>
      <c r="AH21">
        <v>23.28767361111111</v>
      </c>
      <c r="AI21">
        <f>15.0796460621747*1</f>
        <v>15.079646062174699</v>
      </c>
      <c r="AJ21">
        <f>2.77640010550617*1</f>
        <v>2.7764001055061698</v>
      </c>
      <c r="AK21">
        <v>1</v>
      </c>
      <c r="AL21">
        <v>0</v>
      </c>
      <c r="AM21">
        <v>0</v>
      </c>
      <c r="AO21" t="s">
        <v>14</v>
      </c>
      <c r="AP21">
        <f>SUMPRODUCT(Table1[Selected],Table1[BRE])</f>
        <v>1</v>
      </c>
      <c r="AQ21">
        <v>3</v>
      </c>
    </row>
    <row r="22" spans="1:43" hidden="1" x14ac:dyDescent="0.2">
      <c r="A22" t="s">
        <v>89</v>
      </c>
      <c r="B22" t="s">
        <v>90</v>
      </c>
      <c r="C22" t="s">
        <v>90</v>
      </c>
      <c r="D22" t="s">
        <v>5</v>
      </c>
      <c r="E22">
        <v>0</v>
      </c>
      <c r="F22">
        <v>0</v>
      </c>
      <c r="G22">
        <v>1</v>
      </c>
      <c r="H22">
        <v>0</v>
      </c>
      <c r="I22" t="s">
        <v>13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5.4</v>
      </c>
      <c r="AE22">
        <v>81</v>
      </c>
      <c r="AF22">
        <v>14.72972972972974</v>
      </c>
      <c r="AG22">
        <v>25.360676505515261</v>
      </c>
      <c r="AH22">
        <v>10.9</v>
      </c>
      <c r="AI22">
        <f>4.84013911167103*1</f>
        <v>4.8401391116710304</v>
      </c>
      <c r="AJ22">
        <f>0.96959560651961*1</f>
        <v>0.96959560651960996</v>
      </c>
      <c r="AK22">
        <v>1</v>
      </c>
      <c r="AL22">
        <v>0</v>
      </c>
      <c r="AM22">
        <v>0</v>
      </c>
      <c r="AO22" t="s">
        <v>15</v>
      </c>
      <c r="AP22">
        <f>SUMPRODUCT(Table1[Selected],Table1[BHA])</f>
        <v>0</v>
      </c>
      <c r="AQ22">
        <v>3</v>
      </c>
    </row>
    <row r="23" spans="1:43" hidden="1" x14ac:dyDescent="0.2">
      <c r="A23" t="s">
        <v>91</v>
      </c>
      <c r="B23" t="s">
        <v>92</v>
      </c>
      <c r="C23" t="s">
        <v>92</v>
      </c>
      <c r="D23" t="s">
        <v>5</v>
      </c>
      <c r="E23">
        <v>0</v>
      </c>
      <c r="F23">
        <v>0</v>
      </c>
      <c r="G23">
        <v>1</v>
      </c>
      <c r="H23">
        <v>0</v>
      </c>
      <c r="I23" t="s">
        <v>13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5.7</v>
      </c>
      <c r="AE23">
        <v>87</v>
      </c>
      <c r="AF23">
        <v>19.386554340758359</v>
      </c>
      <c r="AG23">
        <v>13.77905114530753</v>
      </c>
      <c r="AH23">
        <v>21.29877789110445</v>
      </c>
      <c r="AI23">
        <f>7.25420862847761*1</f>
        <v>7.2542086284776097</v>
      </c>
      <c r="AJ23">
        <f>1.39076118257287*1</f>
        <v>1.3907611825728701</v>
      </c>
      <c r="AK23">
        <v>1</v>
      </c>
      <c r="AL23">
        <v>0</v>
      </c>
      <c r="AM23">
        <v>0</v>
      </c>
      <c r="AO23" t="s">
        <v>16</v>
      </c>
      <c r="AP23">
        <f>SUMPRODUCT(Table1[Selected],Table1[CHE])</f>
        <v>1</v>
      </c>
      <c r="AQ23">
        <v>3</v>
      </c>
    </row>
    <row r="24" spans="1:43" hidden="1" x14ac:dyDescent="0.2">
      <c r="A24" t="s">
        <v>93</v>
      </c>
      <c r="B24" t="s">
        <v>94</v>
      </c>
      <c r="C24" t="s">
        <v>94</v>
      </c>
      <c r="D24" t="s">
        <v>4</v>
      </c>
      <c r="E24">
        <v>0</v>
      </c>
      <c r="F24">
        <v>1</v>
      </c>
      <c r="G24">
        <v>0</v>
      </c>
      <c r="H24">
        <v>0</v>
      </c>
      <c r="I24" t="s">
        <v>13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4.5</v>
      </c>
      <c r="AE24">
        <v>90</v>
      </c>
      <c r="AF24">
        <v>12.094017094017101</v>
      </c>
      <c r="AG24">
        <v>11.780613290048439</v>
      </c>
      <c r="AH24">
        <v>7.0648148148148149</v>
      </c>
      <c r="AI24">
        <f>9.06176907114617*1</f>
        <v>9.0617690711461698</v>
      </c>
      <c r="AJ24">
        <f>2.072684056301*1</f>
        <v>2.0726840563010001</v>
      </c>
      <c r="AK24">
        <v>1</v>
      </c>
      <c r="AL24">
        <v>0</v>
      </c>
      <c r="AM24">
        <v>0</v>
      </c>
      <c r="AO24" t="s">
        <v>17</v>
      </c>
      <c r="AP24">
        <f>SUMPRODUCT(Table1[Selected],Table1[CRY])</f>
        <v>0</v>
      </c>
      <c r="AQ24">
        <v>3</v>
      </c>
    </row>
    <row r="25" spans="1:43" hidden="1" x14ac:dyDescent="0.2">
      <c r="A25" t="s">
        <v>95</v>
      </c>
      <c r="B25" t="s">
        <v>96</v>
      </c>
      <c r="C25" t="s">
        <v>96</v>
      </c>
      <c r="D25" t="s">
        <v>5</v>
      </c>
      <c r="E25">
        <v>0</v>
      </c>
      <c r="F25">
        <v>0</v>
      </c>
      <c r="G25">
        <v>1</v>
      </c>
      <c r="H25">
        <v>0</v>
      </c>
      <c r="I25" t="s">
        <v>13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5.5</v>
      </c>
      <c r="AE25">
        <v>91</v>
      </c>
      <c r="AF25">
        <v>17.19298245614036</v>
      </c>
      <c r="AG25">
        <v>24.560400553341768</v>
      </c>
      <c r="AH25">
        <v>9.7750000000000004</v>
      </c>
      <c r="AI25">
        <f>13.1522242079597*1</f>
        <v>13.1522242079597</v>
      </c>
      <c r="AJ25">
        <f>2.07284804416087*1</f>
        <v>2.0728480441608701</v>
      </c>
      <c r="AK25">
        <v>1</v>
      </c>
      <c r="AL25">
        <v>0</v>
      </c>
      <c r="AM25">
        <v>0</v>
      </c>
      <c r="AO25" t="s">
        <v>18</v>
      </c>
      <c r="AP25">
        <f>SUMPRODUCT(Table1[Selected],Table1[EVE])</f>
        <v>0</v>
      </c>
      <c r="AQ25">
        <v>3</v>
      </c>
    </row>
    <row r="26" spans="1:43" hidden="1" x14ac:dyDescent="0.2">
      <c r="A26" t="s">
        <v>97</v>
      </c>
      <c r="B26" t="s">
        <v>98</v>
      </c>
      <c r="C26" t="s">
        <v>98</v>
      </c>
      <c r="D26" t="s">
        <v>3</v>
      </c>
      <c r="E26">
        <v>1</v>
      </c>
      <c r="F26">
        <v>0</v>
      </c>
      <c r="G26">
        <v>0</v>
      </c>
      <c r="H26">
        <v>0</v>
      </c>
      <c r="I26" t="s">
        <v>14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4.5</v>
      </c>
      <c r="AE26">
        <v>104</v>
      </c>
      <c r="AF26">
        <v>16.071428571428569</v>
      </c>
      <c r="AG26">
        <v>19.099985345999791</v>
      </c>
      <c r="AH26">
        <v>15.46666666666667</v>
      </c>
      <c r="AI26">
        <f>12.1963480755681*1</f>
        <v>12.1963480755681</v>
      </c>
      <c r="AJ26">
        <f>2.0717457238534*1</f>
        <v>2.0717457238533998</v>
      </c>
      <c r="AK26">
        <v>1</v>
      </c>
      <c r="AL26">
        <v>0</v>
      </c>
      <c r="AM26">
        <v>0</v>
      </c>
      <c r="AO26" t="s">
        <v>19</v>
      </c>
      <c r="AP26">
        <f>SUMPRODUCT(Table1[Selected],Table1[FUL])</f>
        <v>1</v>
      </c>
      <c r="AQ26">
        <v>3</v>
      </c>
    </row>
    <row r="27" spans="1:43" hidden="1" x14ac:dyDescent="0.2">
      <c r="A27" t="s">
        <v>99</v>
      </c>
      <c r="B27" t="s">
        <v>100</v>
      </c>
      <c r="C27" t="s">
        <v>100</v>
      </c>
      <c r="D27" t="s">
        <v>5</v>
      </c>
      <c r="E27">
        <v>0</v>
      </c>
      <c r="F27">
        <v>0</v>
      </c>
      <c r="G27">
        <v>1</v>
      </c>
      <c r="H27">
        <v>0</v>
      </c>
      <c r="I27" t="s">
        <v>14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4.9000000000000004</v>
      </c>
      <c r="AE27">
        <v>107</v>
      </c>
      <c r="AF27">
        <v>12.9245283018868</v>
      </c>
      <c r="AG27">
        <v>12.896622584681319</v>
      </c>
      <c r="AH27">
        <v>11.596798261379631</v>
      </c>
      <c r="AI27">
        <f>9.62447143630475*1</f>
        <v>9.6244714363047503</v>
      </c>
      <c r="AJ27">
        <f>1.87083216420458*1</f>
        <v>1.87083216420458</v>
      </c>
      <c r="AK27">
        <v>1</v>
      </c>
      <c r="AL27">
        <v>0</v>
      </c>
      <c r="AM27">
        <v>0</v>
      </c>
      <c r="AO27" t="s">
        <v>20</v>
      </c>
      <c r="AP27">
        <f>SUMPRODUCT(Table1[Selected],Table1[IPS])</f>
        <v>0</v>
      </c>
      <c r="AQ27">
        <v>3</v>
      </c>
    </row>
    <row r="28" spans="1:43" hidden="1" x14ac:dyDescent="0.2">
      <c r="A28" t="s">
        <v>101</v>
      </c>
      <c r="B28" t="s">
        <v>102</v>
      </c>
      <c r="C28" t="s">
        <v>102</v>
      </c>
      <c r="D28" t="s">
        <v>5</v>
      </c>
      <c r="E28">
        <v>0</v>
      </c>
      <c r="F28">
        <v>0</v>
      </c>
      <c r="G28">
        <v>1</v>
      </c>
      <c r="H28">
        <v>0</v>
      </c>
      <c r="I28" t="s">
        <v>14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5.4</v>
      </c>
      <c r="AE28">
        <v>108</v>
      </c>
      <c r="AF28">
        <v>14.994314332958689</v>
      </c>
      <c r="AG28">
        <v>14.121739588506721</v>
      </c>
      <c r="AH28">
        <v>16.920728006197489</v>
      </c>
      <c r="AI28">
        <f>8.48106615731735*1</f>
        <v>8.4810661573173505</v>
      </c>
      <c r="AJ28">
        <f>1.44543123779873*1</f>
        <v>1.44543123779873</v>
      </c>
      <c r="AK28">
        <v>1</v>
      </c>
      <c r="AL28">
        <v>0</v>
      </c>
      <c r="AM28">
        <v>0</v>
      </c>
      <c r="AO28" t="s">
        <v>21</v>
      </c>
      <c r="AP28">
        <f>SUMPRODUCT(Table1[Selected],Table1[LEI])</f>
        <v>0</v>
      </c>
      <c r="AQ28">
        <v>3</v>
      </c>
    </row>
    <row r="29" spans="1:43" hidden="1" x14ac:dyDescent="0.2">
      <c r="A29" t="s">
        <v>103</v>
      </c>
      <c r="B29" t="s">
        <v>104</v>
      </c>
      <c r="C29" t="s">
        <v>104</v>
      </c>
      <c r="D29" t="s">
        <v>5</v>
      </c>
      <c r="E29">
        <v>0</v>
      </c>
      <c r="F29">
        <v>0</v>
      </c>
      <c r="G29">
        <v>1</v>
      </c>
      <c r="H29">
        <v>0</v>
      </c>
      <c r="I29" t="s">
        <v>14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5</v>
      </c>
      <c r="AE29">
        <v>111</v>
      </c>
      <c r="AF29">
        <v>10.888888888888889</v>
      </c>
      <c r="AG29">
        <v>14.292804633640101</v>
      </c>
      <c r="AH29">
        <v>15.54470987414264</v>
      </c>
      <c r="AI29">
        <f>5.30566423953297*1</f>
        <v>5.3056642395329696</v>
      </c>
      <c r="AJ29">
        <f>0.922407282601572*1</f>
        <v>0.92240728260157201</v>
      </c>
      <c r="AK29">
        <v>1</v>
      </c>
      <c r="AL29">
        <v>0</v>
      </c>
      <c r="AM29">
        <v>0</v>
      </c>
      <c r="AO29" t="s">
        <v>22</v>
      </c>
      <c r="AP29">
        <f>SUMPRODUCT(Table1[Selected],Table1[LIV])</f>
        <v>3</v>
      </c>
      <c r="AQ29">
        <v>3</v>
      </c>
    </row>
    <row r="30" spans="1:43" x14ac:dyDescent="0.2">
      <c r="A30" t="s">
        <v>201</v>
      </c>
      <c r="B30" t="s">
        <v>251</v>
      </c>
      <c r="C30" t="s">
        <v>251</v>
      </c>
      <c r="D30" t="s">
        <v>5</v>
      </c>
      <c r="E30">
        <v>0</v>
      </c>
      <c r="F30">
        <v>0</v>
      </c>
      <c r="G30">
        <v>1</v>
      </c>
      <c r="H30">
        <v>0</v>
      </c>
      <c r="I30" t="s">
        <v>25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6.5</v>
      </c>
      <c r="AE30">
        <v>461</v>
      </c>
      <c r="AF30">
        <v>19.213824803979989</v>
      </c>
      <c r="AG30">
        <v>21.360514452300791</v>
      </c>
      <c r="AH30">
        <v>33.254468677450163</v>
      </c>
      <c r="AI30">
        <f>23.8058472653167*1</f>
        <v>23.8058472653167</v>
      </c>
      <c r="AJ30">
        <f>4.51274016376682*1</f>
        <v>4.5127401637668196</v>
      </c>
      <c r="AK30">
        <v>1</v>
      </c>
      <c r="AL30">
        <v>0</v>
      </c>
      <c r="AM30">
        <v>1</v>
      </c>
      <c r="AO30" t="s">
        <v>23</v>
      </c>
      <c r="AP30">
        <f>SUMPRODUCT(Table1[Selected],Table1[MCI])</f>
        <v>0</v>
      </c>
      <c r="AQ30">
        <v>3</v>
      </c>
    </row>
    <row r="31" spans="1:43" hidden="1" x14ac:dyDescent="0.2">
      <c r="A31" t="s">
        <v>107</v>
      </c>
      <c r="B31" t="s">
        <v>108</v>
      </c>
      <c r="C31" t="s">
        <v>108</v>
      </c>
      <c r="D31" t="s">
        <v>6</v>
      </c>
      <c r="E31">
        <v>0</v>
      </c>
      <c r="F31">
        <v>0</v>
      </c>
      <c r="G31">
        <v>0</v>
      </c>
      <c r="H31">
        <v>1</v>
      </c>
      <c r="I31" t="s">
        <v>14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6</v>
      </c>
      <c r="AE31">
        <v>123</v>
      </c>
      <c r="AF31">
        <v>21.7161471625746</v>
      </c>
      <c r="AG31">
        <v>13.34939839429145</v>
      </c>
      <c r="AH31">
        <v>35.580975495093142</v>
      </c>
      <c r="AI31">
        <f>0*0</f>
        <v>0</v>
      </c>
      <c r="AJ31">
        <f>5.3515525244208*0</f>
        <v>0</v>
      </c>
      <c r="AK31">
        <v>0</v>
      </c>
      <c r="AL31">
        <v>0</v>
      </c>
      <c r="AM31">
        <v>0</v>
      </c>
      <c r="AO31" t="s">
        <v>24</v>
      </c>
      <c r="AP31">
        <f>SUMPRODUCT(Table1[Selected],Table1[MUN])</f>
        <v>2</v>
      </c>
      <c r="AQ31">
        <v>3</v>
      </c>
    </row>
    <row r="32" spans="1:43" hidden="1" x14ac:dyDescent="0.2">
      <c r="A32" t="s">
        <v>109</v>
      </c>
      <c r="B32" t="s">
        <v>110</v>
      </c>
      <c r="C32" t="s">
        <v>110</v>
      </c>
      <c r="D32" t="s">
        <v>5</v>
      </c>
      <c r="E32">
        <v>0</v>
      </c>
      <c r="F32">
        <v>0</v>
      </c>
      <c r="G32">
        <v>1</v>
      </c>
      <c r="H32">
        <v>0</v>
      </c>
      <c r="I32" t="s">
        <v>15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5.5</v>
      </c>
      <c r="AE32">
        <v>132</v>
      </c>
      <c r="AF32">
        <v>16.118220032018851</v>
      </c>
      <c r="AG32">
        <v>18.148405076269501</v>
      </c>
      <c r="AH32">
        <v>11.37574614520967</v>
      </c>
      <c r="AI32">
        <f>10.4472092763788*1</f>
        <v>10.4472092763788</v>
      </c>
      <c r="AJ32">
        <f>2.06529974307865*1</f>
        <v>2.0652997430786502</v>
      </c>
      <c r="AK32">
        <v>1</v>
      </c>
      <c r="AL32">
        <v>0</v>
      </c>
      <c r="AM32">
        <v>0</v>
      </c>
      <c r="AO32" t="s">
        <v>25</v>
      </c>
      <c r="AP32">
        <f>SUMPRODUCT(Table1[Selected],Table1[NEW])</f>
        <v>1</v>
      </c>
      <c r="AQ32">
        <v>3</v>
      </c>
    </row>
    <row r="33" spans="1:43" hidden="1" x14ac:dyDescent="0.2">
      <c r="A33" t="s">
        <v>111</v>
      </c>
      <c r="B33" t="s">
        <v>112</v>
      </c>
      <c r="C33" t="s">
        <v>113</v>
      </c>
      <c r="D33" t="s">
        <v>5</v>
      </c>
      <c r="E33">
        <v>0</v>
      </c>
      <c r="F33">
        <v>0</v>
      </c>
      <c r="G33">
        <v>1</v>
      </c>
      <c r="H33">
        <v>0</v>
      </c>
      <c r="I33" t="s">
        <v>15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6.5</v>
      </c>
      <c r="AE33">
        <v>143</v>
      </c>
      <c r="AF33">
        <v>17.8611111111111</v>
      </c>
      <c r="AG33">
        <v>17.084221558097109</v>
      </c>
      <c r="AH33">
        <v>11.35488875271238</v>
      </c>
      <c r="AI33">
        <f>4.87531953704718*1</f>
        <v>4.8753195370471802</v>
      </c>
      <c r="AJ33">
        <f>0.924383175342428*1</f>
        <v>0.92438317534242798</v>
      </c>
      <c r="AK33">
        <v>1</v>
      </c>
      <c r="AL33">
        <v>0</v>
      </c>
      <c r="AM33">
        <v>0</v>
      </c>
      <c r="AO33" t="s">
        <v>26</v>
      </c>
      <c r="AP33">
        <f>SUMPRODUCT(Table1[Selected],Table1[NFO])</f>
        <v>1</v>
      </c>
      <c r="AQ33">
        <v>3</v>
      </c>
    </row>
    <row r="34" spans="1:43" hidden="1" x14ac:dyDescent="0.2">
      <c r="A34" t="s">
        <v>114</v>
      </c>
      <c r="B34" t="s">
        <v>115</v>
      </c>
      <c r="C34" t="s">
        <v>114</v>
      </c>
      <c r="D34" t="s">
        <v>6</v>
      </c>
      <c r="E34">
        <v>0</v>
      </c>
      <c r="F34">
        <v>0</v>
      </c>
      <c r="G34">
        <v>0</v>
      </c>
      <c r="H34">
        <v>1</v>
      </c>
      <c r="I34" t="s">
        <v>15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5.5</v>
      </c>
      <c r="AE34">
        <v>147</v>
      </c>
      <c r="AF34">
        <v>17.74234071341338</v>
      </c>
      <c r="AG34">
        <v>14.6352878745368</v>
      </c>
      <c r="AH34">
        <v>33.371906080703141</v>
      </c>
      <c r="AI34">
        <f>19.7558815404636*1</f>
        <v>19.755881540463601</v>
      </c>
      <c r="AJ34">
        <f>2.85404078668571*1</f>
        <v>2.8540407866857098</v>
      </c>
      <c r="AK34">
        <v>1</v>
      </c>
      <c r="AL34">
        <v>0</v>
      </c>
      <c r="AM34">
        <v>0</v>
      </c>
      <c r="AO34" t="s">
        <v>27</v>
      </c>
      <c r="AP34">
        <f>SUMPRODUCT(Table1[Selected],Table1[SOU])</f>
        <v>0</v>
      </c>
      <c r="AQ34">
        <v>3</v>
      </c>
    </row>
    <row r="35" spans="1:43" hidden="1" x14ac:dyDescent="0.2">
      <c r="A35" t="s">
        <v>116</v>
      </c>
      <c r="B35" t="s">
        <v>117</v>
      </c>
      <c r="C35" t="s">
        <v>118</v>
      </c>
      <c r="D35" t="s">
        <v>4</v>
      </c>
      <c r="E35">
        <v>0</v>
      </c>
      <c r="F35">
        <v>1</v>
      </c>
      <c r="G35">
        <v>0</v>
      </c>
      <c r="H35">
        <v>0</v>
      </c>
      <c r="I35" t="s">
        <v>15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4.5</v>
      </c>
      <c r="AE35">
        <v>162</v>
      </c>
      <c r="AF35">
        <v>14.714646278047301</v>
      </c>
      <c r="AG35">
        <v>9.0906379909639039</v>
      </c>
      <c r="AH35">
        <v>27.56666666666667</v>
      </c>
      <c r="AI35">
        <f>7.05515646692258*1</f>
        <v>7.0551564669225799</v>
      </c>
      <c r="AJ35">
        <f>1.40811465803604*1</f>
        <v>1.40811465803604</v>
      </c>
      <c r="AK35">
        <v>1</v>
      </c>
      <c r="AL35">
        <v>0</v>
      </c>
      <c r="AM35">
        <v>0</v>
      </c>
      <c r="AO35" t="s">
        <v>28</v>
      </c>
      <c r="AP35">
        <f>SUMPRODUCT(Table1[Selected],Table1[TOT])</f>
        <v>1</v>
      </c>
      <c r="AQ35">
        <v>3</v>
      </c>
    </row>
    <row r="36" spans="1:43" hidden="1" x14ac:dyDescent="0.2">
      <c r="A36" t="s">
        <v>119</v>
      </c>
      <c r="B36" t="s">
        <v>120</v>
      </c>
      <c r="C36" t="s">
        <v>120</v>
      </c>
      <c r="D36" t="s">
        <v>4</v>
      </c>
      <c r="E36">
        <v>0</v>
      </c>
      <c r="F36">
        <v>1</v>
      </c>
      <c r="G36">
        <v>0</v>
      </c>
      <c r="H36">
        <v>0</v>
      </c>
      <c r="I36" t="s">
        <v>15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4.5</v>
      </c>
      <c r="AE36">
        <v>163</v>
      </c>
      <c r="AF36">
        <v>13.836748771010839</v>
      </c>
      <c r="AG36">
        <v>15.177107019130689</v>
      </c>
      <c r="AH36">
        <v>16.528431754857468</v>
      </c>
      <c r="AI36">
        <f>10.8545425369224*1</f>
        <v>10.8545425369224</v>
      </c>
      <c r="AJ36">
        <f>1.59015499516675*1</f>
        <v>1.59015499516675</v>
      </c>
      <c r="AK36">
        <v>1</v>
      </c>
      <c r="AL36">
        <v>0</v>
      </c>
      <c r="AM36">
        <v>0</v>
      </c>
      <c r="AO36" t="s">
        <v>29</v>
      </c>
      <c r="AP36">
        <f>SUMPRODUCT(Table1[Selected],Table1[WHU])</f>
        <v>0</v>
      </c>
      <c r="AQ36">
        <v>3</v>
      </c>
    </row>
    <row r="37" spans="1:43" hidden="1" x14ac:dyDescent="0.2">
      <c r="A37" t="s">
        <v>121</v>
      </c>
      <c r="B37" t="s">
        <v>122</v>
      </c>
      <c r="C37" t="s">
        <v>122</v>
      </c>
      <c r="D37" t="s">
        <v>6</v>
      </c>
      <c r="E37">
        <v>0</v>
      </c>
      <c r="F37">
        <v>0</v>
      </c>
      <c r="G37">
        <v>0</v>
      </c>
      <c r="H37">
        <v>1</v>
      </c>
      <c r="I37" t="s">
        <v>15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5.8</v>
      </c>
      <c r="AE37">
        <v>166</v>
      </c>
      <c r="AF37">
        <v>15.330543710636899</v>
      </c>
      <c r="AG37">
        <v>12.050561157602649</v>
      </c>
      <c r="AH37">
        <v>17.805440811530051</v>
      </c>
      <c r="AI37">
        <f>19.8897178800783*1</f>
        <v>19.889717880078301</v>
      </c>
      <c r="AJ37">
        <f>3.64947867670652*1</f>
        <v>3.6494786767065199</v>
      </c>
      <c r="AK37">
        <v>1</v>
      </c>
      <c r="AL37">
        <v>0</v>
      </c>
      <c r="AM37">
        <v>0</v>
      </c>
      <c r="AO37" t="s">
        <v>30</v>
      </c>
      <c r="AP37">
        <f>SUMPRODUCT(Table1[Selected],Table1[WOL])</f>
        <v>0</v>
      </c>
      <c r="AQ37">
        <v>3</v>
      </c>
    </row>
    <row r="38" spans="1:43" hidden="1" x14ac:dyDescent="0.2">
      <c r="A38" t="s">
        <v>123</v>
      </c>
      <c r="B38" t="s">
        <v>124</v>
      </c>
      <c r="C38" t="s">
        <v>125</v>
      </c>
      <c r="D38" t="s">
        <v>5</v>
      </c>
      <c r="E38">
        <v>0</v>
      </c>
      <c r="F38">
        <v>0</v>
      </c>
      <c r="G38">
        <v>1</v>
      </c>
      <c r="H38">
        <v>0</v>
      </c>
      <c r="I38" t="s">
        <v>16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4.9000000000000004</v>
      </c>
      <c r="AE38">
        <v>181</v>
      </c>
      <c r="AF38">
        <v>11.338028169014081</v>
      </c>
      <c r="AG38">
        <v>8.4145198828023151</v>
      </c>
      <c r="AH38">
        <v>14.934770121735941</v>
      </c>
      <c r="AI38">
        <f>14.7812522672331*1</f>
        <v>14.7812522672331</v>
      </c>
      <c r="AJ38">
        <f>2.95070317579282*1</f>
        <v>2.9507031757928202</v>
      </c>
      <c r="AK38">
        <v>1</v>
      </c>
      <c r="AL38">
        <v>0</v>
      </c>
      <c r="AM38">
        <v>0</v>
      </c>
    </row>
    <row r="39" spans="1:43" hidden="1" x14ac:dyDescent="0.2">
      <c r="A39" t="s">
        <v>126</v>
      </c>
      <c r="B39" t="s">
        <v>127</v>
      </c>
      <c r="C39" t="s">
        <v>127</v>
      </c>
      <c r="D39" t="s">
        <v>4</v>
      </c>
      <c r="E39">
        <v>0</v>
      </c>
      <c r="F39">
        <v>1</v>
      </c>
      <c r="G39">
        <v>0</v>
      </c>
      <c r="H39">
        <v>0</v>
      </c>
      <c r="I39" t="s">
        <v>16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4.5</v>
      </c>
      <c r="AE39">
        <v>185</v>
      </c>
      <c r="AF39">
        <v>13.55555555555555</v>
      </c>
      <c r="AG39">
        <v>14.59255797493887</v>
      </c>
      <c r="AH39">
        <v>23.05</v>
      </c>
      <c r="AI39">
        <f>10.306668659439*1</f>
        <v>10.306668659439</v>
      </c>
      <c r="AJ39">
        <f>1.84480318760487*1</f>
        <v>1.8448031876048701</v>
      </c>
      <c r="AK39">
        <v>1</v>
      </c>
      <c r="AL39">
        <v>0</v>
      </c>
      <c r="AM39">
        <v>0</v>
      </c>
    </row>
    <row r="40" spans="1:43" hidden="1" x14ac:dyDescent="0.2">
      <c r="A40" t="s">
        <v>128</v>
      </c>
      <c r="B40" t="s">
        <v>129</v>
      </c>
      <c r="C40" t="s">
        <v>128</v>
      </c>
      <c r="D40" t="s">
        <v>5</v>
      </c>
      <c r="E40">
        <v>0</v>
      </c>
      <c r="F40">
        <v>0</v>
      </c>
      <c r="G40">
        <v>1</v>
      </c>
      <c r="H40">
        <v>0</v>
      </c>
      <c r="I40" t="s">
        <v>16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4.9000000000000004</v>
      </c>
      <c r="AE40">
        <v>191</v>
      </c>
      <c r="AF40">
        <v>12.95918367346939</v>
      </c>
      <c r="AG40">
        <v>13.80842661171652</v>
      </c>
      <c r="AH40">
        <v>7.1428571428571432</v>
      </c>
      <c r="AI40">
        <f>5.93311737019949*1</f>
        <v>5.9331173701994899</v>
      </c>
      <c r="AJ40">
        <f>1.17398926536207*1</f>
        <v>1.17398926536207</v>
      </c>
      <c r="AK40">
        <v>1</v>
      </c>
      <c r="AL40">
        <v>0</v>
      </c>
      <c r="AM40">
        <v>0</v>
      </c>
    </row>
    <row r="41" spans="1:43" hidden="1" x14ac:dyDescent="0.2">
      <c r="A41" t="s">
        <v>130</v>
      </c>
      <c r="B41" t="s">
        <v>131</v>
      </c>
      <c r="C41" t="s">
        <v>131</v>
      </c>
      <c r="D41" t="s">
        <v>5</v>
      </c>
      <c r="E41">
        <v>0</v>
      </c>
      <c r="F41">
        <v>0</v>
      </c>
      <c r="G41">
        <v>1</v>
      </c>
      <c r="H41">
        <v>0</v>
      </c>
      <c r="I41" t="s">
        <v>16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5.9</v>
      </c>
      <c r="AE41">
        <v>192</v>
      </c>
      <c r="AF41">
        <v>15.14988984423073</v>
      </c>
      <c r="AG41">
        <v>14.49024437015173</v>
      </c>
      <c r="AH41">
        <v>12.688709517319721</v>
      </c>
      <c r="AI41">
        <f>16.9905101699523*1</f>
        <v>16.990510169952302</v>
      </c>
      <c r="AJ41">
        <f>3.72953426765786*1</f>
        <v>3.72953426765786</v>
      </c>
      <c r="AK41">
        <v>1</v>
      </c>
      <c r="AL41">
        <v>0</v>
      </c>
      <c r="AM41">
        <v>0</v>
      </c>
    </row>
    <row r="42" spans="1:43" x14ac:dyDescent="0.2">
      <c r="A42" t="s">
        <v>249</v>
      </c>
      <c r="B42" t="s">
        <v>86</v>
      </c>
      <c r="C42" t="s">
        <v>86</v>
      </c>
      <c r="D42" t="s">
        <v>3</v>
      </c>
      <c r="E42">
        <v>1</v>
      </c>
      <c r="F42">
        <v>0</v>
      </c>
      <c r="G42">
        <v>0</v>
      </c>
      <c r="H42">
        <v>0</v>
      </c>
      <c r="I42" t="s">
        <v>24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5</v>
      </c>
      <c r="AE42">
        <v>448</v>
      </c>
      <c r="AF42">
        <v>18.95348837209303</v>
      </c>
      <c r="AG42">
        <v>9.7222763733770581</v>
      </c>
      <c r="AH42">
        <v>30.546341178438151</v>
      </c>
      <c r="AI42">
        <f>20.7204111686004*1</f>
        <v>20.7204111686004</v>
      </c>
      <c r="AJ42">
        <f>4.27812458932973*1</f>
        <v>4.2781245893297299</v>
      </c>
      <c r="AK42">
        <v>1</v>
      </c>
      <c r="AL42">
        <v>1</v>
      </c>
      <c r="AM42">
        <v>1</v>
      </c>
    </row>
    <row r="43" spans="1:43" hidden="1" x14ac:dyDescent="0.2">
      <c r="A43" t="s">
        <v>134</v>
      </c>
      <c r="B43" t="s">
        <v>135</v>
      </c>
      <c r="C43" t="s">
        <v>136</v>
      </c>
      <c r="D43" t="s">
        <v>6</v>
      </c>
      <c r="E43">
        <v>0</v>
      </c>
      <c r="F43">
        <v>0</v>
      </c>
      <c r="G43">
        <v>0</v>
      </c>
      <c r="H43">
        <v>1</v>
      </c>
      <c r="I43" t="s">
        <v>16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7.9</v>
      </c>
      <c r="AE43">
        <v>203</v>
      </c>
      <c r="AF43">
        <v>22.435897435897449</v>
      </c>
      <c r="AG43">
        <v>33.028769163277843</v>
      </c>
      <c r="AH43">
        <v>51.830618462573362</v>
      </c>
      <c r="AI43">
        <f>24.8570604931571*1</f>
        <v>24.8570604931571</v>
      </c>
      <c r="AJ43">
        <f>4.71817984952523*1</f>
        <v>4.7181798495252298</v>
      </c>
      <c r="AK43">
        <v>1</v>
      </c>
      <c r="AL43">
        <v>1</v>
      </c>
      <c r="AM43">
        <v>0</v>
      </c>
    </row>
    <row r="44" spans="1:43" hidden="1" x14ac:dyDescent="0.2">
      <c r="A44" t="s">
        <v>137</v>
      </c>
      <c r="B44" t="s">
        <v>138</v>
      </c>
      <c r="C44" t="s">
        <v>138</v>
      </c>
      <c r="D44" t="s">
        <v>5</v>
      </c>
      <c r="E44">
        <v>0</v>
      </c>
      <c r="F44">
        <v>0</v>
      </c>
      <c r="G44">
        <v>1</v>
      </c>
      <c r="H44">
        <v>0</v>
      </c>
      <c r="I44" t="s">
        <v>16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10.7</v>
      </c>
      <c r="AE44">
        <v>205</v>
      </c>
      <c r="AF44">
        <v>55.285465446924732</v>
      </c>
      <c r="AG44">
        <v>34.6653982467475</v>
      </c>
      <c r="AH44">
        <v>36.446153846153848</v>
      </c>
      <c r="AI44">
        <f>19.01660048075*1</f>
        <v>19.01660048075</v>
      </c>
      <c r="AJ44">
        <f>2.74433547881786*1</f>
        <v>2.74433547881786</v>
      </c>
      <c r="AK44">
        <v>1</v>
      </c>
      <c r="AL44">
        <v>1</v>
      </c>
      <c r="AM44">
        <v>0</v>
      </c>
    </row>
    <row r="45" spans="1:43" hidden="1" x14ac:dyDescent="0.2">
      <c r="A45" t="s">
        <v>139</v>
      </c>
      <c r="B45" t="s">
        <v>140</v>
      </c>
      <c r="C45" t="s">
        <v>141</v>
      </c>
      <c r="D45" t="s">
        <v>4</v>
      </c>
      <c r="E45">
        <v>0</v>
      </c>
      <c r="F45">
        <v>1</v>
      </c>
      <c r="G45">
        <v>0</v>
      </c>
      <c r="H45">
        <v>0</v>
      </c>
      <c r="I45" t="s">
        <v>17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4.5</v>
      </c>
      <c r="AE45">
        <v>220</v>
      </c>
      <c r="AF45">
        <v>14.89866202641522</v>
      </c>
      <c r="AG45">
        <v>9.300478518984777</v>
      </c>
      <c r="AH45">
        <v>15.3407062024633</v>
      </c>
      <c r="AI45">
        <f>3.58397027609059*1</f>
        <v>3.5839702760905898</v>
      </c>
      <c r="AJ45">
        <f>0.652781164757866*1</f>
        <v>0.65278116475786596</v>
      </c>
      <c r="AK45">
        <v>1</v>
      </c>
      <c r="AL45">
        <v>0</v>
      </c>
      <c r="AM45">
        <v>0</v>
      </c>
    </row>
    <row r="46" spans="1:43" hidden="1" x14ac:dyDescent="0.2">
      <c r="A46" t="s">
        <v>142</v>
      </c>
      <c r="B46" t="s">
        <v>143</v>
      </c>
      <c r="C46" t="s">
        <v>143</v>
      </c>
      <c r="D46" t="s">
        <v>5</v>
      </c>
      <c r="E46">
        <v>0</v>
      </c>
      <c r="F46">
        <v>0</v>
      </c>
      <c r="G46">
        <v>1</v>
      </c>
      <c r="H46">
        <v>0</v>
      </c>
      <c r="I46" t="s">
        <v>17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6.8</v>
      </c>
      <c r="AE46">
        <v>224</v>
      </c>
      <c r="AF46">
        <v>19.642857142857139</v>
      </c>
      <c r="AG46">
        <v>17.272379343024991</v>
      </c>
      <c r="AH46">
        <v>17.94128270898478</v>
      </c>
      <c r="AI46">
        <f>13.2005154903704*1</f>
        <v>13.2005154903704</v>
      </c>
      <c r="AJ46">
        <f>2.69698489889559*1</f>
        <v>2.69698489889559</v>
      </c>
      <c r="AK46">
        <v>1</v>
      </c>
      <c r="AL46">
        <v>0</v>
      </c>
      <c r="AM46">
        <v>0</v>
      </c>
    </row>
    <row r="47" spans="1:43" hidden="1" x14ac:dyDescent="0.2">
      <c r="A47" t="s">
        <v>144</v>
      </c>
      <c r="B47" t="s">
        <v>145</v>
      </c>
      <c r="C47" t="s">
        <v>145</v>
      </c>
      <c r="D47" t="s">
        <v>4</v>
      </c>
      <c r="E47">
        <v>0</v>
      </c>
      <c r="F47">
        <v>1</v>
      </c>
      <c r="G47">
        <v>0</v>
      </c>
      <c r="H47">
        <v>0</v>
      </c>
      <c r="I47" t="s">
        <v>17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4.4000000000000004</v>
      </c>
      <c r="AE47">
        <v>225</v>
      </c>
      <c r="AF47">
        <v>14.500000000000011</v>
      </c>
      <c r="AG47">
        <v>18.780197366384471</v>
      </c>
      <c r="AH47">
        <v>20.156961639253289</v>
      </c>
      <c r="AI47">
        <f>14.8208568655647*1</f>
        <v>14.8208568655647</v>
      </c>
      <c r="AJ47">
        <f>3.30382978018945*1</f>
        <v>3.3038297801894498</v>
      </c>
      <c r="AK47">
        <v>1</v>
      </c>
      <c r="AL47">
        <v>0</v>
      </c>
      <c r="AM47">
        <v>0</v>
      </c>
    </row>
    <row r="48" spans="1:43" hidden="1" x14ac:dyDescent="0.2">
      <c r="A48" t="s">
        <v>146</v>
      </c>
      <c r="B48" t="s">
        <v>147</v>
      </c>
      <c r="C48" t="s">
        <v>147</v>
      </c>
      <c r="D48" t="s">
        <v>6</v>
      </c>
      <c r="E48">
        <v>0</v>
      </c>
      <c r="F48">
        <v>0</v>
      </c>
      <c r="G48">
        <v>0</v>
      </c>
      <c r="H48">
        <v>1</v>
      </c>
      <c r="I48" t="s">
        <v>17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7.4</v>
      </c>
      <c r="AE48">
        <v>231</v>
      </c>
      <c r="AF48">
        <v>24.868700883024331</v>
      </c>
      <c r="AG48">
        <v>12.17205952830385</v>
      </c>
      <c r="AH48">
        <v>14.030769230769231</v>
      </c>
      <c r="AI48">
        <f>9.14549253161264*1</f>
        <v>9.1454925316126392</v>
      </c>
      <c r="AJ48">
        <f>1.97253662684754*1</f>
        <v>1.9725366268475399</v>
      </c>
      <c r="AK48">
        <v>1</v>
      </c>
      <c r="AL48">
        <v>1</v>
      </c>
      <c r="AM48">
        <v>0</v>
      </c>
    </row>
    <row r="49" spans="1:39" hidden="1" x14ac:dyDescent="0.2">
      <c r="A49" t="s">
        <v>148</v>
      </c>
      <c r="B49" t="s">
        <v>149</v>
      </c>
      <c r="C49" t="s">
        <v>149</v>
      </c>
      <c r="D49" t="s">
        <v>4</v>
      </c>
      <c r="E49">
        <v>0</v>
      </c>
      <c r="F49">
        <v>1</v>
      </c>
      <c r="G49">
        <v>0</v>
      </c>
      <c r="H49">
        <v>0</v>
      </c>
      <c r="I49" t="s">
        <v>17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4.9000000000000004</v>
      </c>
      <c r="AE49">
        <v>234</v>
      </c>
      <c r="AF49">
        <v>14.50380149832797</v>
      </c>
      <c r="AG49">
        <v>13.910083738520941</v>
      </c>
      <c r="AH49">
        <v>14.41491072846177</v>
      </c>
      <c r="AI49">
        <f>8.93192087393801*1</f>
        <v>8.9319208739380098</v>
      </c>
      <c r="AJ49">
        <f>1.86859592406076*1</f>
        <v>1.8685959240607599</v>
      </c>
      <c r="AK49">
        <v>1</v>
      </c>
      <c r="AL49">
        <v>0</v>
      </c>
      <c r="AM49">
        <v>0</v>
      </c>
    </row>
    <row r="50" spans="1:39" hidden="1" x14ac:dyDescent="0.2">
      <c r="A50" t="s">
        <v>150</v>
      </c>
      <c r="B50" t="s">
        <v>151</v>
      </c>
      <c r="C50" t="s">
        <v>151</v>
      </c>
      <c r="D50" t="s">
        <v>4</v>
      </c>
      <c r="E50">
        <v>0</v>
      </c>
      <c r="F50">
        <v>1</v>
      </c>
      <c r="G50">
        <v>0</v>
      </c>
      <c r="H50">
        <v>0</v>
      </c>
      <c r="I50" t="s">
        <v>18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4.8</v>
      </c>
      <c r="AE50">
        <v>251</v>
      </c>
      <c r="AF50">
        <v>15.444444444444439</v>
      </c>
      <c r="AG50">
        <v>12.49791255168738</v>
      </c>
      <c r="AH50">
        <v>20.642287277001319</v>
      </c>
      <c r="AI50">
        <f>17.5752482634422*0.75</f>
        <v>13.18143619758165</v>
      </c>
      <c r="AJ50">
        <f>4.64973724963897*0.75</f>
        <v>3.4873029372292272</v>
      </c>
      <c r="AK50">
        <v>0.75</v>
      </c>
      <c r="AL50">
        <v>0</v>
      </c>
      <c r="AM50">
        <v>0</v>
      </c>
    </row>
    <row r="51" spans="1:39" hidden="1" x14ac:dyDescent="0.2">
      <c r="A51" t="s">
        <v>152</v>
      </c>
      <c r="B51" t="s">
        <v>153</v>
      </c>
      <c r="C51" t="s">
        <v>153</v>
      </c>
      <c r="D51" t="s">
        <v>6</v>
      </c>
      <c r="E51">
        <v>0</v>
      </c>
      <c r="F51">
        <v>0</v>
      </c>
      <c r="G51">
        <v>0</v>
      </c>
      <c r="H51">
        <v>1</v>
      </c>
      <c r="I51" t="s">
        <v>18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6</v>
      </c>
      <c r="AE51">
        <v>252</v>
      </c>
      <c r="AF51">
        <v>16.897914199734249</v>
      </c>
      <c r="AG51">
        <v>16.16781549569103</v>
      </c>
      <c r="AH51">
        <v>11.69296430837335</v>
      </c>
      <c r="AI51">
        <f>11.6178497712345*1</f>
        <v>11.6178497712345</v>
      </c>
      <c r="AJ51">
        <f>2.22817653254063*1</f>
        <v>2.2281765325406302</v>
      </c>
      <c r="AK51">
        <v>1</v>
      </c>
      <c r="AL51">
        <v>0</v>
      </c>
      <c r="AM51">
        <v>0</v>
      </c>
    </row>
    <row r="52" spans="1:39" hidden="1" x14ac:dyDescent="0.2">
      <c r="A52" t="s">
        <v>154</v>
      </c>
      <c r="B52" t="s">
        <v>155</v>
      </c>
      <c r="C52" t="s">
        <v>155</v>
      </c>
      <c r="D52" t="s">
        <v>5</v>
      </c>
      <c r="E52">
        <v>0</v>
      </c>
      <c r="F52">
        <v>0</v>
      </c>
      <c r="G52">
        <v>1</v>
      </c>
      <c r="H52">
        <v>0</v>
      </c>
      <c r="I52" t="s">
        <v>18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5.3</v>
      </c>
      <c r="AE52">
        <v>256</v>
      </c>
      <c r="AF52">
        <v>18.592592592592592</v>
      </c>
      <c r="AG52">
        <v>19.921952770193851</v>
      </c>
      <c r="AH52">
        <v>8.1088043928325941</v>
      </c>
      <c r="AI52">
        <f>10.6151056626062*1</f>
        <v>10.615105662606201</v>
      </c>
      <c r="AJ52">
        <f>2.21559148420704*1</f>
        <v>2.2155914842070401</v>
      </c>
      <c r="AK52">
        <v>1</v>
      </c>
      <c r="AL52">
        <v>0</v>
      </c>
      <c r="AM52">
        <v>0</v>
      </c>
    </row>
    <row r="53" spans="1:39" hidden="1" x14ac:dyDescent="0.2">
      <c r="A53" t="s">
        <v>156</v>
      </c>
      <c r="B53" t="s">
        <v>157</v>
      </c>
      <c r="C53" t="s">
        <v>157</v>
      </c>
      <c r="D53" t="s">
        <v>5</v>
      </c>
      <c r="E53">
        <v>0</v>
      </c>
      <c r="F53">
        <v>0</v>
      </c>
      <c r="G53">
        <v>1</v>
      </c>
      <c r="H53">
        <v>0</v>
      </c>
      <c r="I53" t="s">
        <v>18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5.5</v>
      </c>
      <c r="AE53">
        <v>262</v>
      </c>
      <c r="AF53">
        <v>15.16170882900955</v>
      </c>
      <c r="AG53">
        <v>14.6263084145171</v>
      </c>
      <c r="AH53">
        <v>36.458218550656447</v>
      </c>
      <c r="AI53">
        <f>21.9833499465536*1</f>
        <v>21.983349946553599</v>
      </c>
      <c r="AJ53">
        <f>4.52630316923315*1</f>
        <v>4.5263031692331497</v>
      </c>
      <c r="AK53">
        <v>1</v>
      </c>
      <c r="AL53">
        <v>0</v>
      </c>
      <c r="AM53">
        <v>0</v>
      </c>
    </row>
    <row r="54" spans="1:39" hidden="1" x14ac:dyDescent="0.2">
      <c r="A54" t="s">
        <v>158</v>
      </c>
      <c r="B54" t="s">
        <v>159</v>
      </c>
      <c r="C54" t="s">
        <v>159</v>
      </c>
      <c r="D54" t="s">
        <v>4</v>
      </c>
      <c r="E54">
        <v>0</v>
      </c>
      <c r="F54">
        <v>1</v>
      </c>
      <c r="G54">
        <v>0</v>
      </c>
      <c r="H54">
        <v>0</v>
      </c>
      <c r="I54" t="s">
        <v>18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4.3</v>
      </c>
      <c r="AE54">
        <v>263</v>
      </c>
      <c r="AF54">
        <v>13.609464266694591</v>
      </c>
      <c r="AG54">
        <v>13.22101100582001</v>
      </c>
      <c r="AH54">
        <v>9.1372177426648911</v>
      </c>
      <c r="AI54">
        <f>6.31625755078563*1</f>
        <v>6.3162575507856298</v>
      </c>
      <c r="AJ54">
        <f>1.49023822311649*1</f>
        <v>1.4902382231164899</v>
      </c>
      <c r="AK54">
        <v>1</v>
      </c>
      <c r="AL54">
        <v>1</v>
      </c>
      <c r="AM54">
        <v>0</v>
      </c>
    </row>
    <row r="55" spans="1:39" hidden="1" x14ac:dyDescent="0.2">
      <c r="A55" t="s">
        <v>160</v>
      </c>
      <c r="B55" t="s">
        <v>161</v>
      </c>
      <c r="C55" t="s">
        <v>161</v>
      </c>
      <c r="D55" t="s">
        <v>3</v>
      </c>
      <c r="E55">
        <v>1</v>
      </c>
      <c r="F55">
        <v>0</v>
      </c>
      <c r="G55">
        <v>0</v>
      </c>
      <c r="H55">
        <v>0</v>
      </c>
      <c r="I55" t="s">
        <v>18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4.8</v>
      </c>
      <c r="AE55">
        <v>266</v>
      </c>
      <c r="AF55">
        <v>17.72093023255815</v>
      </c>
      <c r="AG55">
        <v>17.825827586049911</v>
      </c>
      <c r="AH55">
        <v>10.72316827146442</v>
      </c>
      <c r="AI55">
        <f>5.55362894881702*1</f>
        <v>5.5536289488170203</v>
      </c>
      <c r="AJ55">
        <f>1.13913727142408*1</f>
        <v>1.1391372714240799</v>
      </c>
      <c r="AK55">
        <v>1</v>
      </c>
      <c r="AL55">
        <v>1</v>
      </c>
      <c r="AM55">
        <v>0</v>
      </c>
    </row>
    <row r="56" spans="1:39" hidden="1" x14ac:dyDescent="0.2">
      <c r="A56" t="s">
        <v>162</v>
      </c>
      <c r="B56" t="s">
        <v>163</v>
      </c>
      <c r="C56" t="s">
        <v>163</v>
      </c>
      <c r="D56" t="s">
        <v>4</v>
      </c>
      <c r="E56">
        <v>0</v>
      </c>
      <c r="F56">
        <v>1</v>
      </c>
      <c r="G56">
        <v>0</v>
      </c>
      <c r="H56">
        <v>0</v>
      </c>
      <c r="I56" t="s">
        <v>18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4.5</v>
      </c>
      <c r="AE56">
        <v>269</v>
      </c>
      <c r="AF56">
        <v>11.96000000000001</v>
      </c>
      <c r="AG56">
        <v>9.992317249084909</v>
      </c>
      <c r="AH56">
        <v>21.189376024331452</v>
      </c>
      <c r="AI56">
        <f>11.1047914286198*1</f>
        <v>11.1047914286198</v>
      </c>
      <c r="AJ56">
        <f>2.46492443374067*1</f>
        <v>2.4649244337406699</v>
      </c>
      <c r="AK56">
        <v>1</v>
      </c>
      <c r="AL56">
        <v>0</v>
      </c>
      <c r="AM56">
        <v>0</v>
      </c>
    </row>
    <row r="57" spans="1:39" hidden="1" x14ac:dyDescent="0.2">
      <c r="A57" t="s">
        <v>164</v>
      </c>
      <c r="B57" t="s">
        <v>165</v>
      </c>
      <c r="C57" t="s">
        <v>165</v>
      </c>
      <c r="D57" t="s">
        <v>4</v>
      </c>
      <c r="E57">
        <v>0</v>
      </c>
      <c r="F57">
        <v>1</v>
      </c>
      <c r="G57">
        <v>0</v>
      </c>
      <c r="H57">
        <v>0</v>
      </c>
      <c r="I57" t="s">
        <v>19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4.4000000000000004</v>
      </c>
      <c r="AE57">
        <v>279</v>
      </c>
      <c r="AF57">
        <v>15.416666666666661</v>
      </c>
      <c r="AG57">
        <v>17.511324670137139</v>
      </c>
      <c r="AH57">
        <v>18.886256769225749</v>
      </c>
      <c r="AI57">
        <f>15.7727922709009*1</f>
        <v>15.772792270900901</v>
      </c>
      <c r="AJ57">
        <f>3.48910675804672*1</f>
        <v>3.4891067580467201</v>
      </c>
      <c r="AK57">
        <v>1</v>
      </c>
      <c r="AL57">
        <v>1</v>
      </c>
      <c r="AM57">
        <v>0</v>
      </c>
    </row>
    <row r="58" spans="1:39" hidden="1" x14ac:dyDescent="0.2">
      <c r="A58" t="s">
        <v>166</v>
      </c>
      <c r="B58" t="s">
        <v>167</v>
      </c>
      <c r="C58" t="s">
        <v>166</v>
      </c>
      <c r="D58" t="s">
        <v>5</v>
      </c>
      <c r="E58">
        <v>0</v>
      </c>
      <c r="F58">
        <v>0</v>
      </c>
      <c r="G58">
        <v>1</v>
      </c>
      <c r="H58">
        <v>0</v>
      </c>
      <c r="I58" t="s">
        <v>19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5.3</v>
      </c>
      <c r="AE58">
        <v>281</v>
      </c>
      <c r="AF58">
        <v>17.599999999999991</v>
      </c>
      <c r="AG58">
        <v>14.43072201552209</v>
      </c>
      <c r="AH58">
        <v>14.30399038278825</v>
      </c>
      <c r="AI58">
        <f>3.94250907987617*1</f>
        <v>3.9425090798761699</v>
      </c>
      <c r="AJ58">
        <f>0.811513325821374*1</f>
        <v>0.81151332582137403</v>
      </c>
      <c r="AK58">
        <v>1</v>
      </c>
      <c r="AL58">
        <v>0</v>
      </c>
      <c r="AM58">
        <v>0</v>
      </c>
    </row>
    <row r="59" spans="1:39" hidden="1" x14ac:dyDescent="0.2">
      <c r="A59" t="s">
        <v>168</v>
      </c>
      <c r="B59" t="s">
        <v>169</v>
      </c>
      <c r="C59" t="s">
        <v>169</v>
      </c>
      <c r="D59" t="s">
        <v>4</v>
      </c>
      <c r="E59">
        <v>0</v>
      </c>
      <c r="F59">
        <v>1</v>
      </c>
      <c r="G59">
        <v>0</v>
      </c>
      <c r="H59">
        <v>0</v>
      </c>
      <c r="I59" t="s">
        <v>19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4.5</v>
      </c>
      <c r="AE59">
        <v>282</v>
      </c>
      <c r="AF59">
        <v>11.74040615911969</v>
      </c>
      <c r="AG59">
        <v>13.817560250285849</v>
      </c>
      <c r="AH59">
        <v>7.9148354675627388</v>
      </c>
      <c r="AI59">
        <f>10.389263576223*1</f>
        <v>10.389263576223</v>
      </c>
      <c r="AJ59">
        <f>2.39550418775261*1</f>
        <v>2.3955041877526102</v>
      </c>
      <c r="AK59">
        <v>1</v>
      </c>
      <c r="AL59">
        <v>0</v>
      </c>
      <c r="AM59">
        <v>0</v>
      </c>
    </row>
    <row r="60" spans="1:39" hidden="1" x14ac:dyDescent="0.2">
      <c r="A60" t="s">
        <v>170</v>
      </c>
      <c r="B60" t="s">
        <v>171</v>
      </c>
      <c r="C60" t="s">
        <v>171</v>
      </c>
      <c r="D60" t="s">
        <v>4</v>
      </c>
      <c r="E60">
        <v>0</v>
      </c>
      <c r="F60">
        <v>1</v>
      </c>
      <c r="G60">
        <v>0</v>
      </c>
      <c r="H60">
        <v>0</v>
      </c>
      <c r="I60" t="s">
        <v>19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4.3</v>
      </c>
      <c r="AE60">
        <v>285</v>
      </c>
      <c r="AF60">
        <v>15.41263805126057</v>
      </c>
      <c r="AG60">
        <v>14.058613091371839</v>
      </c>
      <c r="AH60">
        <v>15.02680143397968</v>
      </c>
      <c r="AI60">
        <f>12.4214943105876*1</f>
        <v>12.421494310587599</v>
      </c>
      <c r="AJ60">
        <f>2.25035677387292*1</f>
        <v>2.25035677387292</v>
      </c>
      <c r="AK60">
        <v>1</v>
      </c>
      <c r="AL60">
        <v>0</v>
      </c>
      <c r="AM60">
        <v>0</v>
      </c>
    </row>
    <row r="61" spans="1:39" hidden="1" x14ac:dyDescent="0.2">
      <c r="A61" t="s">
        <v>172</v>
      </c>
      <c r="B61" t="s">
        <v>173</v>
      </c>
      <c r="C61" t="s">
        <v>173</v>
      </c>
      <c r="D61" t="s">
        <v>5</v>
      </c>
      <c r="E61">
        <v>0</v>
      </c>
      <c r="F61">
        <v>0</v>
      </c>
      <c r="G61">
        <v>1</v>
      </c>
      <c r="H61">
        <v>0</v>
      </c>
      <c r="I61" t="s">
        <v>19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5.5</v>
      </c>
      <c r="AE61">
        <v>288</v>
      </c>
      <c r="AF61">
        <v>14.20212765957446</v>
      </c>
      <c r="AG61">
        <v>13.169980256547939</v>
      </c>
      <c r="AH61">
        <v>23.200514562054551</v>
      </c>
      <c r="AI61">
        <f>16.3889302868825*1</f>
        <v>16.388930286882498</v>
      </c>
      <c r="AJ61">
        <f>3.37566708607631*1</f>
        <v>3.3756670860763101</v>
      </c>
      <c r="AK61">
        <v>1</v>
      </c>
      <c r="AL61">
        <v>0</v>
      </c>
      <c r="AM61">
        <v>0</v>
      </c>
    </row>
    <row r="62" spans="1:39" hidden="1" x14ac:dyDescent="0.2">
      <c r="A62" t="s">
        <v>174</v>
      </c>
      <c r="B62" t="s">
        <v>175</v>
      </c>
      <c r="C62" t="s">
        <v>175</v>
      </c>
      <c r="D62" t="s">
        <v>3</v>
      </c>
      <c r="E62">
        <v>1</v>
      </c>
      <c r="F62">
        <v>0</v>
      </c>
      <c r="G62">
        <v>0</v>
      </c>
      <c r="H62">
        <v>0</v>
      </c>
      <c r="I62" t="s">
        <v>19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5</v>
      </c>
      <c r="AE62">
        <v>289</v>
      </c>
      <c r="AF62">
        <v>17.78809269605912</v>
      </c>
      <c r="AG62">
        <v>19.247141687108691</v>
      </c>
      <c r="AH62">
        <v>15.221805212762501</v>
      </c>
      <c r="AI62">
        <f>13.3259150901087*1</f>
        <v>13.325915090108699</v>
      </c>
      <c r="AJ62">
        <f>2.6715341650175*1</f>
        <v>2.6715341650175</v>
      </c>
      <c r="AK62">
        <v>1</v>
      </c>
      <c r="AL62">
        <v>0</v>
      </c>
      <c r="AM62">
        <v>0</v>
      </c>
    </row>
    <row r="63" spans="1:39" hidden="1" x14ac:dyDescent="0.2">
      <c r="A63" t="s">
        <v>176</v>
      </c>
      <c r="B63" t="s">
        <v>177</v>
      </c>
      <c r="C63" t="s">
        <v>178</v>
      </c>
      <c r="D63" t="s">
        <v>6</v>
      </c>
      <c r="E63">
        <v>0</v>
      </c>
      <c r="F63">
        <v>0</v>
      </c>
      <c r="G63">
        <v>0</v>
      </c>
      <c r="H63">
        <v>1</v>
      </c>
      <c r="I63" t="s">
        <v>19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5.9</v>
      </c>
      <c r="AE63">
        <v>292</v>
      </c>
      <c r="AF63">
        <v>15.745300368875171</v>
      </c>
      <c r="AG63">
        <v>17.701944948905808</v>
      </c>
      <c r="AH63">
        <v>11.6</v>
      </c>
      <c r="AI63">
        <f>5.25210966424303*1</f>
        <v>5.2521096642430303</v>
      </c>
      <c r="AJ63">
        <f>0.959125372213164*1</f>
        <v>0.95912537221316396</v>
      </c>
      <c r="AK63">
        <v>1</v>
      </c>
      <c r="AL63">
        <v>0</v>
      </c>
      <c r="AM63">
        <v>0</v>
      </c>
    </row>
    <row r="64" spans="1:39" x14ac:dyDescent="0.2">
      <c r="A64" t="s">
        <v>53</v>
      </c>
      <c r="B64" t="s">
        <v>54</v>
      </c>
      <c r="C64" t="s">
        <v>55</v>
      </c>
      <c r="D64" t="s">
        <v>3</v>
      </c>
      <c r="E64">
        <v>1</v>
      </c>
      <c r="F64">
        <v>0</v>
      </c>
      <c r="G64">
        <v>0</v>
      </c>
      <c r="H64">
        <v>0</v>
      </c>
      <c r="I64" t="s">
        <v>11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5.6</v>
      </c>
      <c r="AE64">
        <v>11</v>
      </c>
      <c r="AF64">
        <v>21.642697531245279</v>
      </c>
      <c r="AG64">
        <v>19.63295371209465</v>
      </c>
      <c r="AH64">
        <v>14.96932832217662</v>
      </c>
      <c r="AI64">
        <f>19.1940161922682*1</f>
        <v>19.194016192268201</v>
      </c>
      <c r="AJ64">
        <f>4.21580107027124*1</f>
        <v>4.2158010702712403</v>
      </c>
      <c r="AK64">
        <v>1</v>
      </c>
      <c r="AL64">
        <v>0</v>
      </c>
      <c r="AM64">
        <v>1</v>
      </c>
    </row>
    <row r="65" spans="1:39" hidden="1" x14ac:dyDescent="0.2">
      <c r="A65" t="s">
        <v>181</v>
      </c>
      <c r="B65" t="s">
        <v>182</v>
      </c>
      <c r="C65" t="s">
        <v>182</v>
      </c>
      <c r="D65" t="s">
        <v>4</v>
      </c>
      <c r="E65">
        <v>0</v>
      </c>
      <c r="F65">
        <v>1</v>
      </c>
      <c r="G65">
        <v>0</v>
      </c>
      <c r="H65">
        <v>0</v>
      </c>
      <c r="I65" t="s">
        <v>19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4.7</v>
      </c>
      <c r="AE65">
        <v>296</v>
      </c>
      <c r="AF65">
        <v>13.106796116504849</v>
      </c>
      <c r="AG65">
        <v>11.826787117004841</v>
      </c>
      <c r="AH65">
        <v>30.956190476190478</v>
      </c>
      <c r="AI65">
        <f>16.3222004553362*1</f>
        <v>16.322200455336201</v>
      </c>
      <c r="AJ65">
        <f>3.34707205993433*1</f>
        <v>3.3470720599343302</v>
      </c>
      <c r="AK65">
        <v>1</v>
      </c>
      <c r="AL65">
        <v>0</v>
      </c>
      <c r="AM65">
        <v>0</v>
      </c>
    </row>
    <row r="66" spans="1:39" hidden="1" x14ac:dyDescent="0.2">
      <c r="A66" t="s">
        <v>183</v>
      </c>
      <c r="B66" t="s">
        <v>184</v>
      </c>
      <c r="C66" t="s">
        <v>184</v>
      </c>
      <c r="D66" t="s">
        <v>5</v>
      </c>
      <c r="E66">
        <v>0</v>
      </c>
      <c r="F66">
        <v>0</v>
      </c>
      <c r="G66">
        <v>1</v>
      </c>
      <c r="H66">
        <v>0</v>
      </c>
      <c r="I66" t="s">
        <v>19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5.3</v>
      </c>
      <c r="AE66">
        <v>300</v>
      </c>
      <c r="AF66">
        <v>12.96875</v>
      </c>
      <c r="AG66">
        <v>13.966964674705091</v>
      </c>
      <c r="AH66">
        <v>4.2571428571428562</v>
      </c>
      <c r="AI66">
        <f>10.5931832986202*1</f>
        <v>10.5931832986202</v>
      </c>
      <c r="AJ66">
        <f>2.1289432632719*1</f>
        <v>2.1289432632718999</v>
      </c>
      <c r="AK66">
        <v>1</v>
      </c>
      <c r="AL66">
        <v>0</v>
      </c>
      <c r="AM66">
        <v>0</v>
      </c>
    </row>
    <row r="67" spans="1:39" hidden="1" x14ac:dyDescent="0.2">
      <c r="A67" t="s">
        <v>185</v>
      </c>
      <c r="B67" t="s">
        <v>186</v>
      </c>
      <c r="C67" t="s">
        <v>186</v>
      </c>
      <c r="D67" t="s">
        <v>4</v>
      </c>
      <c r="E67">
        <v>0</v>
      </c>
      <c r="F67">
        <v>1</v>
      </c>
      <c r="G67">
        <v>0</v>
      </c>
      <c r="H67">
        <v>0</v>
      </c>
      <c r="I67" t="s">
        <v>20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4</v>
      </c>
      <c r="AE67">
        <v>336</v>
      </c>
      <c r="AF67">
        <v>11.33288169819431</v>
      </c>
      <c r="AG67">
        <v>6.3036202879727146</v>
      </c>
      <c r="AH67">
        <v>17.316969932342019</v>
      </c>
      <c r="AI67">
        <f>4.66126815892922*1</f>
        <v>4.6612681589292198</v>
      </c>
      <c r="AJ67">
        <f>0.905852991655344*1</f>
        <v>0.90585299165534405</v>
      </c>
      <c r="AK67">
        <v>1</v>
      </c>
      <c r="AL67">
        <v>0</v>
      </c>
      <c r="AM67">
        <v>0</v>
      </c>
    </row>
    <row r="68" spans="1:39" hidden="1" x14ac:dyDescent="0.2">
      <c r="A68" t="s">
        <v>187</v>
      </c>
      <c r="B68" t="s">
        <v>188</v>
      </c>
      <c r="C68" t="s">
        <v>188</v>
      </c>
      <c r="D68" t="s">
        <v>5</v>
      </c>
      <c r="E68">
        <v>0</v>
      </c>
      <c r="F68">
        <v>0</v>
      </c>
      <c r="G68">
        <v>1</v>
      </c>
      <c r="H68">
        <v>0</v>
      </c>
      <c r="I68" t="s">
        <v>20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5</v>
      </c>
      <c r="AE68">
        <v>338</v>
      </c>
      <c r="AF68">
        <v>13.83333333333333</v>
      </c>
      <c r="AG68">
        <v>19.190202326060419</v>
      </c>
      <c r="AH68">
        <v>8.0571428571428569</v>
      </c>
      <c r="AI68">
        <f>8.25978528766017*1</f>
        <v>8.2597852876601703</v>
      </c>
      <c r="AJ68">
        <f>1.47378291559107*1</f>
        <v>1.47378291559107</v>
      </c>
      <c r="AK68">
        <v>1</v>
      </c>
      <c r="AL68">
        <v>0</v>
      </c>
      <c r="AM68">
        <v>0</v>
      </c>
    </row>
    <row r="69" spans="1:39" hidden="1" x14ac:dyDescent="0.2">
      <c r="A69" t="s">
        <v>189</v>
      </c>
      <c r="B69" t="s">
        <v>190</v>
      </c>
      <c r="C69" t="s">
        <v>190</v>
      </c>
      <c r="D69" t="s">
        <v>5</v>
      </c>
      <c r="E69">
        <v>0</v>
      </c>
      <c r="F69">
        <v>0</v>
      </c>
      <c r="G69">
        <v>1</v>
      </c>
      <c r="H69">
        <v>0</v>
      </c>
      <c r="I69" t="s">
        <v>21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5</v>
      </c>
      <c r="AE69">
        <v>339</v>
      </c>
      <c r="AF69">
        <v>11.70731707317074</v>
      </c>
      <c r="AG69">
        <v>9.8011018216719812</v>
      </c>
      <c r="AH69">
        <v>12.19805977351187</v>
      </c>
      <c r="AI69">
        <f>10.0330573263319*1</f>
        <v>10.0330573263319</v>
      </c>
      <c r="AJ69">
        <f>1.9958789694924*1</f>
        <v>1.9958789694924</v>
      </c>
      <c r="AK69">
        <v>1</v>
      </c>
      <c r="AL69">
        <v>0</v>
      </c>
      <c r="AM69">
        <v>0</v>
      </c>
    </row>
    <row r="70" spans="1:39" hidden="1" x14ac:dyDescent="0.2">
      <c r="A70" t="s">
        <v>191</v>
      </c>
      <c r="B70" t="s">
        <v>192</v>
      </c>
      <c r="C70" t="s">
        <v>193</v>
      </c>
      <c r="D70" t="s">
        <v>3</v>
      </c>
      <c r="E70">
        <v>1</v>
      </c>
      <c r="F70">
        <v>0</v>
      </c>
      <c r="G70">
        <v>0</v>
      </c>
      <c r="H70">
        <v>0</v>
      </c>
      <c r="I70" t="s">
        <v>22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5.5</v>
      </c>
      <c r="AE70">
        <v>372</v>
      </c>
      <c r="AF70">
        <v>21.527251983498491</v>
      </c>
      <c r="AG70">
        <v>22.313883091992171</v>
      </c>
      <c r="AH70">
        <v>16.95828347887932</v>
      </c>
      <c r="AI70">
        <f>19.6950197095209*1</f>
        <v>19.695019709520899</v>
      </c>
      <c r="AJ70">
        <f>3.96840669868245*1</f>
        <v>3.96840669868245</v>
      </c>
      <c r="AK70">
        <v>1</v>
      </c>
      <c r="AL70">
        <v>0</v>
      </c>
      <c r="AM70">
        <v>0</v>
      </c>
    </row>
    <row r="71" spans="1:39" hidden="1" x14ac:dyDescent="0.2">
      <c r="A71" t="s">
        <v>194</v>
      </c>
      <c r="B71" t="s">
        <v>195</v>
      </c>
      <c r="C71" t="s">
        <v>195</v>
      </c>
      <c r="D71" t="s">
        <v>4</v>
      </c>
      <c r="E71">
        <v>0</v>
      </c>
      <c r="F71">
        <v>1</v>
      </c>
      <c r="G71">
        <v>0</v>
      </c>
      <c r="H71">
        <v>0</v>
      </c>
      <c r="I71" t="s">
        <v>22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7.1</v>
      </c>
      <c r="AE71">
        <v>373</v>
      </c>
      <c r="AF71">
        <v>25.132778818270079</v>
      </c>
      <c r="AG71">
        <v>29.32777689075656</v>
      </c>
      <c r="AH71">
        <v>20.69137042145908</v>
      </c>
      <c r="AI71">
        <f>22.639473512615*1</f>
        <v>22.639473512615002</v>
      </c>
      <c r="AJ71">
        <f>4.17912372476136*1</f>
        <v>4.17912372476136</v>
      </c>
      <c r="AK71">
        <v>1</v>
      </c>
      <c r="AL71">
        <v>0</v>
      </c>
      <c r="AM71">
        <v>0</v>
      </c>
    </row>
    <row r="72" spans="1:39" hidden="1" x14ac:dyDescent="0.2">
      <c r="A72" t="s">
        <v>196</v>
      </c>
      <c r="B72" t="s">
        <v>197</v>
      </c>
      <c r="C72" t="s">
        <v>196</v>
      </c>
      <c r="D72" t="s">
        <v>6</v>
      </c>
      <c r="E72">
        <v>0</v>
      </c>
      <c r="F72">
        <v>0</v>
      </c>
      <c r="G72">
        <v>0</v>
      </c>
      <c r="H72">
        <v>1</v>
      </c>
      <c r="I72" t="s">
        <v>22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7.2</v>
      </c>
      <c r="AE72">
        <v>377</v>
      </c>
      <c r="AF72">
        <v>18.030303030303031</v>
      </c>
      <c r="AG72">
        <v>24.975010001278399</v>
      </c>
      <c r="AH72">
        <v>9.0417745253542456</v>
      </c>
      <c r="AI72">
        <f>6.33844848968536*1</f>
        <v>6.3384484896853603</v>
      </c>
      <c r="AJ72">
        <f>1.25789749794104*1</f>
        <v>1.25789749794104</v>
      </c>
      <c r="AK72">
        <v>1</v>
      </c>
      <c r="AL72">
        <v>0</v>
      </c>
      <c r="AM72">
        <v>0</v>
      </c>
    </row>
    <row r="73" spans="1:39" hidden="1" x14ac:dyDescent="0.2">
      <c r="A73" t="s">
        <v>198</v>
      </c>
      <c r="B73" t="s">
        <v>199</v>
      </c>
      <c r="C73" t="s">
        <v>200</v>
      </c>
      <c r="D73" t="s">
        <v>5</v>
      </c>
      <c r="E73">
        <v>0</v>
      </c>
      <c r="F73">
        <v>0</v>
      </c>
      <c r="G73">
        <v>1</v>
      </c>
      <c r="H73">
        <v>0</v>
      </c>
      <c r="I73" t="s">
        <v>22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7.5</v>
      </c>
      <c r="AE73">
        <v>378</v>
      </c>
      <c r="AF73">
        <v>22.777777777777779</v>
      </c>
      <c r="AG73">
        <v>17.613505309314689</v>
      </c>
      <c r="AH73">
        <v>17.308329845157211</v>
      </c>
      <c r="AI73">
        <f>10.5519561477517*1</f>
        <v>10.551956147751699</v>
      </c>
      <c r="AJ73">
        <f>2.18733703827069*1</f>
        <v>2.18733703827069</v>
      </c>
      <c r="AK73">
        <v>1</v>
      </c>
      <c r="AL73">
        <v>0</v>
      </c>
      <c r="AM73">
        <v>0</v>
      </c>
    </row>
    <row r="74" spans="1:39" hidden="1" x14ac:dyDescent="0.2">
      <c r="A74" t="s">
        <v>201</v>
      </c>
      <c r="B74" t="s">
        <v>202</v>
      </c>
      <c r="C74" t="s">
        <v>202</v>
      </c>
      <c r="D74" t="s">
        <v>5</v>
      </c>
      <c r="E74">
        <v>0</v>
      </c>
      <c r="F74">
        <v>0</v>
      </c>
      <c r="G74">
        <v>1</v>
      </c>
      <c r="H74">
        <v>0</v>
      </c>
      <c r="I74" t="s">
        <v>22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5.2</v>
      </c>
      <c r="AE74">
        <v>380</v>
      </c>
      <c r="AF74">
        <v>10.999032011828779</v>
      </c>
      <c r="AG74">
        <v>8.7662725613245804</v>
      </c>
      <c r="AH74">
        <v>34.517333333333333</v>
      </c>
      <c r="AI74">
        <f>14.8104211007962*1</f>
        <v>14.8104211007962</v>
      </c>
      <c r="AJ74">
        <f>2.84056161537384*1</f>
        <v>2.84056161537384</v>
      </c>
      <c r="AK74">
        <v>1</v>
      </c>
      <c r="AL74">
        <v>0</v>
      </c>
      <c r="AM74">
        <v>0</v>
      </c>
    </row>
    <row r="75" spans="1:39" hidden="1" x14ac:dyDescent="0.2">
      <c r="A75" t="s">
        <v>203</v>
      </c>
      <c r="B75" t="s">
        <v>204</v>
      </c>
      <c r="C75" t="s">
        <v>204</v>
      </c>
      <c r="D75" t="s">
        <v>4</v>
      </c>
      <c r="E75">
        <v>0</v>
      </c>
      <c r="F75">
        <v>1</v>
      </c>
      <c r="G75">
        <v>0</v>
      </c>
      <c r="H75">
        <v>0</v>
      </c>
      <c r="I75" t="s">
        <v>22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5.2</v>
      </c>
      <c r="AE75">
        <v>387</v>
      </c>
      <c r="AF75">
        <v>15.36363636363636</v>
      </c>
      <c r="AG75">
        <v>11.94474009213643</v>
      </c>
      <c r="AH75">
        <v>20.57964537322378</v>
      </c>
      <c r="AI75">
        <f>18.1949070142223*1</f>
        <v>18.194907014222299</v>
      </c>
      <c r="AJ75">
        <f>3.4907168796051*1</f>
        <v>3.4907168796050998</v>
      </c>
      <c r="AK75">
        <v>1</v>
      </c>
      <c r="AL75">
        <v>0</v>
      </c>
      <c r="AM75">
        <v>0</v>
      </c>
    </row>
    <row r="76" spans="1:39" x14ac:dyDescent="0.2">
      <c r="A76" t="s">
        <v>75</v>
      </c>
      <c r="B76" t="s">
        <v>76</v>
      </c>
      <c r="C76" t="s">
        <v>77</v>
      </c>
      <c r="D76" t="s">
        <v>6</v>
      </c>
      <c r="E76">
        <v>0</v>
      </c>
      <c r="F76">
        <v>0</v>
      </c>
      <c r="G76">
        <v>0</v>
      </c>
      <c r="H76">
        <v>1</v>
      </c>
      <c r="I76" t="s">
        <v>12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6.2</v>
      </c>
      <c r="AE76">
        <v>42</v>
      </c>
      <c r="AF76">
        <v>21.418414036893981</v>
      </c>
      <c r="AG76">
        <v>8.1413911788146525</v>
      </c>
      <c r="AH76">
        <v>29.4244437708834</v>
      </c>
      <c r="AI76">
        <f>44.1041845020071*1</f>
        <v>44.104184502007101</v>
      </c>
      <c r="AJ76">
        <f>8.78725256353725*1</f>
        <v>8.7872525635372494</v>
      </c>
      <c r="AK76">
        <v>1</v>
      </c>
      <c r="AL76">
        <v>0</v>
      </c>
      <c r="AM76">
        <v>1</v>
      </c>
    </row>
    <row r="77" spans="1:39" x14ac:dyDescent="0.2">
      <c r="A77" t="s">
        <v>179</v>
      </c>
      <c r="B77" t="s">
        <v>180</v>
      </c>
      <c r="C77" t="s">
        <v>179</v>
      </c>
      <c r="D77" t="s">
        <v>6</v>
      </c>
      <c r="E77">
        <v>0</v>
      </c>
      <c r="F77">
        <v>0</v>
      </c>
      <c r="G77">
        <v>0</v>
      </c>
      <c r="H77">
        <v>1</v>
      </c>
      <c r="I77" t="s">
        <v>19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5.5</v>
      </c>
      <c r="AE77">
        <v>293</v>
      </c>
      <c r="AF77">
        <v>18.13420918322085</v>
      </c>
      <c r="AG77">
        <v>22.561196449387541</v>
      </c>
      <c r="AH77">
        <v>20.175225605082598</v>
      </c>
      <c r="AI77">
        <f>27.5682804935131*1</f>
        <v>27.5682804935131</v>
      </c>
      <c r="AJ77">
        <f>5.37301382339*1</f>
        <v>5.37301382339</v>
      </c>
      <c r="AK77">
        <v>1</v>
      </c>
      <c r="AL77">
        <v>0</v>
      </c>
      <c r="AM77">
        <v>1</v>
      </c>
    </row>
    <row r="78" spans="1:39" hidden="1" x14ac:dyDescent="0.2">
      <c r="A78" t="s">
        <v>211</v>
      </c>
      <c r="B78" t="s">
        <v>212</v>
      </c>
      <c r="C78" t="s">
        <v>212</v>
      </c>
      <c r="D78" t="s">
        <v>5</v>
      </c>
      <c r="E78">
        <v>0</v>
      </c>
      <c r="F78">
        <v>0</v>
      </c>
      <c r="G78">
        <v>1</v>
      </c>
      <c r="H78">
        <v>0</v>
      </c>
      <c r="I78" t="s">
        <v>22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6.3</v>
      </c>
      <c r="AE78">
        <v>390</v>
      </c>
      <c r="AF78">
        <v>14.839076776234119</v>
      </c>
      <c r="AG78">
        <v>12.297623898859641</v>
      </c>
      <c r="AH78">
        <v>9.7599643500131084</v>
      </c>
      <c r="AI78">
        <f>13.3641439020128*1</f>
        <v>13.364143902012801</v>
      </c>
      <c r="AJ78">
        <f>2.51382480818609*1</f>
        <v>2.5138248081860901</v>
      </c>
      <c r="AK78">
        <v>1</v>
      </c>
      <c r="AL78">
        <v>0</v>
      </c>
      <c r="AM78">
        <v>0</v>
      </c>
    </row>
    <row r="79" spans="1:39" x14ac:dyDescent="0.2">
      <c r="A79" t="s">
        <v>139</v>
      </c>
      <c r="B79" t="s">
        <v>270</v>
      </c>
      <c r="C79" t="s">
        <v>270</v>
      </c>
      <c r="D79" t="s">
        <v>6</v>
      </c>
      <c r="E79">
        <v>0</v>
      </c>
      <c r="F79">
        <v>0</v>
      </c>
      <c r="G79">
        <v>0</v>
      </c>
      <c r="H79">
        <v>1</v>
      </c>
      <c r="I79" t="s">
        <v>26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1</v>
      </c>
      <c r="Z79">
        <v>0</v>
      </c>
      <c r="AA79">
        <v>0</v>
      </c>
      <c r="AB79">
        <v>0</v>
      </c>
      <c r="AC79">
        <v>0</v>
      </c>
      <c r="AD79">
        <v>6.2</v>
      </c>
      <c r="AE79">
        <v>517</v>
      </c>
      <c r="AF79">
        <v>17.719113597751839</v>
      </c>
      <c r="AG79">
        <v>17.608025783549369</v>
      </c>
      <c r="AH79">
        <v>20.92973087797143</v>
      </c>
      <c r="AI79">
        <f>24.3044837154749*1</f>
        <v>24.304483715474898</v>
      </c>
      <c r="AJ79">
        <f>5.36669596424028*1</f>
        <v>5.3666959642402796</v>
      </c>
      <c r="AK79">
        <v>1</v>
      </c>
      <c r="AL79">
        <v>0</v>
      </c>
      <c r="AM79">
        <v>1</v>
      </c>
    </row>
    <row r="80" spans="1:39" hidden="1" x14ac:dyDescent="0.2">
      <c r="A80" t="s">
        <v>215</v>
      </c>
      <c r="B80" t="s">
        <v>216</v>
      </c>
      <c r="C80" t="s">
        <v>216</v>
      </c>
      <c r="D80" t="s">
        <v>5</v>
      </c>
      <c r="E80">
        <v>0</v>
      </c>
      <c r="F80">
        <v>0</v>
      </c>
      <c r="G80">
        <v>1</v>
      </c>
      <c r="H80">
        <v>0</v>
      </c>
      <c r="I80" t="s">
        <v>22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6.5</v>
      </c>
      <c r="AE80">
        <v>397</v>
      </c>
      <c r="AF80">
        <v>15.65789473684211</v>
      </c>
      <c r="AG80">
        <v>21.298492518475278</v>
      </c>
      <c r="AH80">
        <v>8.1075432900432904</v>
      </c>
      <c r="AI80">
        <f>12.2674841706322*1</f>
        <v>12.2674841706322</v>
      </c>
      <c r="AJ80">
        <f>2.04587408866917*1</f>
        <v>2.0458740886691702</v>
      </c>
      <c r="AK80">
        <v>1</v>
      </c>
      <c r="AL80">
        <v>0</v>
      </c>
      <c r="AM80">
        <v>0</v>
      </c>
    </row>
    <row r="81" spans="1:39" hidden="1" x14ac:dyDescent="0.2">
      <c r="A81" t="s">
        <v>217</v>
      </c>
      <c r="B81" t="s">
        <v>218</v>
      </c>
      <c r="C81" t="s">
        <v>217</v>
      </c>
      <c r="D81" t="s">
        <v>4</v>
      </c>
      <c r="E81">
        <v>0</v>
      </c>
      <c r="F81">
        <v>1</v>
      </c>
      <c r="G81">
        <v>0</v>
      </c>
      <c r="H81">
        <v>0</v>
      </c>
      <c r="I81" t="s">
        <v>22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6</v>
      </c>
      <c r="AE81">
        <v>399</v>
      </c>
      <c r="AF81">
        <v>19.745224224008361</v>
      </c>
      <c r="AG81">
        <v>18.456576998750322</v>
      </c>
      <c r="AH81">
        <v>20.387354719145449</v>
      </c>
      <c r="AI81">
        <f>16.5796484728192*1</f>
        <v>16.579648472819201</v>
      </c>
      <c r="AJ81">
        <f>2.1901913833558*1</f>
        <v>2.1901913833558</v>
      </c>
      <c r="AK81">
        <v>1</v>
      </c>
      <c r="AL81">
        <v>0</v>
      </c>
      <c r="AM81">
        <v>0</v>
      </c>
    </row>
    <row r="82" spans="1:39" hidden="1" x14ac:dyDescent="0.2">
      <c r="A82" t="s">
        <v>219</v>
      </c>
      <c r="B82" t="s">
        <v>220</v>
      </c>
      <c r="C82" t="s">
        <v>220</v>
      </c>
      <c r="D82" t="s">
        <v>4</v>
      </c>
      <c r="E82">
        <v>0</v>
      </c>
      <c r="F82">
        <v>1</v>
      </c>
      <c r="G82">
        <v>0</v>
      </c>
      <c r="H82">
        <v>0</v>
      </c>
      <c r="I82" t="s">
        <v>23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5.3</v>
      </c>
      <c r="AE82">
        <v>403</v>
      </c>
      <c r="AF82">
        <v>16.27586206896553</v>
      </c>
      <c r="AG82">
        <v>18.002721240504311</v>
      </c>
      <c r="AH82">
        <v>8.8963492702541487</v>
      </c>
      <c r="AI82">
        <f>4.55113404503974*1</f>
        <v>4.5511340450397402</v>
      </c>
      <c r="AJ82">
        <f>0.848790712579543*1</f>
        <v>0.84879071257954297</v>
      </c>
      <c r="AK82">
        <v>1</v>
      </c>
      <c r="AL82">
        <v>0</v>
      </c>
      <c r="AM82">
        <v>0</v>
      </c>
    </row>
    <row r="83" spans="1:39" hidden="1" x14ac:dyDescent="0.2">
      <c r="A83" t="s">
        <v>221</v>
      </c>
      <c r="B83" t="s">
        <v>222</v>
      </c>
      <c r="C83" t="s">
        <v>221</v>
      </c>
      <c r="D83" t="s">
        <v>5</v>
      </c>
      <c r="E83">
        <v>0</v>
      </c>
      <c r="F83">
        <v>0</v>
      </c>
      <c r="G83">
        <v>1</v>
      </c>
      <c r="H83">
        <v>0</v>
      </c>
      <c r="I83" t="s">
        <v>23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6.5</v>
      </c>
      <c r="AE83">
        <v>404</v>
      </c>
      <c r="AF83">
        <v>18.38235294117646</v>
      </c>
      <c r="AG83">
        <v>20.26099098286991</v>
      </c>
      <c r="AH83">
        <v>8.2571428571428562</v>
      </c>
      <c r="AI83">
        <f>14.3837767696695*1</f>
        <v>14.383776769669501</v>
      </c>
      <c r="AJ83">
        <f>2.73072427765835*1</f>
        <v>2.73072427765835</v>
      </c>
      <c r="AK83">
        <v>1</v>
      </c>
      <c r="AL83">
        <v>0</v>
      </c>
      <c r="AM83">
        <v>0</v>
      </c>
    </row>
    <row r="84" spans="1:39" hidden="1" x14ac:dyDescent="0.2">
      <c r="A84" t="s">
        <v>223</v>
      </c>
      <c r="B84" t="s">
        <v>224</v>
      </c>
      <c r="C84" t="s">
        <v>224</v>
      </c>
      <c r="D84" t="s">
        <v>5</v>
      </c>
      <c r="E84">
        <v>0</v>
      </c>
      <c r="F84">
        <v>0</v>
      </c>
      <c r="G84">
        <v>1</v>
      </c>
      <c r="H84">
        <v>0</v>
      </c>
      <c r="I84" t="s">
        <v>23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6.4</v>
      </c>
      <c r="AE84">
        <v>408</v>
      </c>
      <c r="AF84">
        <v>16.40625</v>
      </c>
      <c r="AG84">
        <v>16.32963075213279</v>
      </c>
      <c r="AH84">
        <v>5.9916687016687016</v>
      </c>
      <c r="AI84">
        <f>6.93123124414498*1</f>
        <v>6.9312312441449802</v>
      </c>
      <c r="AJ84">
        <f>1.30092343483463*1</f>
        <v>1.3009234348346299</v>
      </c>
      <c r="AK84">
        <v>1</v>
      </c>
      <c r="AL84">
        <v>0</v>
      </c>
      <c r="AM84">
        <v>0</v>
      </c>
    </row>
    <row r="85" spans="1:39" hidden="1" x14ac:dyDescent="0.2">
      <c r="A85" t="s">
        <v>225</v>
      </c>
      <c r="B85" t="s">
        <v>226</v>
      </c>
      <c r="C85" t="s">
        <v>227</v>
      </c>
      <c r="D85" t="s">
        <v>3</v>
      </c>
      <c r="E85">
        <v>1</v>
      </c>
      <c r="F85">
        <v>0</v>
      </c>
      <c r="G85">
        <v>0</v>
      </c>
      <c r="H85">
        <v>0</v>
      </c>
      <c r="I85" t="s">
        <v>23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5.5</v>
      </c>
      <c r="AE85">
        <v>409</v>
      </c>
      <c r="AF85">
        <v>19.44444444444445</v>
      </c>
      <c r="AG85">
        <v>18.21859049724641</v>
      </c>
      <c r="AH85">
        <v>8.9478176996351557</v>
      </c>
      <c r="AI85">
        <f>12.4096314230544*1</f>
        <v>12.4096314230544</v>
      </c>
      <c r="AJ85">
        <f>2.51419246571166*1</f>
        <v>2.5141924657116599</v>
      </c>
      <c r="AK85">
        <v>1</v>
      </c>
      <c r="AL85">
        <v>0</v>
      </c>
      <c r="AM85">
        <v>0</v>
      </c>
    </row>
    <row r="86" spans="1:39" hidden="1" x14ac:dyDescent="0.2">
      <c r="A86" t="s">
        <v>228</v>
      </c>
      <c r="B86" t="s">
        <v>229</v>
      </c>
      <c r="C86" t="s">
        <v>229</v>
      </c>
      <c r="D86" t="s">
        <v>5</v>
      </c>
      <c r="E86">
        <v>0</v>
      </c>
      <c r="F86">
        <v>0</v>
      </c>
      <c r="G86">
        <v>1</v>
      </c>
      <c r="H86">
        <v>0</v>
      </c>
      <c r="I86" t="s">
        <v>23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9.1999999999999993</v>
      </c>
      <c r="AE86">
        <v>410</v>
      </c>
      <c r="AF86">
        <v>39.733850689155709</v>
      </c>
      <c r="AG86">
        <v>20.275657846365881</v>
      </c>
      <c r="AH86">
        <v>21.87883597883598</v>
      </c>
      <c r="AI86">
        <f>13.7047254735862*1</f>
        <v>13.704725473586199</v>
      </c>
      <c r="AJ86">
        <f>2.98170098114557*1</f>
        <v>2.9817009811455701</v>
      </c>
      <c r="AK86">
        <v>1</v>
      </c>
      <c r="AL86">
        <v>0</v>
      </c>
      <c r="AM86">
        <v>0</v>
      </c>
    </row>
    <row r="87" spans="1:39" hidden="1" x14ac:dyDescent="0.2">
      <c r="A87" t="s">
        <v>230</v>
      </c>
      <c r="B87" t="s">
        <v>231</v>
      </c>
      <c r="C87" t="s">
        <v>231</v>
      </c>
      <c r="D87" t="s">
        <v>4</v>
      </c>
      <c r="E87">
        <v>0</v>
      </c>
      <c r="F87">
        <v>1</v>
      </c>
      <c r="G87">
        <v>0</v>
      </c>
      <c r="H87">
        <v>0</v>
      </c>
      <c r="I87" t="s">
        <v>23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5.9</v>
      </c>
      <c r="AE87">
        <v>412</v>
      </c>
      <c r="AF87">
        <v>18.787878787878778</v>
      </c>
      <c r="AG87">
        <v>21.87274679470298</v>
      </c>
      <c r="AH87">
        <v>20.16</v>
      </c>
      <c r="AI87">
        <f>10.5490366554622*1</f>
        <v>10.549036655462199</v>
      </c>
      <c r="AJ87">
        <f>2.01620571276528*1</f>
        <v>2.0162057127652799</v>
      </c>
      <c r="AK87">
        <v>1</v>
      </c>
      <c r="AL87">
        <v>0</v>
      </c>
      <c r="AM87">
        <v>0</v>
      </c>
    </row>
    <row r="88" spans="1:39" hidden="1" x14ac:dyDescent="0.2">
      <c r="A88" t="s">
        <v>232</v>
      </c>
      <c r="B88" t="s">
        <v>233</v>
      </c>
      <c r="C88" t="s">
        <v>233</v>
      </c>
      <c r="D88" t="s">
        <v>6</v>
      </c>
      <c r="E88">
        <v>0</v>
      </c>
      <c r="F88">
        <v>0</v>
      </c>
      <c r="G88">
        <v>0</v>
      </c>
      <c r="H88">
        <v>1</v>
      </c>
      <c r="I88" t="s">
        <v>23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15.3</v>
      </c>
      <c r="AE88">
        <v>413</v>
      </c>
      <c r="AF88">
        <v>41.328454956988907</v>
      </c>
      <c r="AG88">
        <v>36.765039749504233</v>
      </c>
      <c r="AH88">
        <v>27.915512458766869</v>
      </c>
      <c r="AI88">
        <f>38.554469856859*1</f>
        <v>38.554469856859001</v>
      </c>
      <c r="AJ88">
        <f>7.52131079764161*1</f>
        <v>7.5213107976416103</v>
      </c>
      <c r="AK88">
        <v>1</v>
      </c>
      <c r="AL88">
        <v>0</v>
      </c>
      <c r="AM88">
        <v>0</v>
      </c>
    </row>
    <row r="89" spans="1:39" hidden="1" x14ac:dyDescent="0.2">
      <c r="A89" t="s">
        <v>234</v>
      </c>
      <c r="B89" t="s">
        <v>235</v>
      </c>
      <c r="C89" t="s">
        <v>236</v>
      </c>
      <c r="D89" t="s">
        <v>6</v>
      </c>
      <c r="E89">
        <v>0</v>
      </c>
      <c r="F89">
        <v>0</v>
      </c>
      <c r="G89">
        <v>0</v>
      </c>
      <c r="H89">
        <v>1</v>
      </c>
      <c r="I89" t="s">
        <v>23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7</v>
      </c>
      <c r="AE89">
        <v>414</v>
      </c>
      <c r="AF89">
        <v>18.571428571428569</v>
      </c>
      <c r="AG89">
        <v>20.96374792372481</v>
      </c>
      <c r="AH89">
        <v>18.308543531935619</v>
      </c>
      <c r="AI89">
        <f>12.3106362245003*1</f>
        <v>12.3106362245003</v>
      </c>
      <c r="AJ89">
        <f>2.27635847388426*1</f>
        <v>2.2763584738842599</v>
      </c>
      <c r="AK89">
        <v>1</v>
      </c>
      <c r="AL89">
        <v>0</v>
      </c>
      <c r="AM89">
        <v>0</v>
      </c>
    </row>
    <row r="90" spans="1:39" hidden="1" x14ac:dyDescent="0.2">
      <c r="A90" t="s">
        <v>237</v>
      </c>
      <c r="B90" t="s">
        <v>238</v>
      </c>
      <c r="C90" t="s">
        <v>238</v>
      </c>
      <c r="D90" t="s">
        <v>5</v>
      </c>
      <c r="E90">
        <v>0</v>
      </c>
      <c r="F90">
        <v>0</v>
      </c>
      <c r="G90">
        <v>1</v>
      </c>
      <c r="H90">
        <v>0</v>
      </c>
      <c r="I90" t="s">
        <v>23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5.5</v>
      </c>
      <c r="AE90">
        <v>416</v>
      </c>
      <c r="AF90">
        <v>11</v>
      </c>
      <c r="AG90">
        <v>8.1588394544605318</v>
      </c>
      <c r="AH90">
        <v>9.5042222567359378</v>
      </c>
      <c r="AI90">
        <f>5.39177192521566*1</f>
        <v>5.39177192521566</v>
      </c>
      <c r="AJ90">
        <f>1.09783350483259*1</f>
        <v>1.09783350483259</v>
      </c>
      <c r="AK90">
        <v>1</v>
      </c>
      <c r="AL90">
        <v>0</v>
      </c>
      <c r="AM90">
        <v>0</v>
      </c>
    </row>
    <row r="91" spans="1:39" hidden="1" x14ac:dyDescent="0.2">
      <c r="A91" t="s">
        <v>239</v>
      </c>
      <c r="B91" t="s">
        <v>240</v>
      </c>
      <c r="C91" t="s">
        <v>241</v>
      </c>
      <c r="D91" t="s">
        <v>5</v>
      </c>
      <c r="E91">
        <v>0</v>
      </c>
      <c r="F91">
        <v>0</v>
      </c>
      <c r="G91">
        <v>1</v>
      </c>
      <c r="H91">
        <v>0</v>
      </c>
      <c r="I91" t="s">
        <v>24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1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8.1999999999999993</v>
      </c>
      <c r="AE91">
        <v>431</v>
      </c>
      <c r="AF91">
        <v>21.917808219178099</v>
      </c>
      <c r="AG91">
        <v>17.60238574157956</v>
      </c>
      <c r="AH91">
        <v>9.4828207209457247</v>
      </c>
      <c r="AI91">
        <f>3.03630415424015*1</f>
        <v>3.0363041542401499</v>
      </c>
      <c r="AJ91">
        <f>0.650956329933562*1</f>
        <v>0.65095632993356201</v>
      </c>
      <c r="AK91">
        <v>1</v>
      </c>
      <c r="AL91">
        <v>0</v>
      </c>
      <c r="AM91">
        <v>0</v>
      </c>
    </row>
    <row r="92" spans="1:39" x14ac:dyDescent="0.2">
      <c r="A92" t="s">
        <v>45</v>
      </c>
      <c r="B92" t="s">
        <v>46</v>
      </c>
      <c r="C92" t="s">
        <v>45</v>
      </c>
      <c r="D92" t="s">
        <v>4</v>
      </c>
      <c r="E92">
        <v>0</v>
      </c>
      <c r="F92">
        <v>1</v>
      </c>
      <c r="G92">
        <v>0</v>
      </c>
      <c r="H92">
        <v>0</v>
      </c>
      <c r="I92" t="s">
        <v>11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6.2</v>
      </c>
      <c r="AE92">
        <v>2</v>
      </c>
      <c r="AF92">
        <v>23.37842231069548</v>
      </c>
      <c r="AG92">
        <v>18.57184437721099</v>
      </c>
      <c r="AH92">
        <v>27.184975805504479</v>
      </c>
      <c r="AI92">
        <f>31.2883447859283*1</f>
        <v>31.288344785928299</v>
      </c>
      <c r="AJ92">
        <f>7.2362412413287*1</f>
        <v>7.2362412413286998</v>
      </c>
      <c r="AK92">
        <v>1</v>
      </c>
      <c r="AL92">
        <v>1</v>
      </c>
      <c r="AM92">
        <v>1</v>
      </c>
    </row>
    <row r="93" spans="1:39" hidden="1" x14ac:dyDescent="0.2">
      <c r="A93" t="s">
        <v>244</v>
      </c>
      <c r="B93" t="s">
        <v>245</v>
      </c>
      <c r="C93" t="s">
        <v>245</v>
      </c>
      <c r="D93" t="s">
        <v>5</v>
      </c>
      <c r="E93">
        <v>0</v>
      </c>
      <c r="F93">
        <v>0</v>
      </c>
      <c r="G93">
        <v>1</v>
      </c>
      <c r="H93">
        <v>0</v>
      </c>
      <c r="I93" t="s">
        <v>24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6.3</v>
      </c>
      <c r="AE93">
        <v>437</v>
      </c>
      <c r="AF93">
        <v>14.78626826531203</v>
      </c>
      <c r="AG93">
        <v>17.101737985353211</v>
      </c>
      <c r="AH93">
        <v>10.785714285714279</v>
      </c>
      <c r="AI93">
        <f>5.08767219732512*1</f>
        <v>5.0876721973251202</v>
      </c>
      <c r="AJ93">
        <f>1.1095214932262*1</f>
        <v>1.1095214932262001</v>
      </c>
      <c r="AK93">
        <v>1</v>
      </c>
      <c r="AL93">
        <v>0</v>
      </c>
      <c r="AM93">
        <v>0</v>
      </c>
    </row>
    <row r="94" spans="1:39" hidden="1" x14ac:dyDescent="0.2">
      <c r="A94" t="s">
        <v>246</v>
      </c>
      <c r="B94" t="s">
        <v>247</v>
      </c>
      <c r="C94" t="s">
        <v>247</v>
      </c>
      <c r="D94" t="s">
        <v>6</v>
      </c>
      <c r="E94">
        <v>0</v>
      </c>
      <c r="F94">
        <v>0</v>
      </c>
      <c r="G94">
        <v>0</v>
      </c>
      <c r="H94">
        <v>1</v>
      </c>
      <c r="I94" t="s">
        <v>24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6.9</v>
      </c>
      <c r="AE94">
        <v>440</v>
      </c>
      <c r="AF94">
        <v>15.19502128324493</v>
      </c>
      <c r="AG94">
        <v>22.68503911294632</v>
      </c>
      <c r="AH94">
        <v>12.31428571428571</v>
      </c>
      <c r="AI94">
        <f>7.26734063228712*1</f>
        <v>7.2673406322871203</v>
      </c>
      <c r="AJ94">
        <f>1.31179207101109*1</f>
        <v>1.31179207101109</v>
      </c>
      <c r="AK94">
        <v>1</v>
      </c>
      <c r="AL94">
        <v>0</v>
      </c>
      <c r="AM94">
        <v>0</v>
      </c>
    </row>
    <row r="95" spans="1:39" hidden="1" x14ac:dyDescent="0.2">
      <c r="A95" t="s">
        <v>183</v>
      </c>
      <c r="B95" t="s">
        <v>248</v>
      </c>
      <c r="C95" t="s">
        <v>248</v>
      </c>
      <c r="D95" t="s">
        <v>4</v>
      </c>
      <c r="E95">
        <v>0</v>
      </c>
      <c r="F95">
        <v>1</v>
      </c>
      <c r="G95">
        <v>0</v>
      </c>
      <c r="H95">
        <v>0</v>
      </c>
      <c r="I95" t="s">
        <v>24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4.9000000000000004</v>
      </c>
      <c r="AE95">
        <v>442</v>
      </c>
      <c r="AF95">
        <v>15.644311279299821</v>
      </c>
      <c r="AG95">
        <v>13.82322071910872</v>
      </c>
      <c r="AH95">
        <v>5.5750717268001742</v>
      </c>
      <c r="AI95">
        <f>8.35065873830459*1</f>
        <v>8.35065873830459</v>
      </c>
      <c r="AJ95">
        <f>1.75252086356953*1</f>
        <v>1.75252086356953</v>
      </c>
      <c r="AK95">
        <v>1</v>
      </c>
      <c r="AL95">
        <v>0</v>
      </c>
      <c r="AM95">
        <v>0</v>
      </c>
    </row>
    <row r="96" spans="1:39" x14ac:dyDescent="0.2">
      <c r="A96" t="s">
        <v>213</v>
      </c>
      <c r="B96" t="s">
        <v>214</v>
      </c>
      <c r="C96" t="s">
        <v>214</v>
      </c>
      <c r="D96" t="s">
        <v>4</v>
      </c>
      <c r="E96">
        <v>0</v>
      </c>
      <c r="F96">
        <v>1</v>
      </c>
      <c r="G96">
        <v>0</v>
      </c>
      <c r="H96">
        <v>0</v>
      </c>
      <c r="I96" t="s">
        <v>22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6</v>
      </c>
      <c r="AE96">
        <v>396</v>
      </c>
      <c r="AF96">
        <v>23.783306667109631</v>
      </c>
      <c r="AG96">
        <v>25.668794481445939</v>
      </c>
      <c r="AH96">
        <v>23.887504398250879</v>
      </c>
      <c r="AI96">
        <f>35.7481817228281*1</f>
        <v>35.7481817228281</v>
      </c>
      <c r="AJ96">
        <f>6.96290646110382*1</f>
        <v>6.9629064611038203</v>
      </c>
      <c r="AK96">
        <v>1</v>
      </c>
      <c r="AL96">
        <v>0</v>
      </c>
      <c r="AM96">
        <v>1</v>
      </c>
    </row>
    <row r="97" spans="1:39" hidden="1" x14ac:dyDescent="0.2">
      <c r="A97" t="s">
        <v>95</v>
      </c>
      <c r="B97" t="s">
        <v>250</v>
      </c>
      <c r="C97" t="s">
        <v>250</v>
      </c>
      <c r="D97" t="s">
        <v>5</v>
      </c>
      <c r="E97">
        <v>0</v>
      </c>
      <c r="F97">
        <v>0</v>
      </c>
      <c r="G97">
        <v>1</v>
      </c>
      <c r="H97">
        <v>0</v>
      </c>
      <c r="I97" t="s">
        <v>24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1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6.9</v>
      </c>
      <c r="AE97">
        <v>450</v>
      </c>
      <c r="AF97">
        <v>21.91489361702126</v>
      </c>
      <c r="AG97">
        <v>22.774683149760801</v>
      </c>
      <c r="AH97">
        <v>13.934663218323269</v>
      </c>
      <c r="AI97">
        <f>10.6755661719773*1</f>
        <v>10.6755661719773</v>
      </c>
      <c r="AJ97">
        <f>2.22520263494446*1</f>
        <v>2.22520263494446</v>
      </c>
      <c r="AK97">
        <v>1</v>
      </c>
      <c r="AL97">
        <v>0</v>
      </c>
      <c r="AM97">
        <v>0</v>
      </c>
    </row>
    <row r="98" spans="1:39" x14ac:dyDescent="0.2">
      <c r="A98" t="s">
        <v>198</v>
      </c>
      <c r="B98" t="s">
        <v>242</v>
      </c>
      <c r="C98" t="s">
        <v>243</v>
      </c>
      <c r="D98" t="s">
        <v>4</v>
      </c>
      <c r="E98">
        <v>0</v>
      </c>
      <c r="F98">
        <v>1</v>
      </c>
      <c r="G98">
        <v>0</v>
      </c>
      <c r="H98">
        <v>0</v>
      </c>
      <c r="I98" t="s">
        <v>24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5.0999999999999996</v>
      </c>
      <c r="AE98">
        <v>434</v>
      </c>
      <c r="AF98">
        <v>17.692307692307701</v>
      </c>
      <c r="AG98">
        <v>18.181901145057001</v>
      </c>
      <c r="AH98">
        <v>22.877779712339159</v>
      </c>
      <c r="AI98">
        <f>24.1231280094517*1</f>
        <v>24.123128009451701</v>
      </c>
      <c r="AJ98">
        <f>4.77969542991253*1</f>
        <v>4.7796954299125298</v>
      </c>
      <c r="AK98">
        <v>1</v>
      </c>
      <c r="AL98">
        <v>1</v>
      </c>
      <c r="AM98">
        <v>1</v>
      </c>
    </row>
    <row r="99" spans="1:39" hidden="1" x14ac:dyDescent="0.2">
      <c r="A99" t="s">
        <v>239</v>
      </c>
      <c r="B99" t="s">
        <v>252</v>
      </c>
      <c r="C99" t="s">
        <v>253</v>
      </c>
      <c r="D99" t="s">
        <v>5</v>
      </c>
      <c r="E99">
        <v>0</v>
      </c>
      <c r="F99">
        <v>0</v>
      </c>
      <c r="G99">
        <v>1</v>
      </c>
      <c r="H99">
        <v>0</v>
      </c>
      <c r="I99" t="s">
        <v>25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1</v>
      </c>
      <c r="Y99">
        <v>0</v>
      </c>
      <c r="Z99">
        <v>0</v>
      </c>
      <c r="AA99">
        <v>0</v>
      </c>
      <c r="AB99">
        <v>0</v>
      </c>
      <c r="AC99">
        <v>0</v>
      </c>
      <c r="AD99">
        <v>6.3</v>
      </c>
      <c r="AE99">
        <v>463</v>
      </c>
      <c r="AF99">
        <v>18.662790697674431</v>
      </c>
      <c r="AG99">
        <v>12.8811422033152</v>
      </c>
      <c r="AH99">
        <v>19.39834100373999</v>
      </c>
      <c r="AI99">
        <f>12.4452618146639*1</f>
        <v>12.445261814663899</v>
      </c>
      <c r="AJ99">
        <f>2.46574702318113*1</f>
        <v>2.4657470231811298</v>
      </c>
      <c r="AK99">
        <v>1</v>
      </c>
      <c r="AL99">
        <v>1</v>
      </c>
      <c r="AM99">
        <v>0</v>
      </c>
    </row>
    <row r="100" spans="1:39" hidden="1" x14ac:dyDescent="0.2">
      <c r="A100" t="s">
        <v>254</v>
      </c>
      <c r="B100" t="s">
        <v>255</v>
      </c>
      <c r="C100" t="s">
        <v>255</v>
      </c>
      <c r="D100" t="s">
        <v>5</v>
      </c>
      <c r="E100">
        <v>0</v>
      </c>
      <c r="F100">
        <v>0</v>
      </c>
      <c r="G100">
        <v>1</v>
      </c>
      <c r="H100">
        <v>0</v>
      </c>
      <c r="I100" t="s">
        <v>25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1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7.3</v>
      </c>
      <c r="AE100">
        <v>466</v>
      </c>
      <c r="AF100">
        <v>10</v>
      </c>
      <c r="AG100">
        <v>15.09493793816215</v>
      </c>
      <c r="AH100">
        <v>19.50436957779063</v>
      </c>
      <c r="AI100">
        <f>5.1043513079837*1</f>
        <v>5.1043513079837002</v>
      </c>
      <c r="AJ100">
        <f>0.809325118171012*1</f>
        <v>0.80932511817101205</v>
      </c>
      <c r="AK100">
        <v>1</v>
      </c>
      <c r="AL100">
        <v>1</v>
      </c>
      <c r="AM100">
        <v>0</v>
      </c>
    </row>
    <row r="101" spans="1:39" hidden="1" x14ac:dyDescent="0.2">
      <c r="A101" t="s">
        <v>256</v>
      </c>
      <c r="B101" t="s">
        <v>257</v>
      </c>
      <c r="C101" t="s">
        <v>257</v>
      </c>
      <c r="D101" t="s">
        <v>6</v>
      </c>
      <c r="E101">
        <v>0</v>
      </c>
      <c r="F101">
        <v>0</v>
      </c>
      <c r="G101">
        <v>0</v>
      </c>
      <c r="H101">
        <v>1</v>
      </c>
      <c r="I101" t="s">
        <v>25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1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8.3000000000000007</v>
      </c>
      <c r="AE101">
        <v>469</v>
      </c>
      <c r="AF101">
        <v>26.111111111111111</v>
      </c>
      <c r="AG101">
        <v>26.44378960622824</v>
      </c>
      <c r="AH101">
        <v>17.652385075242218</v>
      </c>
      <c r="AI101">
        <f>0*0</f>
        <v>0</v>
      </c>
      <c r="AJ101">
        <f>4.1830309638661*0</f>
        <v>0</v>
      </c>
      <c r="AK101">
        <v>0</v>
      </c>
      <c r="AL101">
        <v>1</v>
      </c>
      <c r="AM101">
        <v>0</v>
      </c>
    </row>
    <row r="102" spans="1:39" hidden="1" x14ac:dyDescent="0.2">
      <c r="A102" t="s">
        <v>258</v>
      </c>
      <c r="B102" t="s">
        <v>259</v>
      </c>
      <c r="C102" t="s">
        <v>260</v>
      </c>
      <c r="D102" t="s">
        <v>5</v>
      </c>
      <c r="E102">
        <v>0</v>
      </c>
      <c r="F102">
        <v>0</v>
      </c>
      <c r="G102">
        <v>1</v>
      </c>
      <c r="H102">
        <v>0</v>
      </c>
      <c r="I102" t="s">
        <v>25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1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5.2</v>
      </c>
      <c r="AE102">
        <v>470</v>
      </c>
      <c r="AF102">
        <v>12.222222222222211</v>
      </c>
      <c r="AG102">
        <v>8.4755281211576143</v>
      </c>
      <c r="AH102">
        <v>10.995762849400119</v>
      </c>
      <c r="AI102">
        <f>5.25035545132606*1</f>
        <v>5.25035545132606</v>
      </c>
      <c r="AJ102">
        <f>1.04368385296449*1</f>
        <v>1.0436838529644901</v>
      </c>
      <c r="AK102">
        <v>1</v>
      </c>
      <c r="AL102">
        <v>0</v>
      </c>
      <c r="AM102">
        <v>0</v>
      </c>
    </row>
    <row r="103" spans="1:39" hidden="1" x14ac:dyDescent="0.2">
      <c r="A103" t="s">
        <v>261</v>
      </c>
      <c r="B103" t="s">
        <v>262</v>
      </c>
      <c r="C103" t="s">
        <v>261</v>
      </c>
      <c r="D103" t="s">
        <v>5</v>
      </c>
      <c r="E103">
        <v>0</v>
      </c>
      <c r="F103">
        <v>0</v>
      </c>
      <c r="G103">
        <v>1</v>
      </c>
      <c r="H103">
        <v>0</v>
      </c>
      <c r="I103" t="s">
        <v>26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1</v>
      </c>
      <c r="Z103">
        <v>0</v>
      </c>
      <c r="AA103">
        <v>0</v>
      </c>
      <c r="AB103">
        <v>0</v>
      </c>
      <c r="AC103">
        <v>0</v>
      </c>
      <c r="AD103">
        <v>4.8</v>
      </c>
      <c r="AE103">
        <v>500</v>
      </c>
      <c r="AF103">
        <v>11.902028364055409</v>
      </c>
      <c r="AG103">
        <v>17.416416713525251</v>
      </c>
      <c r="AH103">
        <v>10.633333333333329</v>
      </c>
      <c r="AI103">
        <f>17.1349123634922*1</f>
        <v>17.134912363492202</v>
      </c>
      <c r="AJ103">
        <f>2.71506520894215*1</f>
        <v>2.7150652089421499</v>
      </c>
      <c r="AK103">
        <v>1</v>
      </c>
      <c r="AL103">
        <v>0</v>
      </c>
      <c r="AM103">
        <v>0</v>
      </c>
    </row>
    <row r="104" spans="1:39" hidden="1" x14ac:dyDescent="0.2">
      <c r="A104" t="s">
        <v>254</v>
      </c>
      <c r="B104" t="s">
        <v>263</v>
      </c>
      <c r="C104" t="s">
        <v>263</v>
      </c>
      <c r="D104" t="s">
        <v>5</v>
      </c>
      <c r="E104">
        <v>0</v>
      </c>
      <c r="F104">
        <v>0</v>
      </c>
      <c r="G104">
        <v>1</v>
      </c>
      <c r="H104">
        <v>0</v>
      </c>
      <c r="I104" t="s">
        <v>26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1</v>
      </c>
      <c r="Z104">
        <v>0</v>
      </c>
      <c r="AA104">
        <v>0</v>
      </c>
      <c r="AB104">
        <v>0</v>
      </c>
      <c r="AC104">
        <v>0</v>
      </c>
      <c r="AD104">
        <v>5.3</v>
      </c>
      <c r="AE104">
        <v>503</v>
      </c>
      <c r="AF104">
        <v>14.286833586598011</v>
      </c>
      <c r="AG104">
        <v>12.78121378965858</v>
      </c>
      <c r="AH104">
        <v>6.4689357087886794</v>
      </c>
      <c r="AI104">
        <f>8.06929829280227*1</f>
        <v>8.0692982928022694</v>
      </c>
      <c r="AJ104">
        <f>1.72334579235185*1</f>
        <v>1.72334579235185</v>
      </c>
      <c r="AK104">
        <v>1</v>
      </c>
      <c r="AL104">
        <v>0</v>
      </c>
      <c r="AM104">
        <v>0</v>
      </c>
    </row>
    <row r="105" spans="1:39" hidden="1" x14ac:dyDescent="0.2">
      <c r="A105" t="s">
        <v>264</v>
      </c>
      <c r="B105" t="s">
        <v>265</v>
      </c>
      <c r="C105" t="s">
        <v>265</v>
      </c>
      <c r="D105" t="s">
        <v>5</v>
      </c>
      <c r="E105">
        <v>0</v>
      </c>
      <c r="F105">
        <v>0</v>
      </c>
      <c r="G105">
        <v>1</v>
      </c>
      <c r="H105">
        <v>0</v>
      </c>
      <c r="I105" t="s">
        <v>26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1</v>
      </c>
      <c r="Z105">
        <v>0</v>
      </c>
      <c r="AA105">
        <v>0</v>
      </c>
      <c r="AB105">
        <v>0</v>
      </c>
      <c r="AC105">
        <v>0</v>
      </c>
      <c r="AD105">
        <v>6.3</v>
      </c>
      <c r="AE105">
        <v>504</v>
      </c>
      <c r="AF105">
        <v>19.55258052474915</v>
      </c>
      <c r="AG105">
        <v>8.7852602671537205</v>
      </c>
      <c r="AH105">
        <v>10.25714285714286</v>
      </c>
      <c r="AI105">
        <f>7.20594488003104*1</f>
        <v>7.2059448800310397</v>
      </c>
      <c r="AJ105">
        <f>1.46288768218509*1</f>
        <v>1.46288768218509</v>
      </c>
      <c r="AK105">
        <v>1</v>
      </c>
      <c r="AL105">
        <v>0</v>
      </c>
      <c r="AM105">
        <v>0</v>
      </c>
    </row>
    <row r="106" spans="1:39" hidden="1" x14ac:dyDescent="0.2">
      <c r="A106" t="s">
        <v>266</v>
      </c>
      <c r="B106" t="s">
        <v>267</v>
      </c>
      <c r="C106" t="s">
        <v>267</v>
      </c>
      <c r="D106" t="s">
        <v>5</v>
      </c>
      <c r="E106">
        <v>0</v>
      </c>
      <c r="F106">
        <v>0</v>
      </c>
      <c r="G106">
        <v>1</v>
      </c>
      <c r="H106">
        <v>0</v>
      </c>
      <c r="I106" t="s">
        <v>26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1</v>
      </c>
      <c r="Z106">
        <v>0</v>
      </c>
      <c r="AA106">
        <v>0</v>
      </c>
      <c r="AB106">
        <v>0</v>
      </c>
      <c r="AC106">
        <v>0</v>
      </c>
      <c r="AD106">
        <v>5.4</v>
      </c>
      <c r="AE106">
        <v>505</v>
      </c>
      <c r="AF106">
        <v>14.605476495165931</v>
      </c>
      <c r="AG106">
        <v>10.604567126212959</v>
      </c>
      <c r="AH106">
        <v>20.88778703032423</v>
      </c>
      <c r="AI106">
        <f>16.4633023334366*1</f>
        <v>16.463302333436602</v>
      </c>
      <c r="AJ106">
        <f>3.25912724768024*1</f>
        <v>3.2591272476802402</v>
      </c>
      <c r="AK106">
        <v>1</v>
      </c>
      <c r="AL106">
        <v>1</v>
      </c>
      <c r="AM106">
        <v>0</v>
      </c>
    </row>
    <row r="107" spans="1:39" hidden="1" x14ac:dyDescent="0.2">
      <c r="A107" t="s">
        <v>268</v>
      </c>
      <c r="B107" t="s">
        <v>269</v>
      </c>
      <c r="C107" t="s">
        <v>268</v>
      </c>
      <c r="D107" t="s">
        <v>4</v>
      </c>
      <c r="E107">
        <v>0</v>
      </c>
      <c r="F107">
        <v>1</v>
      </c>
      <c r="G107">
        <v>0</v>
      </c>
      <c r="H107">
        <v>0</v>
      </c>
      <c r="I107" t="s">
        <v>26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1</v>
      </c>
      <c r="Z107">
        <v>0</v>
      </c>
      <c r="AA107">
        <v>0</v>
      </c>
      <c r="AB107">
        <v>0</v>
      </c>
      <c r="AC107">
        <v>0</v>
      </c>
      <c r="AD107">
        <v>4.5</v>
      </c>
      <c r="AE107">
        <v>507</v>
      </c>
      <c r="AF107">
        <v>10.131578947368419</v>
      </c>
      <c r="AG107">
        <v>8.7069010111369511</v>
      </c>
      <c r="AH107">
        <v>7.4172435897435891</v>
      </c>
      <c r="AI107">
        <f>12.9752312690504*1</f>
        <v>12.975231269050401</v>
      </c>
      <c r="AJ107">
        <f>2.77235635364194*1</f>
        <v>2.77235635364194</v>
      </c>
      <c r="AK107">
        <v>1</v>
      </c>
      <c r="AL107">
        <v>0</v>
      </c>
      <c r="AM107">
        <v>0</v>
      </c>
    </row>
    <row r="108" spans="1:39" x14ac:dyDescent="0.2">
      <c r="A108" t="s">
        <v>58</v>
      </c>
      <c r="B108" t="s">
        <v>59</v>
      </c>
      <c r="C108" t="s">
        <v>59</v>
      </c>
      <c r="D108" t="s">
        <v>4</v>
      </c>
      <c r="E108">
        <v>0</v>
      </c>
      <c r="F108">
        <v>1</v>
      </c>
      <c r="G108">
        <v>0</v>
      </c>
      <c r="H108">
        <v>0</v>
      </c>
      <c r="I108" t="s">
        <v>11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6</v>
      </c>
      <c r="AE108">
        <v>14</v>
      </c>
      <c r="AF108">
        <v>22.96832790059976</v>
      </c>
      <c r="AG108">
        <v>21.04193454386672</v>
      </c>
      <c r="AH108">
        <v>15.97535543943938</v>
      </c>
      <c r="AI108">
        <f>19.0802371463736*1</f>
        <v>19.080237146373602</v>
      </c>
      <c r="AJ108">
        <f>4.29204382938698*1</f>
        <v>4.29204382938698</v>
      </c>
      <c r="AK108">
        <v>1</v>
      </c>
      <c r="AL108">
        <v>0</v>
      </c>
      <c r="AM108">
        <v>1</v>
      </c>
    </row>
    <row r="109" spans="1:39" hidden="1" x14ac:dyDescent="0.2">
      <c r="A109" t="s">
        <v>271</v>
      </c>
      <c r="B109" t="s">
        <v>272</v>
      </c>
      <c r="C109" t="s">
        <v>272</v>
      </c>
      <c r="D109" t="s">
        <v>5</v>
      </c>
      <c r="E109">
        <v>0</v>
      </c>
      <c r="F109">
        <v>0</v>
      </c>
      <c r="G109">
        <v>1</v>
      </c>
      <c r="H109">
        <v>0</v>
      </c>
      <c r="I109" t="s">
        <v>28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1</v>
      </c>
      <c r="AB109">
        <v>0</v>
      </c>
      <c r="AC109">
        <v>0</v>
      </c>
      <c r="AD109">
        <v>6.4</v>
      </c>
      <c r="AE109">
        <v>576</v>
      </c>
      <c r="AF109">
        <v>17.69736842105263</v>
      </c>
      <c r="AG109">
        <v>13.64655009481022</v>
      </c>
      <c r="AH109">
        <v>29.642105263157891</v>
      </c>
      <c r="AI109">
        <f>21.0991994538053*1</f>
        <v>21.099199453805301</v>
      </c>
      <c r="AJ109">
        <f>4.19484293583179*1</f>
        <v>4.1948429358317902</v>
      </c>
      <c r="AK109">
        <v>1</v>
      </c>
      <c r="AL109">
        <v>0</v>
      </c>
      <c r="AM109">
        <v>0</v>
      </c>
    </row>
    <row r="110" spans="1:39" hidden="1" x14ac:dyDescent="0.2">
      <c r="A110" t="s">
        <v>273</v>
      </c>
      <c r="B110" t="s">
        <v>274</v>
      </c>
      <c r="C110" t="s">
        <v>274</v>
      </c>
      <c r="D110" t="s">
        <v>5</v>
      </c>
      <c r="E110">
        <v>0</v>
      </c>
      <c r="F110">
        <v>0</v>
      </c>
      <c r="G110">
        <v>1</v>
      </c>
      <c r="H110">
        <v>0</v>
      </c>
      <c r="I110" t="s">
        <v>28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1</v>
      </c>
      <c r="AB110">
        <v>0</v>
      </c>
      <c r="AC110">
        <v>0</v>
      </c>
      <c r="AD110">
        <v>6.2</v>
      </c>
      <c r="AE110">
        <v>577</v>
      </c>
      <c r="AF110">
        <v>19.345238095238091</v>
      </c>
      <c r="AG110">
        <v>20.18401101185826</v>
      </c>
      <c r="AH110">
        <v>14.96166666666667</v>
      </c>
      <c r="AI110">
        <f>20.9010905889857*1</f>
        <v>20.901090588985699</v>
      </c>
      <c r="AJ110">
        <f>3.73258051677647*1</f>
        <v>3.7325805167764701</v>
      </c>
      <c r="AK110">
        <v>1</v>
      </c>
      <c r="AL110">
        <v>0</v>
      </c>
      <c r="AM110">
        <v>0</v>
      </c>
    </row>
    <row r="111" spans="1:39" hidden="1" x14ac:dyDescent="0.2">
      <c r="A111" t="s">
        <v>275</v>
      </c>
      <c r="B111" t="s">
        <v>276</v>
      </c>
      <c r="C111" t="s">
        <v>276</v>
      </c>
      <c r="D111" t="s">
        <v>5</v>
      </c>
      <c r="E111">
        <v>0</v>
      </c>
      <c r="F111">
        <v>0</v>
      </c>
      <c r="G111">
        <v>1</v>
      </c>
      <c r="H111">
        <v>0</v>
      </c>
      <c r="I111" t="s">
        <v>28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1</v>
      </c>
      <c r="AB111">
        <v>0</v>
      </c>
      <c r="AC111">
        <v>0</v>
      </c>
      <c r="AD111">
        <v>7.5</v>
      </c>
      <c r="AE111">
        <v>579</v>
      </c>
      <c r="AF111">
        <v>21.67648547500767</v>
      </c>
      <c r="AG111">
        <v>21.813897704645051</v>
      </c>
      <c r="AH111">
        <v>19.855776275007049</v>
      </c>
      <c r="AI111">
        <f>19.8502027345999*1</f>
        <v>19.8502027345999</v>
      </c>
      <c r="AJ111">
        <f>3.20352968873332*1</f>
        <v>3.2035296887333198</v>
      </c>
      <c r="AK111">
        <v>1</v>
      </c>
      <c r="AL111">
        <v>0</v>
      </c>
      <c r="AM111">
        <v>0</v>
      </c>
    </row>
    <row r="112" spans="1:39" x14ac:dyDescent="0.2">
      <c r="A112" t="s">
        <v>277</v>
      </c>
      <c r="B112" t="s">
        <v>278</v>
      </c>
      <c r="C112" t="s">
        <v>279</v>
      </c>
      <c r="D112" t="s">
        <v>4</v>
      </c>
      <c r="E112">
        <v>0</v>
      </c>
      <c r="F112">
        <v>1</v>
      </c>
      <c r="G112">
        <v>0</v>
      </c>
      <c r="H112">
        <v>0</v>
      </c>
      <c r="I112" t="s">
        <v>28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1</v>
      </c>
      <c r="AB112">
        <v>0</v>
      </c>
      <c r="AC112">
        <v>0</v>
      </c>
      <c r="AD112">
        <v>5.5</v>
      </c>
      <c r="AE112">
        <v>580</v>
      </c>
      <c r="AF112">
        <v>19.444444444444439</v>
      </c>
      <c r="AG112">
        <v>17.123615563705151</v>
      </c>
      <c r="AH112">
        <v>8.3666666666666671</v>
      </c>
      <c r="AI112">
        <f>18.3471129360072*1</f>
        <v>18.3471129360072</v>
      </c>
      <c r="AJ112">
        <f>3.31643576515724*1</f>
        <v>3.31643576515724</v>
      </c>
      <c r="AK112">
        <v>1</v>
      </c>
      <c r="AL112">
        <v>1</v>
      </c>
      <c r="AM112">
        <v>1</v>
      </c>
    </row>
    <row r="113" spans="1:39" hidden="1" x14ac:dyDescent="0.2">
      <c r="A113" t="s">
        <v>280</v>
      </c>
      <c r="B113" t="s">
        <v>281</v>
      </c>
      <c r="C113" t="s">
        <v>280</v>
      </c>
      <c r="D113" t="s">
        <v>6</v>
      </c>
      <c r="E113">
        <v>0</v>
      </c>
      <c r="F113">
        <v>0</v>
      </c>
      <c r="G113">
        <v>0</v>
      </c>
      <c r="H113">
        <v>1</v>
      </c>
      <c r="I113" t="s">
        <v>28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1</v>
      </c>
      <c r="AB113">
        <v>0</v>
      </c>
      <c r="AC113">
        <v>0</v>
      </c>
      <c r="AD113">
        <v>6.8</v>
      </c>
      <c r="AE113">
        <v>582</v>
      </c>
      <c r="AF113">
        <v>19.368131868131851</v>
      </c>
      <c r="AG113">
        <v>17.726945774690321</v>
      </c>
      <c r="AH113">
        <v>9.2792558247616732</v>
      </c>
      <c r="AI113">
        <f>4.67534802498321*1</f>
        <v>4.6753480249832098</v>
      </c>
      <c r="AJ113">
        <f>0.986561601402107*1</f>
        <v>0.98656160140210702</v>
      </c>
      <c r="AK113">
        <v>1</v>
      </c>
      <c r="AL113">
        <v>0</v>
      </c>
      <c r="AM113">
        <v>0</v>
      </c>
    </row>
    <row r="114" spans="1:39" hidden="1" x14ac:dyDescent="0.2">
      <c r="A114" t="s">
        <v>282</v>
      </c>
      <c r="B114" t="s">
        <v>283</v>
      </c>
      <c r="C114" t="s">
        <v>283</v>
      </c>
      <c r="D114" t="s">
        <v>4</v>
      </c>
      <c r="E114">
        <v>0</v>
      </c>
      <c r="F114">
        <v>1</v>
      </c>
      <c r="G114">
        <v>0</v>
      </c>
      <c r="H114">
        <v>0</v>
      </c>
      <c r="I114" t="s">
        <v>28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1</v>
      </c>
      <c r="AB114">
        <v>0</v>
      </c>
      <c r="AC114">
        <v>0</v>
      </c>
      <c r="AD114">
        <v>5.0999999999999996</v>
      </c>
      <c r="AE114">
        <v>583</v>
      </c>
      <c r="AF114">
        <v>15.24096385542169</v>
      </c>
      <c r="AG114">
        <v>10.89657929544839</v>
      </c>
      <c r="AH114">
        <v>20.99601987202443</v>
      </c>
      <c r="AI114">
        <f>15.5325753488846*1</f>
        <v>15.532575348884601</v>
      </c>
      <c r="AJ114">
        <f>2.96912996132427*1</f>
        <v>2.9691299613242701</v>
      </c>
      <c r="AK114">
        <v>1</v>
      </c>
      <c r="AL114">
        <v>0</v>
      </c>
      <c r="AM114">
        <v>0</v>
      </c>
    </row>
    <row r="115" spans="1:39" hidden="1" x14ac:dyDescent="0.2">
      <c r="A115" t="s">
        <v>284</v>
      </c>
      <c r="B115" t="s">
        <v>285</v>
      </c>
      <c r="C115" t="s">
        <v>284</v>
      </c>
      <c r="D115" t="s">
        <v>5</v>
      </c>
      <c r="E115">
        <v>0</v>
      </c>
      <c r="F115">
        <v>0</v>
      </c>
      <c r="G115">
        <v>1</v>
      </c>
      <c r="H115">
        <v>0</v>
      </c>
      <c r="I115" t="s">
        <v>28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0</v>
      </c>
      <c r="AC115">
        <v>0</v>
      </c>
      <c r="AD115">
        <v>9.9</v>
      </c>
      <c r="AE115">
        <v>587</v>
      </c>
      <c r="AF115">
        <v>25.62584766029552</v>
      </c>
      <c r="AG115">
        <v>25.150818893302912</v>
      </c>
      <c r="AH115">
        <v>21.292307692307691</v>
      </c>
      <c r="AI115">
        <f>15.3641004334994*1</f>
        <v>15.3641004334994</v>
      </c>
      <c r="AJ115">
        <f>2.78393341546382*1</f>
        <v>2.78393341546382</v>
      </c>
      <c r="AK115">
        <v>1</v>
      </c>
      <c r="AL115">
        <v>0</v>
      </c>
      <c r="AM115">
        <v>0</v>
      </c>
    </row>
    <row r="116" spans="1:39" hidden="1" x14ac:dyDescent="0.2">
      <c r="A116" t="s">
        <v>286</v>
      </c>
      <c r="B116" t="s">
        <v>287</v>
      </c>
      <c r="C116" t="s">
        <v>287</v>
      </c>
      <c r="D116" t="s">
        <v>4</v>
      </c>
      <c r="E116">
        <v>0</v>
      </c>
      <c r="F116">
        <v>1</v>
      </c>
      <c r="G116">
        <v>0</v>
      </c>
      <c r="H116">
        <v>0</v>
      </c>
      <c r="I116" t="s">
        <v>28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1</v>
      </c>
      <c r="AB116">
        <v>0</v>
      </c>
      <c r="AC116">
        <v>0</v>
      </c>
      <c r="AD116">
        <v>5</v>
      </c>
      <c r="AE116">
        <v>589</v>
      </c>
      <c r="AF116">
        <v>13.52941176470588</v>
      </c>
      <c r="AG116">
        <v>9.0387963961069353</v>
      </c>
      <c r="AH116">
        <v>8.2561235278629859</v>
      </c>
      <c r="AI116">
        <f>6.13648191575625*1</f>
        <v>6.1364819157562502</v>
      </c>
      <c r="AJ116">
        <f>1.21544392832121*1</f>
        <v>1.21544392832121</v>
      </c>
      <c r="AK116">
        <v>1</v>
      </c>
      <c r="AL116">
        <v>0</v>
      </c>
      <c r="AM116">
        <v>0</v>
      </c>
    </row>
    <row r="117" spans="1:39" hidden="1" x14ac:dyDescent="0.2">
      <c r="A117" t="s">
        <v>288</v>
      </c>
      <c r="B117" t="s">
        <v>289</v>
      </c>
      <c r="C117" t="s">
        <v>290</v>
      </c>
      <c r="D117" t="s">
        <v>4</v>
      </c>
      <c r="E117">
        <v>0</v>
      </c>
      <c r="F117">
        <v>1</v>
      </c>
      <c r="G117">
        <v>0</v>
      </c>
      <c r="H117">
        <v>0</v>
      </c>
      <c r="I117" t="s">
        <v>28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0</v>
      </c>
      <c r="AD117">
        <v>4.5</v>
      </c>
      <c r="AE117">
        <v>590</v>
      </c>
      <c r="AF117">
        <v>15.5</v>
      </c>
      <c r="AG117">
        <v>11.024924500729821</v>
      </c>
      <c r="AH117">
        <v>33.163636363636357</v>
      </c>
      <c r="AI117">
        <f>17.7743475768391*1</f>
        <v>17.774347576839101</v>
      </c>
      <c r="AJ117">
        <f>3.18915011916802*1</f>
        <v>3.18915011916802</v>
      </c>
      <c r="AK117">
        <v>1</v>
      </c>
      <c r="AL117">
        <v>0</v>
      </c>
      <c r="AM117">
        <v>0</v>
      </c>
    </row>
    <row r="118" spans="1:39" hidden="1" x14ac:dyDescent="0.2">
      <c r="A118" t="s">
        <v>291</v>
      </c>
      <c r="B118" t="s">
        <v>292</v>
      </c>
      <c r="C118" t="s">
        <v>292</v>
      </c>
      <c r="D118" t="s">
        <v>3</v>
      </c>
      <c r="E118">
        <v>1</v>
      </c>
      <c r="F118">
        <v>0</v>
      </c>
      <c r="G118">
        <v>0</v>
      </c>
      <c r="H118">
        <v>0</v>
      </c>
      <c r="I118" t="s">
        <v>28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1</v>
      </c>
      <c r="AB118">
        <v>0</v>
      </c>
      <c r="AC118">
        <v>0</v>
      </c>
      <c r="AD118">
        <v>5</v>
      </c>
      <c r="AE118">
        <v>592</v>
      </c>
      <c r="AF118">
        <v>15.357142857142851</v>
      </c>
      <c r="AG118">
        <v>15.95284851855442</v>
      </c>
      <c r="AH118">
        <v>15.573971513807569</v>
      </c>
      <c r="AI118">
        <f>10.9791987724284*1</f>
        <v>10.979198772428401</v>
      </c>
      <c r="AJ118">
        <f>1.47525912141349*1</f>
        <v>1.47525912141349</v>
      </c>
      <c r="AK118">
        <v>1</v>
      </c>
      <c r="AL118">
        <v>0</v>
      </c>
      <c r="AM118">
        <v>0</v>
      </c>
    </row>
    <row r="119" spans="1:39" hidden="1" x14ac:dyDescent="0.2">
      <c r="A119" t="s">
        <v>184</v>
      </c>
      <c r="B119" t="s">
        <v>293</v>
      </c>
      <c r="C119" t="s">
        <v>293</v>
      </c>
      <c r="D119" t="s">
        <v>5</v>
      </c>
      <c r="E119">
        <v>0</v>
      </c>
      <c r="F119">
        <v>0</v>
      </c>
      <c r="G119">
        <v>1</v>
      </c>
      <c r="H119">
        <v>0</v>
      </c>
      <c r="I119" t="s">
        <v>28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1</v>
      </c>
      <c r="AB119">
        <v>0</v>
      </c>
      <c r="AC119">
        <v>0</v>
      </c>
      <c r="AD119">
        <v>5.4</v>
      </c>
      <c r="AE119">
        <v>597</v>
      </c>
      <c r="AF119">
        <v>13.75</v>
      </c>
      <c r="AG119">
        <v>15.72470423064796</v>
      </c>
      <c r="AH119">
        <v>9.0187559808612434</v>
      </c>
      <c r="AI119">
        <f>8.6141477744598*1</f>
        <v>8.6141477744598003</v>
      </c>
      <c r="AJ119">
        <f>1.58590313157024*1</f>
        <v>1.5859031315702401</v>
      </c>
      <c r="AK119">
        <v>1</v>
      </c>
      <c r="AL119">
        <v>0</v>
      </c>
      <c r="AM119">
        <v>0</v>
      </c>
    </row>
    <row r="120" spans="1:39" hidden="1" x14ac:dyDescent="0.2">
      <c r="A120" t="s">
        <v>294</v>
      </c>
      <c r="B120" t="s">
        <v>295</v>
      </c>
      <c r="C120" t="s">
        <v>295</v>
      </c>
      <c r="D120" t="s">
        <v>6</v>
      </c>
      <c r="E120">
        <v>0</v>
      </c>
      <c r="F120">
        <v>0</v>
      </c>
      <c r="G120">
        <v>0</v>
      </c>
      <c r="H120">
        <v>1</v>
      </c>
      <c r="I120" t="s">
        <v>29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1</v>
      </c>
      <c r="AC120">
        <v>0</v>
      </c>
      <c r="AD120">
        <v>5.4</v>
      </c>
      <c r="AE120">
        <v>600</v>
      </c>
      <c r="AF120">
        <v>13.25682900309668</v>
      </c>
      <c r="AG120">
        <v>17.558678997923231</v>
      </c>
      <c r="AH120">
        <v>11.15355605018271</v>
      </c>
      <c r="AI120">
        <f>5.94045644370179*1</f>
        <v>5.9404564437017902</v>
      </c>
      <c r="AJ120">
        <f>1.07306910580485*1</f>
        <v>1.07306910580485</v>
      </c>
      <c r="AK120">
        <v>1</v>
      </c>
      <c r="AL120">
        <v>0</v>
      </c>
      <c r="AM120">
        <v>0</v>
      </c>
    </row>
    <row r="121" spans="1:39" hidden="1" x14ac:dyDescent="0.2">
      <c r="A121" t="s">
        <v>296</v>
      </c>
      <c r="B121" t="s">
        <v>297</v>
      </c>
      <c r="C121" t="s">
        <v>297</v>
      </c>
      <c r="D121" t="s">
        <v>3</v>
      </c>
      <c r="E121">
        <v>1</v>
      </c>
      <c r="F121">
        <v>0</v>
      </c>
      <c r="G121">
        <v>0</v>
      </c>
      <c r="H121">
        <v>0</v>
      </c>
      <c r="I121" t="s">
        <v>29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1</v>
      </c>
      <c r="AC121">
        <v>0</v>
      </c>
      <c r="AD121">
        <v>4.5</v>
      </c>
      <c r="AE121">
        <v>601</v>
      </c>
      <c r="AF121">
        <v>17.837786798390759</v>
      </c>
      <c r="AG121">
        <v>15.190002270911171</v>
      </c>
      <c r="AH121">
        <v>9.0215379922222034</v>
      </c>
      <c r="AI121">
        <f>12.0098929831456*1</f>
        <v>12.009892983145599</v>
      </c>
      <c r="AJ121">
        <f>1.98508228501616*1</f>
        <v>1.98508228501616</v>
      </c>
      <c r="AK121">
        <v>1</v>
      </c>
      <c r="AL121">
        <v>0</v>
      </c>
      <c r="AM121">
        <v>0</v>
      </c>
    </row>
    <row r="122" spans="1:39" hidden="1" x14ac:dyDescent="0.2">
      <c r="A122" t="s">
        <v>298</v>
      </c>
      <c r="B122" t="s">
        <v>299</v>
      </c>
      <c r="C122" t="s">
        <v>299</v>
      </c>
      <c r="D122" t="s">
        <v>5</v>
      </c>
      <c r="E122">
        <v>0</v>
      </c>
      <c r="F122">
        <v>0</v>
      </c>
      <c r="G122">
        <v>1</v>
      </c>
      <c r="H122">
        <v>0</v>
      </c>
      <c r="I122" t="s">
        <v>29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1</v>
      </c>
      <c r="AC122">
        <v>0</v>
      </c>
      <c r="AD122">
        <v>7.4</v>
      </c>
      <c r="AE122">
        <v>602</v>
      </c>
      <c r="AF122">
        <v>22.878148443808289</v>
      </c>
      <c r="AG122">
        <v>23.860870638879589</v>
      </c>
      <c r="AH122">
        <v>10.72272343922109</v>
      </c>
      <c r="AI122">
        <f>20.6677130711258*1</f>
        <v>20.667713071125799</v>
      </c>
      <c r="AJ122">
        <f>4.22407940604854*1</f>
        <v>4.2240794060485403</v>
      </c>
      <c r="AK122">
        <v>1</v>
      </c>
      <c r="AL122">
        <v>0</v>
      </c>
      <c r="AM122">
        <v>0</v>
      </c>
    </row>
    <row r="123" spans="1:39" hidden="1" x14ac:dyDescent="0.2">
      <c r="A123" t="s">
        <v>300</v>
      </c>
      <c r="B123" t="s">
        <v>301</v>
      </c>
      <c r="C123" t="s">
        <v>301</v>
      </c>
      <c r="D123" t="s">
        <v>4</v>
      </c>
      <c r="E123">
        <v>0</v>
      </c>
      <c r="F123">
        <v>1</v>
      </c>
      <c r="G123">
        <v>0</v>
      </c>
      <c r="H123">
        <v>0</v>
      </c>
      <c r="I123" t="s">
        <v>29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1</v>
      </c>
      <c r="AC123">
        <v>0</v>
      </c>
      <c r="AD123">
        <v>4.4000000000000004</v>
      </c>
      <c r="AE123">
        <v>603</v>
      </c>
      <c r="AF123">
        <v>11.75</v>
      </c>
      <c r="AG123">
        <v>8.8610561436125312</v>
      </c>
      <c r="AH123">
        <v>9.3603464945555768</v>
      </c>
      <c r="AI123">
        <f>4.8624195415008*1</f>
        <v>4.8624195415007998</v>
      </c>
      <c r="AJ123">
        <f>0.948297076304962*1</f>
        <v>0.94829707630496196</v>
      </c>
      <c r="AK123">
        <v>1</v>
      </c>
      <c r="AL123">
        <v>0</v>
      </c>
      <c r="AM123">
        <v>0</v>
      </c>
    </row>
    <row r="124" spans="1:39" hidden="1" x14ac:dyDescent="0.2">
      <c r="A124" t="s">
        <v>302</v>
      </c>
      <c r="B124" t="s">
        <v>303</v>
      </c>
      <c r="C124" t="s">
        <v>303</v>
      </c>
      <c r="D124" t="s">
        <v>3</v>
      </c>
      <c r="E124">
        <v>1</v>
      </c>
      <c r="F124">
        <v>0</v>
      </c>
      <c r="G124">
        <v>0</v>
      </c>
      <c r="H124">
        <v>0</v>
      </c>
      <c r="I124" t="s">
        <v>29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1</v>
      </c>
      <c r="AC124">
        <v>0</v>
      </c>
      <c r="AD124">
        <v>4.4000000000000004</v>
      </c>
      <c r="AE124">
        <v>608</v>
      </c>
      <c r="AF124">
        <v>11.666666666666661</v>
      </c>
      <c r="AG124">
        <v>12.816963681036221</v>
      </c>
      <c r="AH124">
        <v>10.901814790642019</v>
      </c>
      <c r="AI124">
        <f>8.36951841393181*1</f>
        <v>8.3695184139318108</v>
      </c>
      <c r="AJ124">
        <f>1.43624903093112*1</f>
        <v>1.43624903093112</v>
      </c>
      <c r="AK124">
        <v>1</v>
      </c>
      <c r="AL124">
        <v>0</v>
      </c>
      <c r="AM124">
        <v>0</v>
      </c>
    </row>
    <row r="125" spans="1:39" hidden="1" x14ac:dyDescent="0.2">
      <c r="A125" t="s">
        <v>304</v>
      </c>
      <c r="B125" t="s">
        <v>305</v>
      </c>
      <c r="C125" t="s">
        <v>305</v>
      </c>
      <c r="D125" t="s">
        <v>4</v>
      </c>
      <c r="E125">
        <v>0</v>
      </c>
      <c r="F125">
        <v>1</v>
      </c>
      <c r="G125">
        <v>0</v>
      </c>
      <c r="H125">
        <v>0</v>
      </c>
      <c r="I125" t="s">
        <v>29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1</v>
      </c>
      <c r="AC125">
        <v>0</v>
      </c>
      <c r="AD125">
        <v>4.5</v>
      </c>
      <c r="AE125">
        <v>610</v>
      </c>
      <c r="AF125">
        <v>14.346153846153831</v>
      </c>
      <c r="AG125">
        <v>14.66639214703833</v>
      </c>
      <c r="AH125">
        <v>6.1909233802893864</v>
      </c>
      <c r="AI125">
        <f>8.32781108855905*1</f>
        <v>8.3278110885590504</v>
      </c>
      <c r="AJ125">
        <f>1.59407864614343*1</f>
        <v>1.59407864614343</v>
      </c>
      <c r="AK125">
        <v>1</v>
      </c>
      <c r="AL125">
        <v>0</v>
      </c>
      <c r="AM125">
        <v>0</v>
      </c>
    </row>
    <row r="126" spans="1:39" hidden="1" x14ac:dyDescent="0.2">
      <c r="A126" t="s">
        <v>306</v>
      </c>
      <c r="B126" t="s">
        <v>307</v>
      </c>
      <c r="C126" t="s">
        <v>307</v>
      </c>
      <c r="D126" t="s">
        <v>5</v>
      </c>
      <c r="E126">
        <v>0</v>
      </c>
      <c r="F126">
        <v>0</v>
      </c>
      <c r="G126">
        <v>1</v>
      </c>
      <c r="H126">
        <v>0</v>
      </c>
      <c r="I126" t="s">
        <v>29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1</v>
      </c>
      <c r="AC126">
        <v>0</v>
      </c>
      <c r="AD126">
        <v>6.3</v>
      </c>
      <c r="AE126">
        <v>611</v>
      </c>
      <c r="AF126">
        <v>17.20048308959483</v>
      </c>
      <c r="AG126">
        <v>26.95111465641029</v>
      </c>
      <c r="AH126">
        <v>15.50257317635953</v>
      </c>
      <c r="AI126">
        <f>16.9672313385946*1</f>
        <v>16.967231338594601</v>
      </c>
      <c r="AJ126">
        <f>3.18843076718262*1</f>
        <v>3.18843076718262</v>
      </c>
      <c r="AK126">
        <v>1</v>
      </c>
      <c r="AL126">
        <v>0</v>
      </c>
      <c r="AM126">
        <v>0</v>
      </c>
    </row>
    <row r="127" spans="1:39" hidden="1" x14ac:dyDescent="0.2">
      <c r="A127" t="s">
        <v>73</v>
      </c>
      <c r="B127" t="s">
        <v>308</v>
      </c>
      <c r="C127" t="s">
        <v>309</v>
      </c>
      <c r="D127" t="s">
        <v>5</v>
      </c>
      <c r="E127">
        <v>0</v>
      </c>
      <c r="F127">
        <v>0</v>
      </c>
      <c r="G127">
        <v>1</v>
      </c>
      <c r="H127">
        <v>0</v>
      </c>
      <c r="I127" t="s">
        <v>29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1</v>
      </c>
      <c r="AC127">
        <v>0</v>
      </c>
      <c r="AD127">
        <v>5.9</v>
      </c>
      <c r="AE127">
        <v>613</v>
      </c>
      <c r="AF127">
        <v>16.587301587301582</v>
      </c>
      <c r="AG127">
        <v>18.9277659103258</v>
      </c>
      <c r="AH127">
        <v>10.389687500000001</v>
      </c>
      <c r="AI127">
        <f>8.82997195471553*1</f>
        <v>8.8299719547155302</v>
      </c>
      <c r="AJ127">
        <f>1.76176829652939*1</f>
        <v>1.7617682965293899</v>
      </c>
      <c r="AK127">
        <v>1</v>
      </c>
      <c r="AL127">
        <v>0</v>
      </c>
      <c r="AM127">
        <v>0</v>
      </c>
    </row>
    <row r="128" spans="1:39" hidden="1" x14ac:dyDescent="0.2">
      <c r="A128" t="s">
        <v>310</v>
      </c>
      <c r="B128" t="s">
        <v>311</v>
      </c>
      <c r="C128" t="s">
        <v>311</v>
      </c>
      <c r="D128" t="s">
        <v>5</v>
      </c>
      <c r="E128">
        <v>0</v>
      </c>
      <c r="F128">
        <v>0</v>
      </c>
      <c r="G128">
        <v>1</v>
      </c>
      <c r="H128">
        <v>0</v>
      </c>
      <c r="I128" t="s">
        <v>29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1</v>
      </c>
      <c r="AC128">
        <v>0</v>
      </c>
      <c r="AD128">
        <v>5</v>
      </c>
      <c r="AE128">
        <v>616</v>
      </c>
      <c r="AF128">
        <v>16.395348837209308</v>
      </c>
      <c r="AG128">
        <v>9.0430840585206038</v>
      </c>
      <c r="AH128">
        <v>14.31052631578947</v>
      </c>
      <c r="AI128">
        <f>11.7825026949727*1</f>
        <v>11.782502694972701</v>
      </c>
      <c r="AJ128">
        <f>2.42405019094111*1</f>
        <v>2.4240501909411099</v>
      </c>
      <c r="AK128">
        <v>1</v>
      </c>
      <c r="AL128">
        <v>0</v>
      </c>
      <c r="AM128">
        <v>0</v>
      </c>
    </row>
    <row r="129" spans="1:39" hidden="1" x14ac:dyDescent="0.2">
      <c r="A129" t="s">
        <v>312</v>
      </c>
      <c r="B129" t="s">
        <v>313</v>
      </c>
      <c r="C129" t="s">
        <v>313</v>
      </c>
      <c r="D129" t="s">
        <v>4</v>
      </c>
      <c r="E129">
        <v>0</v>
      </c>
      <c r="F129">
        <v>1</v>
      </c>
      <c r="G129">
        <v>0</v>
      </c>
      <c r="H129">
        <v>0</v>
      </c>
      <c r="I129" t="s">
        <v>30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1</v>
      </c>
      <c r="AD129">
        <v>4.4000000000000004</v>
      </c>
      <c r="AE129">
        <v>626</v>
      </c>
      <c r="AF129">
        <v>11.649246350640469</v>
      </c>
      <c r="AG129">
        <v>9.65795628226698</v>
      </c>
      <c r="AH129">
        <v>8.6999999999999993</v>
      </c>
      <c r="AI129">
        <f>7.21323190446791*1</f>
        <v>7.2132319044679098</v>
      </c>
      <c r="AJ129">
        <f>0.784541132358781*1</f>
        <v>0.78454113235878098</v>
      </c>
      <c r="AK129">
        <v>1</v>
      </c>
      <c r="AL129">
        <v>0</v>
      </c>
      <c r="AM129">
        <v>0</v>
      </c>
    </row>
    <row r="130" spans="1:39" hidden="1" x14ac:dyDescent="0.2">
      <c r="A130" t="s">
        <v>314</v>
      </c>
      <c r="B130" t="s">
        <v>315</v>
      </c>
      <c r="C130" t="s">
        <v>315</v>
      </c>
      <c r="D130" t="s">
        <v>5</v>
      </c>
      <c r="E130">
        <v>0</v>
      </c>
      <c r="F130">
        <v>0</v>
      </c>
      <c r="G130">
        <v>1</v>
      </c>
      <c r="H130">
        <v>0</v>
      </c>
      <c r="I130" t="s">
        <v>30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1</v>
      </c>
      <c r="AD130">
        <v>5</v>
      </c>
      <c r="AE130">
        <v>628</v>
      </c>
      <c r="AF130">
        <v>10.892857142857141</v>
      </c>
      <c r="AG130">
        <v>8.3922788264022081</v>
      </c>
      <c r="AH130">
        <v>12.064326380690019</v>
      </c>
      <c r="AI130">
        <f>9.93026296508182*1</f>
        <v>9.9302629650818197</v>
      </c>
      <c r="AJ130">
        <f>1.94657588385494*1</f>
        <v>1.9465758838549401</v>
      </c>
      <c r="AK130">
        <v>1</v>
      </c>
      <c r="AL130">
        <v>0</v>
      </c>
      <c r="AM130">
        <v>0</v>
      </c>
    </row>
    <row r="131" spans="1:39" hidden="1" x14ac:dyDescent="0.2">
      <c r="A131" t="s">
        <v>316</v>
      </c>
      <c r="B131" t="s">
        <v>317</v>
      </c>
      <c r="C131" t="s">
        <v>318</v>
      </c>
      <c r="D131" t="s">
        <v>6</v>
      </c>
      <c r="E131">
        <v>0</v>
      </c>
      <c r="F131">
        <v>0</v>
      </c>
      <c r="G131">
        <v>0</v>
      </c>
      <c r="H131">
        <v>1</v>
      </c>
      <c r="I131" t="s">
        <v>30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1</v>
      </c>
      <c r="AD131">
        <v>6.5</v>
      </c>
      <c r="AE131">
        <v>634</v>
      </c>
      <c r="AF131">
        <v>18.319933872989221</v>
      </c>
      <c r="AG131">
        <v>18.428346816321099</v>
      </c>
      <c r="AH131">
        <v>16.443046965074831</v>
      </c>
      <c r="AI131">
        <f>16.5316009353565*1</f>
        <v>16.531600935356501</v>
      </c>
      <c r="AJ131">
        <f>2.28224682248851*1</f>
        <v>2.28224682248851</v>
      </c>
      <c r="AK131">
        <v>1</v>
      </c>
      <c r="AL131">
        <v>0</v>
      </c>
      <c r="AM131">
        <v>0</v>
      </c>
    </row>
    <row r="132" spans="1:39" hidden="1" x14ac:dyDescent="0.2">
      <c r="A132" t="s">
        <v>319</v>
      </c>
      <c r="B132" t="s">
        <v>320</v>
      </c>
      <c r="C132" t="s">
        <v>321</v>
      </c>
      <c r="D132" t="s">
        <v>3</v>
      </c>
      <c r="E132">
        <v>1</v>
      </c>
      <c r="F132">
        <v>0</v>
      </c>
      <c r="G132">
        <v>0</v>
      </c>
      <c r="H132">
        <v>0</v>
      </c>
      <c r="I132" t="s">
        <v>30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1</v>
      </c>
      <c r="AD132">
        <v>4.4000000000000004</v>
      </c>
      <c r="AE132">
        <v>647</v>
      </c>
      <c r="AF132">
        <v>16.804906304044248</v>
      </c>
      <c r="AG132">
        <v>18.17262388549787</v>
      </c>
      <c r="AH132">
        <v>9.4250000000000007</v>
      </c>
      <c r="AI132">
        <f>11.4538166744552*1</f>
        <v>11.453816674455201</v>
      </c>
      <c r="AJ132">
        <f>2.25609426643674*1</f>
        <v>2.2560942664367398</v>
      </c>
      <c r="AK132">
        <v>1</v>
      </c>
      <c r="AL132">
        <v>0</v>
      </c>
      <c r="AM132">
        <v>0</v>
      </c>
    </row>
    <row r="133" spans="1:39" hidden="1" x14ac:dyDescent="0.2">
      <c r="A133" t="s">
        <v>322</v>
      </c>
      <c r="B133" t="s">
        <v>323</v>
      </c>
      <c r="C133" t="s">
        <v>324</v>
      </c>
      <c r="D133" t="s">
        <v>5</v>
      </c>
      <c r="E133">
        <v>0</v>
      </c>
      <c r="F133">
        <v>0</v>
      </c>
      <c r="G133">
        <v>1</v>
      </c>
      <c r="H133">
        <v>0</v>
      </c>
      <c r="I133" t="s">
        <v>30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1</v>
      </c>
      <c r="AD133">
        <v>5</v>
      </c>
      <c r="AE133">
        <v>650</v>
      </c>
      <c r="AF133">
        <v>11.61904761904762</v>
      </c>
      <c r="AG133">
        <v>10.47731970392411</v>
      </c>
      <c r="AH133">
        <v>14.00826840964619</v>
      </c>
      <c r="AI133">
        <f>8.67457239721554*1</f>
        <v>8.67457239721554</v>
      </c>
      <c r="AJ133">
        <f>1.84342095777215*1</f>
        <v>1.8434209577721501</v>
      </c>
      <c r="AK133">
        <v>1</v>
      </c>
      <c r="AL133">
        <v>0</v>
      </c>
      <c r="AM133">
        <v>0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Gabe Corridore</cp:lastModifiedBy>
  <dcterms:created xsi:type="dcterms:W3CDTF">2024-10-04T15:05:39Z</dcterms:created>
  <dcterms:modified xsi:type="dcterms:W3CDTF">2024-10-04T15:13:47Z</dcterms:modified>
</cp:coreProperties>
</file>