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D65AE1BB-099A-FF4E-A28B-35BDF8E55E83}" xr6:coauthVersionLast="47" xr6:coauthVersionMax="47" xr10:uidLastSave="{00000000-0000-0000-0000-000000000000}"/>
  <bookViews>
    <workbookView xWindow="240" yWindow="500" windowWidth="27700" windowHeight="3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89" i="1" l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78" i="1"/>
  <c r="AH78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91" i="1"/>
  <c r="AH9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30" i="1"/>
  <c r="AH130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36" i="1"/>
  <c r="AH36" i="1"/>
  <c r="AI26" i="1"/>
  <c r="AH26" i="1"/>
  <c r="AI135" i="1"/>
  <c r="AH135" i="1"/>
  <c r="AI134" i="1"/>
  <c r="AH134" i="1"/>
  <c r="AI133" i="1"/>
  <c r="AH133" i="1"/>
  <c r="AI132" i="1"/>
  <c r="AH132" i="1"/>
  <c r="AI131" i="1"/>
  <c r="AH131" i="1"/>
  <c r="AI144" i="1"/>
  <c r="AH144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25" i="1"/>
  <c r="AH25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137" i="1"/>
  <c r="AH137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181" i="1"/>
  <c r="AH181" i="1"/>
  <c r="AI151" i="1"/>
  <c r="AH151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136" i="1"/>
  <c r="AH136" i="1"/>
  <c r="AI39" i="1"/>
  <c r="AH39" i="1"/>
  <c r="AO38" i="1"/>
  <c r="AI38" i="1"/>
  <c r="AH38" i="1"/>
  <c r="AO37" i="1"/>
  <c r="AI37" i="1"/>
  <c r="AH37" i="1"/>
  <c r="AO36" i="1"/>
  <c r="AI109" i="1"/>
  <c r="AH109" i="1"/>
  <c r="AO35" i="1"/>
  <c r="AI35" i="1"/>
  <c r="AH35" i="1"/>
  <c r="AO34" i="1"/>
  <c r="AI34" i="1"/>
  <c r="AH34" i="1"/>
  <c r="AO33" i="1"/>
  <c r="AI33" i="1"/>
  <c r="AH33" i="1"/>
  <c r="AO32" i="1"/>
  <c r="AI32" i="1"/>
  <c r="AH32" i="1"/>
  <c r="AO31" i="1"/>
  <c r="AI31" i="1"/>
  <c r="AH31" i="1"/>
  <c r="AO30" i="1"/>
  <c r="AI30" i="1"/>
  <c r="AH30" i="1"/>
  <c r="AO29" i="1"/>
  <c r="AI29" i="1"/>
  <c r="AH29" i="1"/>
  <c r="AO28" i="1"/>
  <c r="AI28" i="1"/>
  <c r="AH28" i="1"/>
  <c r="AO27" i="1"/>
  <c r="AI27" i="1"/>
  <c r="AH27" i="1"/>
  <c r="AO26" i="1"/>
  <c r="AI79" i="1"/>
  <c r="AH79" i="1"/>
  <c r="AO25" i="1"/>
  <c r="AI24" i="1"/>
  <c r="AH24" i="1"/>
  <c r="AO24" i="1"/>
  <c r="AI40" i="1"/>
  <c r="AH40" i="1"/>
  <c r="AO23" i="1"/>
  <c r="AI23" i="1"/>
  <c r="AH2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O12" i="1"/>
  <c r="AO15" i="1" s="1"/>
  <c r="AI12" i="1"/>
  <c r="AH12" i="1"/>
  <c r="AI11" i="1"/>
  <c r="AH11" i="1"/>
  <c r="AP10" i="1"/>
  <c r="AI10" i="1"/>
  <c r="AH10" i="1"/>
  <c r="AP9" i="1"/>
  <c r="AI9" i="1"/>
  <c r="AH9" i="1"/>
  <c r="AP8" i="1"/>
  <c r="AI8" i="1"/>
  <c r="AH8" i="1"/>
  <c r="AP7" i="1"/>
  <c r="AI7" i="1"/>
  <c r="AH7" i="1"/>
  <c r="AP6" i="1"/>
  <c r="AI6" i="1"/>
  <c r="AH6" i="1"/>
  <c r="AI5" i="1"/>
  <c r="AH5" i="1"/>
  <c r="AO4" i="1"/>
  <c r="AI4" i="1"/>
  <c r="AH4" i="1"/>
  <c r="AI3" i="1"/>
  <c r="AH3" i="1"/>
  <c r="AI2" i="1"/>
  <c r="AH2" i="1"/>
  <c r="AO2" i="1" s="1"/>
  <c r="AO17" i="1" l="1"/>
</calcChain>
</file>

<file path=xl/sharedStrings.xml><?xml version="1.0" encoding="utf-8"?>
<sst xmlns="http://schemas.openxmlformats.org/spreadsheetml/2006/main" count="1010" uniqueCount="444">
  <si>
    <t>Total Points</t>
  </si>
  <si>
    <t>MAX</t>
  </si>
  <si>
    <t>Total Cost</t>
  </si>
  <si>
    <t>GKP</t>
  </si>
  <si>
    <t>DEF</t>
  </si>
  <si>
    <t>MID</t>
  </si>
  <si>
    <t>FWD</t>
  </si>
  <si>
    <t>TOTAL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</si>
  <si>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</si>
  <si>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</si>
  <si>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</si>
  <si>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</si>
  <si>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</si>
  <si>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</si>
  <si>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</si>
  <si>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</si>
  <si>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</si>
  <si>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</si>
  <si>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</si>
  <si>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</si>
  <si>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</si>
  <si>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</si>
  <si>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</si>
  <si>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</si>
  <si>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</si>
  <si>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</si>
  <si>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</si>
  <si>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</si>
  <si>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</si>
  <si>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</si>
  <si>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</si>
  <si>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</si>
  <si>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</si>
  <si>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</si>
  <si>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</si>
  <si>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</si>
  <si>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</si>
  <si>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</si>
  <si>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</si>
  <si>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</si>
  <si>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</si>
  <si>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</si>
  <si>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</si>
  <si>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</si>
  <si>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</si>
  <si>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</si>
  <si>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</si>
  <si>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</si>
  <si>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</si>
  <si>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</si>
  <si>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</si>
  <si>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David</t>
  </si>
  <si>
    <t>Raya Martin</t>
  </si>
  <si>
    <t>Raya</t>
  </si>
  <si>
    <t>Declan</t>
  </si>
  <si>
    <t>Rice</t>
  </si>
  <si>
    <t>William</t>
  </si>
  <si>
    <t>Saliba</t>
  </si>
  <si>
    <t>Thomas</t>
  </si>
  <si>
    <t>Partey</t>
  </si>
  <si>
    <t>Leandro</t>
  </si>
  <si>
    <t>Trossard</t>
  </si>
  <si>
    <t>Leon</t>
  </si>
  <si>
    <t>Bailey</t>
  </si>
  <si>
    <t>Lucas</t>
  </si>
  <si>
    <t>Digne</t>
  </si>
  <si>
    <t>Jhon</t>
  </si>
  <si>
    <t>Durán</t>
  </si>
  <si>
    <t>Duran</t>
  </si>
  <si>
    <t>Ezri</t>
  </si>
  <si>
    <t>Konsa Ngoyo</t>
  </si>
  <si>
    <t>Konsa</t>
  </si>
  <si>
    <t>Ian</t>
  </si>
  <si>
    <t>Maatsen</t>
  </si>
  <si>
    <t>Emiliano</t>
  </si>
  <si>
    <t>Martínez Romero</t>
  </si>
  <si>
    <t>Martinez</t>
  </si>
  <si>
    <t>John</t>
  </si>
  <si>
    <t>McGinn</t>
  </si>
  <si>
    <t>Pau</t>
  </si>
  <si>
    <t>Torres</t>
  </si>
  <si>
    <t>Morgan</t>
  </si>
  <si>
    <t>Rogers</t>
  </si>
  <si>
    <t>Youri</t>
  </si>
  <si>
    <t>Tielemans</t>
  </si>
  <si>
    <t>Ollie</t>
  </si>
  <si>
    <t>Watkins</t>
  </si>
  <si>
    <t>Brooks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</si>
  <si>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</si>
  <si>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</si>
  <si>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</si>
  <si>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</si>
  <si>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</si>
  <si>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</si>
  <si>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</si>
  <si>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</si>
  <si>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</si>
  <si>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</si>
  <si>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</si>
  <si>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</si>
  <si>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</si>
  <si>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Marcus</t>
  </si>
  <si>
    <t>Tavernier</t>
  </si>
  <si>
    <t>Illia</t>
  </si>
  <si>
    <t>Zabarnyi</t>
  </si>
  <si>
    <t>Kepa</t>
  </si>
  <si>
    <t>Arrizabalaga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</si>
  <si>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</si>
  <si>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</si>
  <si>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</si>
  <si>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</si>
  <si>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</si>
  <si>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</si>
  <si>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</si>
  <si>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</si>
  <si>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</si>
  <si>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</si>
  <si>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</si>
  <si>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</si>
  <si>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Christian</t>
  </si>
  <si>
    <t>Nørgaard</t>
  </si>
  <si>
    <t>Mads</t>
  </si>
  <si>
    <t>Roerslev Rasmussen</t>
  </si>
  <si>
    <t>Roerslev</t>
  </si>
  <si>
    <t>Kevin</t>
  </si>
  <si>
    <t>Schade</t>
  </si>
  <si>
    <t>Yoane</t>
  </si>
  <si>
    <t>Wissa</t>
  </si>
  <si>
    <t>Fábio</t>
  </si>
  <si>
    <t>Freitas Gouveia Carvalho</t>
  </si>
  <si>
    <t>Carvalho</t>
  </si>
  <si>
    <t>Carlos</t>
  </si>
  <si>
    <t>Baleba</t>
  </si>
  <si>
    <t>Dunk</t>
  </si>
  <si>
    <t>Pervis</t>
  </si>
  <si>
    <t>Estupiñán</t>
  </si>
  <si>
    <t>Estupiñan</t>
  </si>
  <si>
    <t>João Pedro</t>
  </si>
  <si>
    <t>Junqueira de Jesus</t>
  </si>
  <si>
    <t>Jan Paul</t>
  </si>
  <si>
    <t>van Hecke</t>
  </si>
  <si>
    <t>Van Hecke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</si>
  <si>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</si>
  <si>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</si>
  <si>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</si>
  <si>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</si>
  <si>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</si>
  <si>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</si>
  <si>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</si>
  <si>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</si>
  <si>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</si>
  <si>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</si>
  <si>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</si>
  <si>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</si>
  <si>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</si>
  <si>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</si>
  <si>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</si>
  <si>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</si>
  <si>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</si>
  <si>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</si>
  <si>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Malo</t>
  </si>
  <si>
    <t>Gusto</t>
  </si>
  <si>
    <t>Noni</t>
  </si>
  <si>
    <t>Madueke</t>
  </si>
  <si>
    <t>Nicolas</t>
  </si>
  <si>
    <t>Jackson</t>
  </si>
  <si>
    <t>N.Jackson</t>
  </si>
  <si>
    <t>Christopher</t>
  </si>
  <si>
    <t>Nkunku</t>
  </si>
  <si>
    <t>Cole</t>
  </si>
  <si>
    <t>Palmer</t>
  </si>
  <si>
    <t>Robert</t>
  </si>
  <si>
    <t>Sánchez</t>
  </si>
  <si>
    <t>Jadon</t>
  </si>
  <si>
    <t>Sancho</t>
  </si>
  <si>
    <t>Pedro</t>
  </si>
  <si>
    <t>Lomba Neto</t>
  </si>
  <si>
    <t>Neto</t>
  </si>
  <si>
    <t>Eddie</t>
  </si>
  <si>
    <t>Nketiah</t>
  </si>
  <si>
    <t>Eberechi</t>
  </si>
  <si>
    <t>Eze</t>
  </si>
  <si>
    <t>Guéhi</t>
  </si>
  <si>
    <t>Dean</t>
  </si>
  <si>
    <t>Henderson</t>
  </si>
  <si>
    <t>Will</t>
  </si>
  <si>
    <t>Hughes</t>
  </si>
  <si>
    <t>Jefferson</t>
  </si>
  <si>
    <t>Lerma Solís</t>
  </si>
  <si>
    <t>Lerma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</si>
  <si>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</si>
  <si>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</si>
  <si>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</si>
  <si>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</si>
  <si>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</si>
  <si>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</si>
  <si>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</si>
  <si>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</si>
  <si>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</si>
  <si>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</si>
  <si>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</si>
  <si>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</si>
  <si>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Dominic</t>
  </si>
  <si>
    <t>Calvert-Lewin</t>
  </si>
  <si>
    <t>Idrissa</t>
  </si>
  <si>
    <t>Gueye</t>
  </si>
  <si>
    <t>Gana</t>
  </si>
  <si>
    <t>Jack</t>
  </si>
  <si>
    <t>Harrison</t>
  </si>
  <si>
    <t>Vitalii</t>
  </si>
  <si>
    <t>Mykolenko</t>
  </si>
  <si>
    <t>Jordan</t>
  </si>
  <si>
    <t>Pickford</t>
  </si>
  <si>
    <t>James</t>
  </si>
  <si>
    <t>Tarkowski</t>
  </si>
  <si>
    <t>Ashley</t>
  </si>
  <si>
    <t>Young</t>
  </si>
  <si>
    <t>Orel</t>
  </si>
  <si>
    <t>Mangala</t>
  </si>
  <si>
    <t>Emile</t>
  </si>
  <si>
    <t>Smith Rowe</t>
  </si>
  <si>
    <t>Adama</t>
  </si>
  <si>
    <t>Traoré</t>
  </si>
  <si>
    <t>Andreas</t>
  </si>
  <si>
    <t>Hoelgebaum Pereira</t>
  </si>
  <si>
    <t>Calvin</t>
  </si>
  <si>
    <t>Bassey</t>
  </si>
  <si>
    <t>Alex</t>
  </si>
  <si>
    <t>Iwobi</t>
  </si>
  <si>
    <t>Bernd</t>
  </si>
  <si>
    <t>Leno</t>
  </si>
  <si>
    <t>Saša</t>
  </si>
  <si>
    <t>Lukić</t>
  </si>
  <si>
    <t>Rodrigo</t>
  </si>
  <si>
    <t>Muniz Carvalho</t>
  </si>
  <si>
    <t>Muniz</t>
  </si>
  <si>
    <t>Raúl</t>
  </si>
  <si>
    <t>Jiménez</t>
  </si>
  <si>
    <t>Antonee</t>
  </si>
  <si>
    <t>Robinson</t>
  </si>
  <si>
    <t>Harry</t>
  </si>
  <si>
    <t>Wilson</t>
  </si>
  <si>
    <t>Sander</t>
  </si>
  <si>
    <t>Berge</t>
  </si>
  <si>
    <t>Arijanet</t>
  </si>
  <si>
    <t>Muric</t>
  </si>
  <si>
    <t>Dara</t>
  </si>
  <si>
    <t>O'Shea</t>
  </si>
  <si>
    <t>Facundo</t>
  </si>
  <si>
    <t>Buonanotte</t>
  </si>
  <si>
    <t>Ayew</t>
  </si>
  <si>
    <t>J.Ayew</t>
  </si>
  <si>
    <t>Boubakary</t>
  </si>
  <si>
    <t>Soumaré</t>
  </si>
  <si>
    <t>B.Soumaré</t>
  </si>
  <si>
    <t>Victor</t>
  </si>
  <si>
    <t>Kristiansen</t>
  </si>
  <si>
    <t>Jamie</t>
  </si>
  <si>
    <t>Vardy</t>
  </si>
  <si>
    <t>Winks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</si>
  <si>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</si>
  <si>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</si>
  <si>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</si>
  <si>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</si>
  <si>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</si>
  <si>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</si>
  <si>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</si>
  <si>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</si>
  <si>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</si>
  <si>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Ibrahima</t>
  </si>
  <si>
    <t>Konaté</t>
  </si>
  <si>
    <t>Luis</t>
  </si>
  <si>
    <t>Díaz</t>
  </si>
  <si>
    <t>Luis Díaz</t>
  </si>
  <si>
    <t>Mohamed</t>
  </si>
  <si>
    <t>Salah</t>
  </si>
  <si>
    <t>M.Salah</t>
  </si>
  <si>
    <t>Alexis</t>
  </si>
  <si>
    <t>Mac Allister</t>
  </si>
  <si>
    <t>Andrew</t>
  </si>
  <si>
    <t>Robertson</t>
  </si>
  <si>
    <t>Dominik</t>
  </si>
  <si>
    <t>Szoboszlai</t>
  </si>
  <si>
    <t>Virgil</t>
  </si>
  <si>
    <t>van Dijk</t>
  </si>
  <si>
    <t>Manuel</t>
  </si>
  <si>
    <t>Akanji</t>
  </si>
  <si>
    <t>Bernardo</t>
  </si>
  <si>
    <t>Veiga de Carvalho e Silva</t>
  </si>
  <si>
    <t>Phil</t>
  </si>
  <si>
    <t>Foden</t>
  </si>
  <si>
    <t>Joško</t>
  </si>
  <si>
    <t>Gvardiol</t>
  </si>
  <si>
    <t>Erling</t>
  </si>
  <si>
    <t>Haaland</t>
  </si>
  <si>
    <t>Mateo</t>
  </si>
  <si>
    <t>Kovačić</t>
  </si>
  <si>
    <t>Rico</t>
  </si>
  <si>
    <t>Ilkay</t>
  </si>
  <si>
    <t>Gündogan</t>
  </si>
  <si>
    <t>Amad</t>
  </si>
  <si>
    <t>Diallo</t>
  </si>
  <si>
    <t>Bruno</t>
  </si>
  <si>
    <t>Borges Fernandes</t>
  </si>
  <si>
    <t>B.Fernandes</t>
  </si>
  <si>
    <t>Diogo</t>
  </si>
  <si>
    <t>Dalot Teixeira</t>
  </si>
  <si>
    <t>Dalot</t>
  </si>
  <si>
    <t>Alejandro</t>
  </si>
  <si>
    <t>Garnacho</t>
  </si>
  <si>
    <t>Rasmus</t>
  </si>
  <si>
    <t>Højlund</t>
  </si>
  <si>
    <t>Maguire</t>
  </si>
  <si>
    <t>Kobbie</t>
  </si>
  <si>
    <t>Mainoo</t>
  </si>
  <si>
    <t>Lisandro</t>
  </si>
  <si>
    <t>Martínez</t>
  </si>
  <si>
    <t>André</t>
  </si>
  <si>
    <t>Onana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</si>
  <si>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</si>
  <si>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</si>
  <si>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</si>
  <si>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</si>
  <si>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</si>
  <si>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</si>
  <si>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</si>
  <si>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</si>
  <si>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</si>
  <si>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</si>
  <si>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</si>
  <si>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Jacob</t>
  </si>
  <si>
    <t>Murphy</t>
  </si>
  <si>
    <t>J.Murphy</t>
  </si>
  <si>
    <t>Joelinton Cássio</t>
  </si>
  <si>
    <t>Apolinário de Lira</t>
  </si>
  <si>
    <t>Joelinton</t>
  </si>
  <si>
    <t>Tino</t>
  </si>
  <si>
    <t>Livramento</t>
  </si>
  <si>
    <t>Sean</t>
  </si>
  <si>
    <t>Longstaff</t>
  </si>
  <si>
    <t>Fabian</t>
  </si>
  <si>
    <t>Schär</t>
  </si>
  <si>
    <t>Sandro</t>
  </si>
  <si>
    <t>Tonali</t>
  </si>
  <si>
    <t>Joe</t>
  </si>
  <si>
    <t>Willock</t>
  </si>
  <si>
    <t>Ola</t>
  </si>
  <si>
    <t>Aina</t>
  </si>
  <si>
    <t>Elliot</t>
  </si>
  <si>
    <t>Anderson</t>
  </si>
  <si>
    <t>Taiwo</t>
  </si>
  <si>
    <t>Awoniyi</t>
  </si>
  <si>
    <t>Nicolás</t>
  </si>
  <si>
    <t>Domínguez</t>
  </si>
  <si>
    <t>Dominguez</t>
  </si>
  <si>
    <t>Elanga</t>
  </si>
  <si>
    <t>Gibbs-White</t>
  </si>
  <si>
    <t>Callum</t>
  </si>
  <si>
    <t>Hudson-Odoi</t>
  </si>
  <si>
    <t>Murillo</t>
  </si>
  <si>
    <t>Santiago Costa dos Santos</t>
  </si>
  <si>
    <t>Neco</t>
  </si>
  <si>
    <t>Williams</t>
  </si>
  <si>
    <t>N.Williams</t>
  </si>
  <si>
    <t>Matz</t>
  </si>
  <si>
    <t>Sels</t>
  </si>
  <si>
    <t>Chris</t>
  </si>
  <si>
    <t>Wood</t>
  </si>
  <si>
    <t>Yates</t>
  </si>
  <si>
    <t>Cameron</t>
  </si>
  <si>
    <t>Archer</t>
  </si>
  <si>
    <t>Adam</t>
  </si>
  <si>
    <t>Armstrong</t>
  </si>
  <si>
    <t>Jan</t>
  </si>
  <si>
    <t>Bednarek</t>
  </si>
  <si>
    <t>Kyle</t>
  </si>
  <si>
    <t>Walker-Peters</t>
  </si>
  <si>
    <t>Flynn</t>
  </si>
  <si>
    <t>Downes</t>
  </si>
  <si>
    <t>Yves</t>
  </si>
  <si>
    <t>Bissouma</t>
  </si>
  <si>
    <t>Brennan</t>
  </si>
  <si>
    <t>Johnson</t>
  </si>
  <si>
    <t>Dejan</t>
  </si>
  <si>
    <t>Kulusevski</t>
  </si>
  <si>
    <t>Maddison</t>
  </si>
  <si>
    <t>Porro</t>
  </si>
  <si>
    <t>Pedro Porro</t>
  </si>
  <si>
    <t>Pape Matar</t>
  </si>
  <si>
    <t>P.M.Sarr</t>
  </si>
  <si>
    <t>Son</t>
  </si>
  <si>
    <t>Heung-min</t>
  </si>
  <si>
    <t>Destiny</t>
  </si>
  <si>
    <t>Udogie</t>
  </si>
  <si>
    <t>Aaron</t>
  </si>
  <si>
    <t>Wan-Bissaka</t>
  </si>
  <si>
    <t>Edson</t>
  </si>
  <si>
    <t>Álvarez Velázquez</t>
  </si>
  <si>
    <t>Álvarez</t>
  </si>
  <si>
    <t>Jarrod</t>
  </si>
  <si>
    <t>Bowen</t>
  </si>
  <si>
    <t>Emerson</t>
  </si>
  <si>
    <t>Palmieri dos Santos</t>
  </si>
  <si>
    <t>Max</t>
  </si>
  <si>
    <t>Kilman</t>
  </si>
  <si>
    <t>Mohammed</t>
  </si>
  <si>
    <t>Kudus</t>
  </si>
  <si>
    <t>Tolentino Coelho de Lima</t>
  </si>
  <si>
    <t>L.Paquetá</t>
  </si>
  <si>
    <t>Konstantinos</t>
  </si>
  <si>
    <t>Mavropanos</t>
  </si>
  <si>
    <t>Tomáš</t>
  </si>
  <si>
    <t>Souček</t>
  </si>
  <si>
    <t>Crysencio</t>
  </si>
  <si>
    <t>Summerville</t>
  </si>
  <si>
    <t>Rayan</t>
  </si>
  <si>
    <t>Aït-Nouri</t>
  </si>
  <si>
    <t>Jean-Ricner</t>
  </si>
  <si>
    <t>Bellegarde</t>
  </si>
  <si>
    <t>Matheus</t>
  </si>
  <si>
    <t>Santos Carneiro Da Cunha</t>
  </si>
  <si>
    <t>Cunha</t>
  </si>
  <si>
    <t>Matt</t>
  </si>
  <si>
    <t>Doherty</t>
  </si>
  <si>
    <t>Tommy</t>
  </si>
  <si>
    <t>Doyle</t>
  </si>
  <si>
    <t>Gonçalo Manuel</t>
  </si>
  <si>
    <t>Ganchinho Guedes</t>
  </si>
  <si>
    <t>Guedes</t>
  </si>
  <si>
    <t>João Victor</t>
  </si>
  <si>
    <t>Gomes da Silva</t>
  </si>
  <si>
    <t>J.Gomes</t>
  </si>
  <si>
    <t>José</t>
  </si>
  <si>
    <t>Malheiro de Sá</t>
  </si>
  <si>
    <t>José Sá</t>
  </si>
  <si>
    <t>Nélson</t>
  </si>
  <si>
    <t>Cabral Semedo</t>
  </si>
  <si>
    <t>N.Semedo</t>
  </si>
  <si>
    <t>Santiago</t>
  </si>
  <si>
    <t>Bueno</t>
  </si>
  <si>
    <t>S.Bueno</t>
  </si>
  <si>
    <t>Toti António</t>
  </si>
  <si>
    <t>Gomes</t>
  </si>
  <si>
    <t>Toti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</si>
</sst>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89" totalsRowShown="0">
  <autoFilter ref="A1:AL189" xr:uid="{00000000-0009-0000-0100-000001000000}">
    <filterColumn colId="37">
      <filters>
        <filter val="1"/>
      </filters>
    </filterColumn>
  </autoFilter>
  <sortState xmlns:xlrd2="http://schemas.microsoft.com/office/spreadsheetml/2017/richdata2" ref="A24:AL181">
    <sortCondition descending="1" ref="AI1:AI189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9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3" x14ac:dyDescent="0.2">
      <c r="A1" t="s">
        <v>32</v>
      </c>
      <c r="B1" t="s">
        <v>33</v>
      </c>
      <c r="C1" t="s">
        <v>34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10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6.3</v>
      </c>
      <c r="AE2">
        <v>2</v>
      </c>
      <c r="AF2">
        <v>52.907344989666903</v>
      </c>
      <c r="AG2">
        <v>52.481240777601961</v>
      </c>
      <c r="AH2">
        <f>38.4683235019632*1</f>
        <v>38.468323501963198</v>
      </c>
      <c r="AI2">
        <f>3.19742907806413*1</f>
        <v>3.1974290780641299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994.82566563058515</v>
      </c>
      <c r="AP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7.8</v>
      </c>
      <c r="AE3">
        <v>3</v>
      </c>
      <c r="AF3">
        <v>66.932882003732416</v>
      </c>
      <c r="AG3">
        <v>39.738750627375843</v>
      </c>
      <c r="AH3">
        <f>62.4691374065444*1</f>
        <v>62.469137406544398</v>
      </c>
      <c r="AI3">
        <f>4.91760554889579*1</f>
        <v>4.9176055488957902</v>
      </c>
      <c r="AJ3">
        <v>1</v>
      </c>
      <c r="AK3">
        <v>0</v>
      </c>
      <c r="AL3">
        <v>0</v>
      </c>
    </row>
    <row r="4" spans="1:43" hidden="1" x14ac:dyDescent="0.2">
      <c r="A4" t="s">
        <v>45</v>
      </c>
      <c r="B4" t="s">
        <v>49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6.6</v>
      </c>
      <c r="AE4">
        <v>8</v>
      </c>
      <c r="AF4">
        <v>56.47777777777776</v>
      </c>
      <c r="AG4">
        <v>71.279821454519748</v>
      </c>
      <c r="AH4">
        <f>23.9574364182672*1</f>
        <v>23.9574364182672</v>
      </c>
      <c r="AI4">
        <f>1.59987903718918*1</f>
        <v>1.59987903718918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95.499999999999986</v>
      </c>
      <c r="AP4">
        <v>102.1</v>
      </c>
    </row>
    <row r="5" spans="1:43" hidden="1" x14ac:dyDescent="0.2">
      <c r="A5" t="s">
        <v>51</v>
      </c>
      <c r="B5" t="s">
        <v>52</v>
      </c>
      <c r="C5" t="s">
        <v>53</v>
      </c>
      <c r="D5" t="s">
        <v>3</v>
      </c>
      <c r="E5">
        <v>1</v>
      </c>
      <c r="F5">
        <v>0</v>
      </c>
      <c r="G5">
        <v>0</v>
      </c>
      <c r="H5">
        <v>0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5.5</v>
      </c>
      <c r="AE5">
        <v>11</v>
      </c>
      <c r="AF5">
        <v>52.982060509583903</v>
      </c>
      <c r="AG5">
        <v>56.258137978302507</v>
      </c>
      <c r="AH5">
        <f>34.3387854748596*1</f>
        <v>34.338785474859598</v>
      </c>
      <c r="AI5">
        <f>2.44039072661587*1</f>
        <v>2.44039072661587</v>
      </c>
      <c r="AJ5">
        <v>1</v>
      </c>
      <c r="AK5">
        <v>0</v>
      </c>
      <c r="AL5">
        <v>0</v>
      </c>
    </row>
    <row r="6" spans="1:43" hidden="1" x14ac:dyDescent="0.2">
      <c r="A6" t="s">
        <v>54</v>
      </c>
      <c r="B6" t="s">
        <v>55</v>
      </c>
      <c r="C6" t="s">
        <v>55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6.2</v>
      </c>
      <c r="AE6">
        <v>12</v>
      </c>
      <c r="AF6">
        <v>47.097367520318443</v>
      </c>
      <c r="AG6">
        <v>38.129556098528226</v>
      </c>
      <c r="AH6">
        <f>26.0982766592007*1</f>
        <v>26.0982766592007</v>
      </c>
      <c r="AI6">
        <f>1.98176312995493*1</f>
        <v>1.9817631299549301</v>
      </c>
      <c r="AJ6">
        <v>1</v>
      </c>
      <c r="AK6">
        <v>0</v>
      </c>
      <c r="AL6">
        <v>0</v>
      </c>
      <c r="AN6" t="s">
        <v>3</v>
      </c>
      <c r="AO6">
        <v>2</v>
      </c>
      <c r="AP6">
        <f>SUMPRODUCT(Table1[Selected],Table1[GKP])</f>
        <v>2</v>
      </c>
      <c r="AQ6">
        <v>2</v>
      </c>
    </row>
    <row r="7" spans="1:43" hidden="1" x14ac:dyDescent="0.2">
      <c r="A7" t="s">
        <v>56</v>
      </c>
      <c r="B7" t="s">
        <v>57</v>
      </c>
      <c r="C7" t="s">
        <v>57</v>
      </c>
      <c r="D7" t="s">
        <v>4</v>
      </c>
      <c r="E7">
        <v>0</v>
      </c>
      <c r="F7">
        <v>1</v>
      </c>
      <c r="G7">
        <v>0</v>
      </c>
      <c r="H7">
        <v>0</v>
      </c>
      <c r="I7" t="s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6.2</v>
      </c>
      <c r="AE7">
        <v>14</v>
      </c>
      <c r="AF7">
        <v>54.752941176470571</v>
      </c>
      <c r="AG7">
        <v>40.835209244296188</v>
      </c>
      <c r="AH7">
        <f>36.2712852368436*1</f>
        <v>36.271285236843603</v>
      </c>
      <c r="AI7">
        <f>2.6472088629816*1</f>
        <v>2.6472088629816</v>
      </c>
      <c r="AJ7">
        <v>1</v>
      </c>
      <c r="AK7">
        <v>0</v>
      </c>
      <c r="AL7">
        <v>0</v>
      </c>
      <c r="AN7" t="s">
        <v>4</v>
      </c>
      <c r="AO7">
        <v>5</v>
      </c>
      <c r="AP7">
        <f>SUMPRODUCT(Table1[Selected],Table1[DEF])</f>
        <v>5</v>
      </c>
      <c r="AQ7">
        <v>5</v>
      </c>
    </row>
    <row r="8" spans="1:43" hidden="1" x14ac:dyDescent="0.2">
      <c r="A8" t="s">
        <v>58</v>
      </c>
      <c r="B8" t="s">
        <v>59</v>
      </c>
      <c r="C8" t="s">
        <v>58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4.9000000000000004</v>
      </c>
      <c r="AE8">
        <v>15</v>
      </c>
      <c r="AF8">
        <v>32.500000000000007</v>
      </c>
      <c r="AG8">
        <v>25.650807386265619</v>
      </c>
      <c r="AH8">
        <f>30.2753504068472*1</f>
        <v>30.275350406847199</v>
      </c>
      <c r="AI8">
        <f>2.25063508879529*1</f>
        <v>2.2506350887952902</v>
      </c>
      <c r="AJ8">
        <v>1</v>
      </c>
      <c r="AK8">
        <v>0</v>
      </c>
      <c r="AL8">
        <v>0</v>
      </c>
      <c r="AN8" t="s">
        <v>5</v>
      </c>
      <c r="AO8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61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6.9</v>
      </c>
      <c r="AE9">
        <v>18</v>
      </c>
      <c r="AF9">
        <v>50.426315789473698</v>
      </c>
      <c r="AG9">
        <v>51.275280512029248</v>
      </c>
      <c r="AH9">
        <f>28.747008948051*1</f>
        <v>28.747008948051</v>
      </c>
      <c r="AI9">
        <f>2.35547313391672*1</f>
        <v>2.3554731339167199</v>
      </c>
      <c r="AJ9">
        <v>1</v>
      </c>
      <c r="AK9">
        <v>0</v>
      </c>
      <c r="AL9">
        <v>0</v>
      </c>
      <c r="AN9" t="s">
        <v>6</v>
      </c>
      <c r="AO9">
        <v>3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6.2</v>
      </c>
      <c r="AE10">
        <v>34</v>
      </c>
      <c r="AF10">
        <v>37.485714285714273</v>
      </c>
      <c r="AG10">
        <v>37.392032745273248</v>
      </c>
      <c r="AH10">
        <f>23.4736961951927*1</f>
        <v>23.473696195192701</v>
      </c>
      <c r="AI10">
        <f>1.94131235743154*1</f>
        <v>1.9413123574315401</v>
      </c>
      <c r="AJ10">
        <v>1</v>
      </c>
      <c r="AK10">
        <v>0</v>
      </c>
      <c r="AL10">
        <v>0</v>
      </c>
      <c r="AN10" t="s">
        <v>7</v>
      </c>
      <c r="AO10">
        <v>15</v>
      </c>
      <c r="AP10">
        <f>SUM(SUMPRODUCT(Table1[Selected],Table1[GKP]), SUMPRODUCT(Table1[Selected],Table1[DEF]), SUMPRODUCT(Table1[Selected],Table1[MID]), SUMPRODUCT(Table1[Selected],Table1[FWD]))</f>
        <v>15</v>
      </c>
      <c r="AQ10">
        <v>15</v>
      </c>
    </row>
    <row r="11" spans="1:43" hidden="1" x14ac:dyDescent="0.2">
      <c r="A11" t="s">
        <v>64</v>
      </c>
      <c r="B11" t="s">
        <v>65</v>
      </c>
      <c r="C11" t="s">
        <v>65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4.5999999999999996</v>
      </c>
      <c r="AE11">
        <v>42</v>
      </c>
      <c r="AF11">
        <v>30.07696109440267</v>
      </c>
      <c r="AG11">
        <v>39.333580998802539</v>
      </c>
      <c r="AH11">
        <f>18.7739100241159*1</f>
        <v>18.773910024115899</v>
      </c>
      <c r="AI11">
        <f>1.54873401545845*1</f>
        <v>1.5487340154584499</v>
      </c>
      <c r="AJ11">
        <v>1</v>
      </c>
      <c r="AK11">
        <v>0</v>
      </c>
      <c r="AL11">
        <v>0</v>
      </c>
    </row>
    <row r="12" spans="1:43" hidden="1" x14ac:dyDescent="0.2">
      <c r="A12" t="s">
        <v>66</v>
      </c>
      <c r="B12" t="s">
        <v>67</v>
      </c>
      <c r="C12" t="s">
        <v>68</v>
      </c>
      <c r="D12" t="s">
        <v>6</v>
      </c>
      <c r="E12">
        <v>0</v>
      </c>
      <c r="F12">
        <v>0</v>
      </c>
      <c r="G12">
        <v>0</v>
      </c>
      <c r="H12">
        <v>1</v>
      </c>
      <c r="I12" t="s">
        <v>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5.7</v>
      </c>
      <c r="AE12">
        <v>44</v>
      </c>
      <c r="AF12">
        <v>24.872727272727278</v>
      </c>
      <c r="AG12">
        <v>23.672127368712289</v>
      </c>
      <c r="AH12">
        <f>32.3578956638186*1</f>
        <v>32.357895663818603</v>
      </c>
      <c r="AI12">
        <f>2.70582598673163*1</f>
        <v>2.7058259867316301</v>
      </c>
      <c r="AJ12">
        <v>1</v>
      </c>
      <c r="AK12">
        <v>0</v>
      </c>
      <c r="AL12">
        <v>0</v>
      </c>
      <c r="AN12" t="s">
        <v>8</v>
      </c>
      <c r="AO12">
        <f>SUMPRODUCT(Table1[Selected], -- (Table1[PREV] = 0))</f>
        <v>1</v>
      </c>
    </row>
    <row r="13" spans="1:43" hidden="1" x14ac:dyDescent="0.2">
      <c r="A13" t="s">
        <v>69</v>
      </c>
      <c r="B13" t="s">
        <v>70</v>
      </c>
      <c r="C13" t="s">
        <v>71</v>
      </c>
      <c r="D13" t="s">
        <v>4</v>
      </c>
      <c r="E13">
        <v>0</v>
      </c>
      <c r="F13">
        <v>1</v>
      </c>
      <c r="G13">
        <v>0</v>
      </c>
      <c r="H13">
        <v>0</v>
      </c>
      <c r="I13" t="s">
        <v>13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4.4000000000000004</v>
      </c>
      <c r="AE13">
        <v>50</v>
      </c>
      <c r="AF13">
        <v>32.849162011173227</v>
      </c>
      <c r="AG13">
        <v>33.866855477698707</v>
      </c>
      <c r="AH13">
        <f>16.9560042994102*1</f>
        <v>16.9560042994102</v>
      </c>
      <c r="AI13">
        <f>1.43411189954287*1</f>
        <v>1.4341118995428701</v>
      </c>
      <c r="AJ13">
        <v>1</v>
      </c>
      <c r="AK13">
        <v>0</v>
      </c>
      <c r="AL13">
        <v>0</v>
      </c>
      <c r="AN13" t="s">
        <v>9</v>
      </c>
      <c r="AO13">
        <v>1</v>
      </c>
    </row>
    <row r="14" spans="1:43" hidden="1" x14ac:dyDescent="0.2">
      <c r="A14" t="s">
        <v>72</v>
      </c>
      <c r="B14" t="s">
        <v>73</v>
      </c>
      <c r="C14" t="s">
        <v>73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</v>
      </c>
      <c r="AE14">
        <v>51</v>
      </c>
      <c r="AF14">
        <v>0</v>
      </c>
      <c r="AG14">
        <v>0</v>
      </c>
      <c r="AH14">
        <f>0*1</f>
        <v>0</v>
      </c>
      <c r="AI14">
        <f>0*1</f>
        <v>0</v>
      </c>
      <c r="AJ14">
        <v>1</v>
      </c>
      <c r="AK14">
        <v>0</v>
      </c>
      <c r="AL14">
        <v>0</v>
      </c>
    </row>
    <row r="15" spans="1:43" hidden="1" x14ac:dyDescent="0.2">
      <c r="A15" t="s">
        <v>74</v>
      </c>
      <c r="B15" t="s">
        <v>75</v>
      </c>
      <c r="C15" t="s">
        <v>76</v>
      </c>
      <c r="D15" t="s">
        <v>3</v>
      </c>
      <c r="E15">
        <v>1</v>
      </c>
      <c r="F15">
        <v>0</v>
      </c>
      <c r="G15">
        <v>0</v>
      </c>
      <c r="H15">
        <v>0</v>
      </c>
      <c r="I15" t="s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53</v>
      </c>
      <c r="AF15">
        <v>38.936170212765937</v>
      </c>
      <c r="AG15">
        <v>39.901789520202492</v>
      </c>
      <c r="AH15">
        <f>19.5072413857537*1</f>
        <v>19.507241385753701</v>
      </c>
      <c r="AI15">
        <f>1.67215112183209*1</f>
        <v>1.6721511218320899</v>
      </c>
      <c r="AJ15">
        <v>1</v>
      </c>
      <c r="AK15">
        <v>0</v>
      </c>
      <c r="AL15">
        <v>0</v>
      </c>
      <c r="AN15" t="s">
        <v>10</v>
      </c>
      <c r="AO15">
        <f>((AO12-AO13)+ABS((AO12-AO13)))/2*4</f>
        <v>0</v>
      </c>
    </row>
    <row r="16" spans="1:43" hidden="1" x14ac:dyDescent="0.2">
      <c r="A16" t="s">
        <v>77</v>
      </c>
      <c r="B16" t="s">
        <v>78</v>
      </c>
      <c r="C16" t="s">
        <v>78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5.2</v>
      </c>
      <c r="AE16">
        <v>54</v>
      </c>
      <c r="AF16">
        <v>35.213114754098378</v>
      </c>
      <c r="AG16">
        <v>36.92032351562149</v>
      </c>
      <c r="AH16">
        <f>16.9047305148236*1</f>
        <v>16.904730514823601</v>
      </c>
      <c r="AI16">
        <f>1.40586010436024*1</f>
        <v>1.4058601043602399</v>
      </c>
      <c r="AJ16">
        <v>1</v>
      </c>
      <c r="AK16">
        <v>0</v>
      </c>
      <c r="AL16">
        <v>0</v>
      </c>
    </row>
    <row r="17" spans="1:42" hidden="1" x14ac:dyDescent="0.2">
      <c r="A17" t="s">
        <v>79</v>
      </c>
      <c r="B17" t="s">
        <v>80</v>
      </c>
      <c r="C17" t="s">
        <v>79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4.2</v>
      </c>
      <c r="AE17">
        <v>58</v>
      </c>
      <c r="AF17">
        <v>0</v>
      </c>
      <c r="AG17">
        <v>0</v>
      </c>
      <c r="AH17">
        <f>0*1</f>
        <v>0</v>
      </c>
      <c r="AI17">
        <f>0*1</f>
        <v>0</v>
      </c>
      <c r="AJ17">
        <v>1</v>
      </c>
      <c r="AK17">
        <v>0</v>
      </c>
      <c r="AL17">
        <v>0</v>
      </c>
      <c r="AN17" t="s">
        <v>11</v>
      </c>
      <c r="AO17">
        <f>AO2-AO15*13</f>
        <v>994.82566563058515</v>
      </c>
    </row>
    <row r="18" spans="1:42" hidden="1" x14ac:dyDescent="0.2">
      <c r="A18" t="s">
        <v>81</v>
      </c>
      <c r="B18" t="s">
        <v>82</v>
      </c>
      <c r="C18" t="s">
        <v>82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5.7</v>
      </c>
      <c r="AE18">
        <v>60</v>
      </c>
      <c r="AF18">
        <v>0</v>
      </c>
      <c r="AG18">
        <v>0</v>
      </c>
      <c r="AH18">
        <f>0*1</f>
        <v>0</v>
      </c>
      <c r="AI18">
        <f>0*1</f>
        <v>0</v>
      </c>
      <c r="AJ18">
        <v>1</v>
      </c>
      <c r="AK18">
        <v>0</v>
      </c>
      <c r="AL18">
        <v>0</v>
      </c>
    </row>
    <row r="19" spans="1:42" hidden="1" x14ac:dyDescent="0.2">
      <c r="A19" t="s">
        <v>83</v>
      </c>
      <c r="B19" t="s">
        <v>84</v>
      </c>
      <c r="C19" t="s">
        <v>84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5.5</v>
      </c>
      <c r="AE19">
        <v>63</v>
      </c>
      <c r="AF19">
        <v>38.246305418719253</v>
      </c>
      <c r="AG19">
        <v>45.007593797031731</v>
      </c>
      <c r="AH19">
        <f>23.2281273022824*1</f>
        <v>23.228127302282399</v>
      </c>
      <c r="AI19">
        <f>1.97571777430533*1</f>
        <v>1.97571777430533</v>
      </c>
      <c r="AJ19">
        <v>1</v>
      </c>
      <c r="AK19">
        <v>0</v>
      </c>
      <c r="AL19">
        <v>0</v>
      </c>
      <c r="AN19" t="s">
        <v>12</v>
      </c>
      <c r="AO19">
        <f>SUMPRODUCT(Table1[Selected],Table1[ARS])</f>
        <v>0</v>
      </c>
      <c r="AP19">
        <v>3</v>
      </c>
    </row>
    <row r="20" spans="1:42" hidden="1" x14ac:dyDescent="0.2">
      <c r="A20" t="s">
        <v>85</v>
      </c>
      <c r="B20" t="s">
        <v>86</v>
      </c>
      <c r="C20" t="s">
        <v>86</v>
      </c>
      <c r="D20" t="s">
        <v>6</v>
      </c>
      <c r="E20">
        <v>0</v>
      </c>
      <c r="F20">
        <v>0</v>
      </c>
      <c r="G20">
        <v>0</v>
      </c>
      <c r="H20">
        <v>1</v>
      </c>
      <c r="I20" t="s">
        <v>13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8.9</v>
      </c>
      <c r="AE20">
        <v>64</v>
      </c>
      <c r="AF20">
        <v>57.599999999999987</v>
      </c>
      <c r="AG20">
        <v>56.909947097394152</v>
      </c>
      <c r="AH20">
        <f>40.3235405189385*1</f>
        <v>40.323540518938501</v>
      </c>
      <c r="AI20">
        <f>3.32406225887116*1</f>
        <v>3.3240622588711601</v>
      </c>
      <c r="AJ20">
        <v>1</v>
      </c>
      <c r="AK20">
        <v>0</v>
      </c>
      <c r="AL20">
        <v>0</v>
      </c>
      <c r="AN20" t="s">
        <v>13</v>
      </c>
      <c r="AO20">
        <f>SUMPRODUCT(Table1[Selected],Table1[AVL])</f>
        <v>0</v>
      </c>
      <c r="AP20">
        <v>3</v>
      </c>
    </row>
    <row r="21" spans="1:42" hidden="1" x14ac:dyDescent="0.2">
      <c r="A21" t="s">
        <v>51</v>
      </c>
      <c r="B21" t="s">
        <v>87</v>
      </c>
      <c r="C21" t="s">
        <v>87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14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4.9000000000000004</v>
      </c>
      <c r="AE21">
        <v>81</v>
      </c>
      <c r="AF21">
        <v>31.738097867351019</v>
      </c>
      <c r="AG21">
        <v>39.906415256717807</v>
      </c>
      <c r="AH21">
        <f>10.5026429438251*1</f>
        <v>10.5026429438251</v>
      </c>
      <c r="AI21">
        <f>0.718483537973625*1</f>
        <v>0.71848353797362496</v>
      </c>
      <c r="AJ21">
        <v>1</v>
      </c>
      <c r="AK21">
        <v>0</v>
      </c>
      <c r="AL21">
        <v>0</v>
      </c>
      <c r="AN21" t="s">
        <v>14</v>
      </c>
      <c r="AO21">
        <f>SUMPRODUCT(Table1[Selected],Table1[BOU])</f>
        <v>3</v>
      </c>
      <c r="AP21">
        <v>3</v>
      </c>
    </row>
    <row r="22" spans="1:42" hidden="1" x14ac:dyDescent="0.2">
      <c r="A22" t="s">
        <v>88</v>
      </c>
      <c r="B22" t="s">
        <v>89</v>
      </c>
      <c r="C22" t="s">
        <v>89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4.9000000000000004</v>
      </c>
      <c r="AE22">
        <v>82</v>
      </c>
      <c r="AF22">
        <v>38.386854319941271</v>
      </c>
      <c r="AG22">
        <v>26.270507809840531</v>
      </c>
      <c r="AH22">
        <f>32.589181822996*1</f>
        <v>32.589181822995997</v>
      </c>
      <c r="AI22">
        <f>1.95830957469452*1</f>
        <v>1.95830957469452</v>
      </c>
      <c r="AJ22">
        <v>1</v>
      </c>
      <c r="AK22">
        <v>0</v>
      </c>
      <c r="AL22">
        <v>0</v>
      </c>
      <c r="AN22" t="s">
        <v>15</v>
      </c>
      <c r="AO22">
        <f>SUMPRODUCT(Table1[Selected],Table1[BRE])</f>
        <v>2</v>
      </c>
      <c r="AP22">
        <v>3</v>
      </c>
    </row>
    <row r="23" spans="1:42" hidden="1" x14ac:dyDescent="0.2">
      <c r="A23" t="s">
        <v>90</v>
      </c>
      <c r="B23" t="s">
        <v>91</v>
      </c>
      <c r="C23" t="s">
        <v>91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83</v>
      </c>
      <c r="AF23">
        <v>28.84074656104988</v>
      </c>
      <c r="AG23">
        <v>19.23371100271935</v>
      </c>
      <c r="AH23">
        <f>27.3568702652775*1</f>
        <v>27.3568702652775</v>
      </c>
      <c r="AI23">
        <f>2.08570233584733*1</f>
        <v>2.0857023358473299</v>
      </c>
      <c r="AJ23">
        <v>1</v>
      </c>
      <c r="AK23">
        <v>0</v>
      </c>
      <c r="AL23">
        <v>0</v>
      </c>
      <c r="AN23" t="s">
        <v>16</v>
      </c>
      <c r="AO23">
        <f>SUMPRODUCT(Table1[Selected],Table1[BHA])</f>
        <v>0</v>
      </c>
      <c r="AP23">
        <v>3</v>
      </c>
    </row>
    <row r="24" spans="1:42" x14ac:dyDescent="0.2">
      <c r="A24" t="s">
        <v>94</v>
      </c>
      <c r="B24" t="s">
        <v>95</v>
      </c>
      <c r="C24" t="s">
        <v>95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90</v>
      </c>
      <c r="AF24">
        <v>86.987326458096263</v>
      </c>
      <c r="AG24">
        <v>40.723350098583467</v>
      </c>
      <c r="AH24">
        <f>97.0931412988249*1</f>
        <v>97.093141298824904</v>
      </c>
      <c r="AI24">
        <f>7.34905835273589*1</f>
        <v>7.3490583527358897</v>
      </c>
      <c r="AJ24">
        <v>1</v>
      </c>
      <c r="AK24">
        <v>1</v>
      </c>
      <c r="AL24">
        <v>1</v>
      </c>
      <c r="AN24" t="s">
        <v>17</v>
      </c>
      <c r="AO24">
        <f>SUMPRODUCT(Table1[Selected],Table1[CHE])</f>
        <v>0</v>
      </c>
      <c r="AP24">
        <v>3</v>
      </c>
    </row>
    <row r="25" spans="1:42" x14ac:dyDescent="0.2">
      <c r="A25" t="s">
        <v>274</v>
      </c>
      <c r="B25" t="s">
        <v>275</v>
      </c>
      <c r="C25" t="s">
        <v>276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13.7</v>
      </c>
      <c r="AE25">
        <v>446</v>
      </c>
      <c r="AF25">
        <v>86.325991189427342</v>
      </c>
      <c r="AG25">
        <v>89.229517107600316</v>
      </c>
      <c r="AH25">
        <f>81.0064323455596*1</f>
        <v>81.006432345559602</v>
      </c>
      <c r="AI25">
        <f>6.77461977299739*1</f>
        <v>6.77461977299739</v>
      </c>
      <c r="AJ25">
        <v>1</v>
      </c>
      <c r="AK25">
        <v>1</v>
      </c>
      <c r="AL25">
        <v>1</v>
      </c>
      <c r="AN25" t="s">
        <v>18</v>
      </c>
      <c r="AO25">
        <f>SUMPRODUCT(Table1[Selected],Table1[CRY])</f>
        <v>0</v>
      </c>
      <c r="AP25">
        <v>3</v>
      </c>
    </row>
    <row r="26" spans="1:42" x14ac:dyDescent="0.2">
      <c r="A26" t="s">
        <v>328</v>
      </c>
      <c r="B26" t="s">
        <v>329</v>
      </c>
      <c r="C26" t="s">
        <v>329</v>
      </c>
      <c r="D26" t="s">
        <v>6</v>
      </c>
      <c r="E26">
        <v>0</v>
      </c>
      <c r="F26">
        <v>0</v>
      </c>
      <c r="G26">
        <v>0</v>
      </c>
      <c r="H26">
        <v>1</v>
      </c>
      <c r="I26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9.5</v>
      </c>
      <c r="AE26">
        <v>553</v>
      </c>
      <c r="AF26">
        <v>75.291666666666629</v>
      </c>
      <c r="AG26">
        <v>65.048607088333611</v>
      </c>
      <c r="AH26">
        <f>76.8190589896491*1</f>
        <v>76.819058989649093</v>
      </c>
      <c r="AI26">
        <f>5.95960150105994*1</f>
        <v>5.9596015010599404</v>
      </c>
      <c r="AJ26">
        <v>1</v>
      </c>
      <c r="AK26">
        <v>1</v>
      </c>
      <c r="AL26">
        <v>1</v>
      </c>
      <c r="AN26" t="s">
        <v>19</v>
      </c>
      <c r="AO26">
        <f>SUMPRODUCT(Table1[Selected],Table1[EVE])</f>
        <v>2</v>
      </c>
      <c r="AP26">
        <v>3</v>
      </c>
    </row>
    <row r="27" spans="1:42" hidden="1" x14ac:dyDescent="0.2">
      <c r="A27" t="s">
        <v>99</v>
      </c>
      <c r="B27" t="s">
        <v>100</v>
      </c>
      <c r="C27" t="s">
        <v>100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5.7</v>
      </c>
      <c r="AE27">
        <v>96</v>
      </c>
      <c r="AF27">
        <v>57.863448480297073</v>
      </c>
      <c r="AG27">
        <v>34.600536024192337</v>
      </c>
      <c r="AH27">
        <f>36.5032608490803*1</f>
        <v>36.503260849080299</v>
      </c>
      <c r="AI27">
        <f>2.93366621317674*1</f>
        <v>2.9336662131767399</v>
      </c>
      <c r="AJ27">
        <v>1</v>
      </c>
      <c r="AK27">
        <v>0</v>
      </c>
      <c r="AL27">
        <v>0</v>
      </c>
      <c r="AN27" t="s">
        <v>20</v>
      </c>
      <c r="AO27">
        <f>SUMPRODUCT(Table1[Selected],Table1[FUL])</f>
        <v>1</v>
      </c>
      <c r="AP27">
        <v>3</v>
      </c>
    </row>
    <row r="28" spans="1:42" hidden="1" x14ac:dyDescent="0.2">
      <c r="A28" t="s">
        <v>101</v>
      </c>
      <c r="B28" t="s">
        <v>102</v>
      </c>
      <c r="C28" t="s">
        <v>102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5.4</v>
      </c>
      <c r="AE28">
        <v>100</v>
      </c>
      <c r="AF28">
        <v>44.275362318840557</v>
      </c>
      <c r="AG28">
        <v>50.328045357350291</v>
      </c>
      <c r="AH28">
        <f>27.3251551432987*1</f>
        <v>27.325155143298701</v>
      </c>
      <c r="AI28">
        <f>1.96754909726568*1</f>
        <v>1.9675490972656799</v>
      </c>
      <c r="AJ28">
        <v>1</v>
      </c>
      <c r="AK28">
        <v>0</v>
      </c>
      <c r="AL28">
        <v>0</v>
      </c>
      <c r="AN28" t="s">
        <v>21</v>
      </c>
      <c r="AO28">
        <f>SUMPRODUCT(Table1[Selected],Table1[IPS])</f>
        <v>0</v>
      </c>
      <c r="AP28">
        <v>3</v>
      </c>
    </row>
    <row r="29" spans="1:42" hidden="1" x14ac:dyDescent="0.2">
      <c r="A29" t="s">
        <v>103</v>
      </c>
      <c r="B29" t="s">
        <v>104</v>
      </c>
      <c r="C29" t="s">
        <v>104</v>
      </c>
      <c r="D29" t="s">
        <v>4</v>
      </c>
      <c r="E29">
        <v>0</v>
      </c>
      <c r="F29">
        <v>1</v>
      </c>
      <c r="G29">
        <v>0</v>
      </c>
      <c r="H29">
        <v>0</v>
      </c>
      <c r="I29" t="s">
        <v>14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4.4000000000000004</v>
      </c>
      <c r="AE29">
        <v>102</v>
      </c>
      <c r="AF29">
        <v>31.200000000000021</v>
      </c>
      <c r="AG29">
        <v>25.98602711138648</v>
      </c>
      <c r="AH29">
        <f>24.874855822473*1</f>
        <v>24.874855822472998</v>
      </c>
      <c r="AI29">
        <f>1.78834137013742*1</f>
        <v>1.78834137013742</v>
      </c>
      <c r="AJ29">
        <v>1</v>
      </c>
      <c r="AK29">
        <v>0</v>
      </c>
      <c r="AL29">
        <v>0</v>
      </c>
      <c r="AN29" t="s">
        <v>22</v>
      </c>
      <c r="AO29">
        <f>SUMPRODUCT(Table1[Selected],Table1[LEI])</f>
        <v>0</v>
      </c>
      <c r="AP29">
        <v>3</v>
      </c>
    </row>
    <row r="30" spans="1:42" hidden="1" x14ac:dyDescent="0.2">
      <c r="A30" t="s">
        <v>105</v>
      </c>
      <c r="B30" t="s">
        <v>106</v>
      </c>
      <c r="C30" t="s">
        <v>106</v>
      </c>
      <c r="D30" t="s">
        <v>3</v>
      </c>
      <c r="E30">
        <v>1</v>
      </c>
      <c r="F30">
        <v>0</v>
      </c>
      <c r="G30">
        <v>0</v>
      </c>
      <c r="H30">
        <v>0</v>
      </c>
      <c r="I30" t="s">
        <v>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4.5999999999999996</v>
      </c>
      <c r="AE30">
        <v>103</v>
      </c>
      <c r="AF30">
        <v>48.163934426229503</v>
      </c>
      <c r="AG30">
        <v>48.561920828816078</v>
      </c>
      <c r="AH30">
        <f>37.2857081320505*1</f>
        <v>37.285708132050502</v>
      </c>
      <c r="AI30">
        <f>2.79669689993003*1</f>
        <v>2.7966968999300299</v>
      </c>
      <c r="AJ30">
        <v>1</v>
      </c>
      <c r="AK30">
        <v>0</v>
      </c>
      <c r="AL30">
        <v>0</v>
      </c>
      <c r="AN30" t="s">
        <v>23</v>
      </c>
      <c r="AO30">
        <f>SUMPRODUCT(Table1[Selected],Table1[LIV])</f>
        <v>1</v>
      </c>
      <c r="AP30">
        <v>3</v>
      </c>
    </row>
    <row r="31" spans="1:42" hidden="1" x14ac:dyDescent="0.2">
      <c r="A31" t="s">
        <v>107</v>
      </c>
      <c r="B31" t="s">
        <v>108</v>
      </c>
      <c r="C31" t="s">
        <v>108</v>
      </c>
      <c r="D31" t="s">
        <v>4</v>
      </c>
      <c r="E31">
        <v>0</v>
      </c>
      <c r="F31">
        <v>1</v>
      </c>
      <c r="G31">
        <v>0</v>
      </c>
      <c r="H31">
        <v>0</v>
      </c>
      <c r="I31" t="s">
        <v>15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121</v>
      </c>
      <c r="AF31">
        <v>34.320000000000007</v>
      </c>
      <c r="AG31">
        <v>29.904529120872049</v>
      </c>
      <c r="AH31">
        <f>31.2941621075702*1</f>
        <v>31.294162107570202</v>
      </c>
      <c r="AI31">
        <f>2.33321285340256*1</f>
        <v>2.3332128534025598</v>
      </c>
      <c r="AJ31">
        <v>1</v>
      </c>
      <c r="AK31">
        <v>0</v>
      </c>
      <c r="AL31">
        <v>0</v>
      </c>
      <c r="AN31" t="s">
        <v>24</v>
      </c>
      <c r="AO31">
        <f>SUMPRODUCT(Table1[Selected],Table1[MCI])</f>
        <v>0</v>
      </c>
      <c r="AP31">
        <v>3</v>
      </c>
    </row>
    <row r="32" spans="1:42" hidden="1" x14ac:dyDescent="0.2">
      <c r="A32" t="s">
        <v>109</v>
      </c>
      <c r="B32" t="s">
        <v>110</v>
      </c>
      <c r="C32" t="s">
        <v>110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122</v>
      </c>
      <c r="AF32">
        <v>49.094695634974563</v>
      </c>
      <c r="AG32">
        <v>22.754981065032649</v>
      </c>
      <c r="AH32">
        <f>68.0703416007525*1</f>
        <v>68.070341600752499</v>
      </c>
      <c r="AI32">
        <f>5.44718077046977*1</f>
        <v>5.4471807704697701</v>
      </c>
      <c r="AJ32">
        <v>1</v>
      </c>
      <c r="AK32">
        <v>0</v>
      </c>
      <c r="AL32">
        <v>0</v>
      </c>
      <c r="AN32" t="s">
        <v>25</v>
      </c>
      <c r="AO32">
        <f>SUMPRODUCT(Table1[Selected],Table1[MUN])</f>
        <v>1</v>
      </c>
      <c r="AP32">
        <v>3</v>
      </c>
    </row>
    <row r="33" spans="1:42" hidden="1" x14ac:dyDescent="0.2">
      <c r="A33" t="s">
        <v>111</v>
      </c>
      <c r="B33" t="s">
        <v>112</v>
      </c>
      <c r="C33" t="s">
        <v>112</v>
      </c>
      <c r="D33" t="s">
        <v>3</v>
      </c>
      <c r="E33">
        <v>1</v>
      </c>
      <c r="F33">
        <v>0</v>
      </c>
      <c r="G33">
        <v>0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4.4000000000000004</v>
      </c>
      <c r="AE33">
        <v>124</v>
      </c>
      <c r="AF33">
        <v>42.900000000000027</v>
      </c>
      <c r="AG33">
        <v>46.951442460188389</v>
      </c>
      <c r="AH33">
        <f>16.537478570048*1</f>
        <v>16.537478570047998</v>
      </c>
      <c r="AI33">
        <f>1.14475406796864*1</f>
        <v>1.1447540679686401</v>
      </c>
      <c r="AJ33">
        <v>1</v>
      </c>
      <c r="AK33">
        <v>0</v>
      </c>
      <c r="AL33">
        <v>0</v>
      </c>
      <c r="AN33" t="s">
        <v>26</v>
      </c>
      <c r="AO33">
        <f>SUMPRODUCT(Table1[Selected],Table1[NEW])</f>
        <v>2</v>
      </c>
      <c r="AP33">
        <v>3</v>
      </c>
    </row>
    <row r="34" spans="1:42" hidden="1" x14ac:dyDescent="0.2">
      <c r="A34" t="s">
        <v>113</v>
      </c>
      <c r="B34" t="s">
        <v>114</v>
      </c>
      <c r="C34" t="s">
        <v>114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4.9000000000000004</v>
      </c>
      <c r="AE34">
        <v>127</v>
      </c>
      <c r="AF34">
        <v>33.758064516129011</v>
      </c>
      <c r="AG34">
        <v>36.429074413114947</v>
      </c>
      <c r="AH34">
        <f>20.5338651426621*1</f>
        <v>20.533865142662101</v>
      </c>
      <c r="AI34">
        <f>1.54310735928001*1</f>
        <v>1.54310735928001</v>
      </c>
      <c r="AJ34">
        <v>1</v>
      </c>
      <c r="AK34">
        <v>0</v>
      </c>
      <c r="AL34">
        <v>0</v>
      </c>
      <c r="AN34" t="s">
        <v>27</v>
      </c>
      <c r="AO34">
        <f>SUMPRODUCT(Table1[Selected],Table1[NFO])</f>
        <v>2</v>
      </c>
      <c r="AP34">
        <v>3</v>
      </c>
    </row>
    <row r="35" spans="1:42" hidden="1" x14ac:dyDescent="0.2">
      <c r="A35" t="s">
        <v>115</v>
      </c>
      <c r="B35" t="s">
        <v>116</v>
      </c>
      <c r="C35" t="s">
        <v>116</v>
      </c>
      <c r="D35" t="s">
        <v>5</v>
      </c>
      <c r="E35">
        <v>0</v>
      </c>
      <c r="F35">
        <v>0</v>
      </c>
      <c r="G35">
        <v>1</v>
      </c>
      <c r="H35">
        <v>0</v>
      </c>
      <c r="I35" t="s">
        <v>15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131</v>
      </c>
      <c r="AF35">
        <v>30.875</v>
      </c>
      <c r="AG35">
        <v>26.043934469915911</v>
      </c>
      <c r="AH35">
        <f>28.2350392730118*1</f>
        <v>28.2350392730118</v>
      </c>
      <c r="AI35">
        <f>2.13375866966479*1</f>
        <v>2.1337586696647901</v>
      </c>
      <c r="AJ35">
        <v>1</v>
      </c>
      <c r="AK35">
        <v>0</v>
      </c>
      <c r="AL35">
        <v>0</v>
      </c>
      <c r="AN35" t="s">
        <v>28</v>
      </c>
      <c r="AO35">
        <f>SUMPRODUCT(Table1[Selected],Table1[SOU])</f>
        <v>0</v>
      </c>
      <c r="AP35">
        <v>3</v>
      </c>
    </row>
    <row r="36" spans="1:42" x14ac:dyDescent="0.2">
      <c r="A36" t="s">
        <v>330</v>
      </c>
      <c r="B36" t="s">
        <v>331</v>
      </c>
      <c r="C36" t="s">
        <v>332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5.0999999999999996</v>
      </c>
      <c r="AE36">
        <v>554</v>
      </c>
      <c r="AF36">
        <v>56.686251809809022</v>
      </c>
      <c r="AG36">
        <v>25.361073745748911</v>
      </c>
      <c r="AH36">
        <f>77.2457859190274*1</f>
        <v>77.245785919027398</v>
      </c>
      <c r="AI36">
        <f>5.94861121624705*1</f>
        <v>5.9486112162470501</v>
      </c>
      <c r="AJ36">
        <v>1</v>
      </c>
      <c r="AK36">
        <v>1</v>
      </c>
      <c r="AL36">
        <v>1</v>
      </c>
      <c r="AN36" t="s">
        <v>29</v>
      </c>
      <c r="AO36">
        <f>SUMPRODUCT(Table1[Selected],Table1[TOT])</f>
        <v>0</v>
      </c>
      <c r="AP36">
        <v>3</v>
      </c>
    </row>
    <row r="37" spans="1:42" hidden="1" x14ac:dyDescent="0.2">
      <c r="A37" t="s">
        <v>119</v>
      </c>
      <c r="B37" t="s">
        <v>120</v>
      </c>
      <c r="C37" t="s">
        <v>120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15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4.8</v>
      </c>
      <c r="AE37">
        <v>134</v>
      </c>
      <c r="AF37">
        <v>36.152380952380923</v>
      </c>
      <c r="AG37">
        <v>37.419074760506462</v>
      </c>
      <c r="AH37">
        <f>19.1681245293326*1</f>
        <v>19.168124529332601</v>
      </c>
      <c r="AI37">
        <f>1.43963112209377*1</f>
        <v>1.4396311220937701</v>
      </c>
      <c r="AJ37">
        <v>1</v>
      </c>
      <c r="AK37">
        <v>0</v>
      </c>
      <c r="AL37">
        <v>0</v>
      </c>
      <c r="AN37" t="s">
        <v>30</v>
      </c>
      <c r="AO37">
        <f>SUMPRODUCT(Table1[Selected],Table1[WHU])</f>
        <v>0</v>
      </c>
      <c r="AP37">
        <v>3</v>
      </c>
    </row>
    <row r="38" spans="1:42" hidden="1" x14ac:dyDescent="0.2">
      <c r="A38" t="s">
        <v>121</v>
      </c>
      <c r="B38" t="s">
        <v>122</v>
      </c>
      <c r="C38" t="s">
        <v>123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4.3</v>
      </c>
      <c r="AE38">
        <v>138</v>
      </c>
      <c r="AF38">
        <v>25.667721734962338</v>
      </c>
      <c r="AG38">
        <v>26.134144256413329</v>
      </c>
      <c r="AH38">
        <f>15.8719632207428*1</f>
        <v>15.871963220742799</v>
      </c>
      <c r="AI38">
        <f>1.35338925634356*1</f>
        <v>1.3533892563435601</v>
      </c>
      <c r="AJ38">
        <v>1</v>
      </c>
      <c r="AK38">
        <v>0</v>
      </c>
      <c r="AL38">
        <v>0</v>
      </c>
      <c r="AN38" t="s">
        <v>31</v>
      </c>
      <c r="AO38">
        <f>SUMPRODUCT(Table1[Selected],Table1[WOL])</f>
        <v>1</v>
      </c>
      <c r="AP38">
        <v>3</v>
      </c>
    </row>
    <row r="39" spans="1:42" hidden="1" x14ac:dyDescent="0.2">
      <c r="A39" t="s">
        <v>124</v>
      </c>
      <c r="B39" t="s">
        <v>125</v>
      </c>
      <c r="C39" t="s">
        <v>125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15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5.0999999999999996</v>
      </c>
      <c r="AE39">
        <v>139</v>
      </c>
      <c r="AF39">
        <v>38.018867924528301</v>
      </c>
      <c r="AG39">
        <v>29.172942971352189</v>
      </c>
      <c r="AH39">
        <f>31.9170200309997*1</f>
        <v>31.917020030999701</v>
      </c>
      <c r="AI39">
        <f>2.88004729651325*1</f>
        <v>2.8800472965132502</v>
      </c>
      <c r="AJ39">
        <v>1</v>
      </c>
      <c r="AK39">
        <v>0</v>
      </c>
      <c r="AL39">
        <v>0</v>
      </c>
    </row>
    <row r="40" spans="1:42" x14ac:dyDescent="0.2">
      <c r="A40" t="s">
        <v>92</v>
      </c>
      <c r="B40" t="s">
        <v>93</v>
      </c>
      <c r="C40" t="s">
        <v>93</v>
      </c>
      <c r="D40" t="s">
        <v>4</v>
      </c>
      <c r="E40">
        <v>0</v>
      </c>
      <c r="F40">
        <v>1</v>
      </c>
      <c r="G40">
        <v>0</v>
      </c>
      <c r="H40">
        <v>0</v>
      </c>
      <c r="I40" t="s">
        <v>14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89</v>
      </c>
      <c r="AF40">
        <v>51.379169838402653</v>
      </c>
      <c r="AG40">
        <v>31.158709370933391</v>
      </c>
      <c r="AH40">
        <f>73.0423730996562*1</f>
        <v>73.042373099656203</v>
      </c>
      <c r="AI40">
        <f>5.72687361908213*1</f>
        <v>5.7268736190821299</v>
      </c>
      <c r="AJ40">
        <v>1</v>
      </c>
      <c r="AK40">
        <v>1</v>
      </c>
      <c r="AL40">
        <v>1</v>
      </c>
    </row>
    <row r="41" spans="1:42" hidden="1" x14ac:dyDescent="0.2">
      <c r="A41" t="s">
        <v>128</v>
      </c>
      <c r="B41" t="s">
        <v>129</v>
      </c>
      <c r="C41" t="s">
        <v>130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15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4.5</v>
      </c>
      <c r="AE41">
        <v>146</v>
      </c>
      <c r="AF41">
        <v>0</v>
      </c>
      <c r="AG41">
        <v>0</v>
      </c>
      <c r="AH41">
        <f>0*1</f>
        <v>0</v>
      </c>
      <c r="AI41">
        <f>0*1</f>
        <v>0</v>
      </c>
      <c r="AJ41">
        <v>1</v>
      </c>
      <c r="AK41">
        <v>0</v>
      </c>
      <c r="AL41">
        <v>0</v>
      </c>
    </row>
    <row r="42" spans="1:42" hidden="1" x14ac:dyDescent="0.2">
      <c r="A42" t="s">
        <v>131</v>
      </c>
      <c r="B42" t="s">
        <v>132</v>
      </c>
      <c r="C42" t="s">
        <v>132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159</v>
      </c>
      <c r="AF42">
        <v>0</v>
      </c>
      <c r="AG42">
        <v>0</v>
      </c>
      <c r="AH42">
        <f>0*1</f>
        <v>0</v>
      </c>
      <c r="AI42">
        <f>0*1</f>
        <v>0</v>
      </c>
      <c r="AJ42">
        <v>1</v>
      </c>
      <c r="AK42">
        <v>0</v>
      </c>
      <c r="AL42">
        <v>0</v>
      </c>
    </row>
    <row r="43" spans="1:42" hidden="1" x14ac:dyDescent="0.2">
      <c r="A43" t="s">
        <v>90</v>
      </c>
      <c r="B43" t="s">
        <v>133</v>
      </c>
      <c r="C43" t="s">
        <v>133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4.2</v>
      </c>
      <c r="AE43">
        <v>163</v>
      </c>
      <c r="AF43">
        <v>39.739336492890992</v>
      </c>
      <c r="AG43">
        <v>43.181966451205177</v>
      </c>
      <c r="AH43">
        <f>16.4112801665369*1</f>
        <v>16.411280166536901</v>
      </c>
      <c r="AI43">
        <f>1.29780420825896*1</f>
        <v>1.29780420825896</v>
      </c>
      <c r="AJ43">
        <v>1</v>
      </c>
      <c r="AK43">
        <v>0</v>
      </c>
      <c r="AL43">
        <v>0</v>
      </c>
    </row>
    <row r="44" spans="1:42" hidden="1" x14ac:dyDescent="0.2">
      <c r="A44" t="s">
        <v>134</v>
      </c>
      <c r="B44" t="s">
        <v>135</v>
      </c>
      <c r="C44" t="s">
        <v>136</v>
      </c>
      <c r="D44" t="s">
        <v>4</v>
      </c>
      <c r="E44">
        <v>0</v>
      </c>
      <c r="F44">
        <v>1</v>
      </c>
      <c r="G44">
        <v>0</v>
      </c>
      <c r="H44">
        <v>0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4.9000000000000004</v>
      </c>
      <c r="AE44">
        <v>164</v>
      </c>
      <c r="AF44">
        <v>37.256416570074258</v>
      </c>
      <c r="AG44">
        <v>40.822243098433482</v>
      </c>
      <c r="AH44">
        <f>14.0648790923945*1</f>
        <v>14.0648790923945</v>
      </c>
      <c r="AI44">
        <f>0.83255266657952*1</f>
        <v>0.83255266657951998</v>
      </c>
      <c r="AJ44">
        <v>1</v>
      </c>
      <c r="AK44">
        <v>0</v>
      </c>
      <c r="AL44">
        <v>0</v>
      </c>
    </row>
    <row r="45" spans="1:42" hidden="1" x14ac:dyDescent="0.2">
      <c r="A45" t="s">
        <v>137</v>
      </c>
      <c r="B45" t="s">
        <v>138</v>
      </c>
      <c r="C45" t="s">
        <v>137</v>
      </c>
      <c r="D45" t="s">
        <v>6</v>
      </c>
      <c r="E45">
        <v>0</v>
      </c>
      <c r="F45">
        <v>0</v>
      </c>
      <c r="G45">
        <v>0</v>
      </c>
      <c r="H45">
        <v>1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5.5</v>
      </c>
      <c r="AE45">
        <v>170</v>
      </c>
      <c r="AF45">
        <v>46.495298820889502</v>
      </c>
      <c r="AG45">
        <v>36.179164073853933</v>
      </c>
      <c r="AH45">
        <f>43.3718907440181*1</f>
        <v>43.371890744018103</v>
      </c>
      <c r="AI45">
        <f>3.35989680420457*1</f>
        <v>3.35989680420457</v>
      </c>
      <c r="AJ45">
        <v>1</v>
      </c>
      <c r="AK45">
        <v>0</v>
      </c>
      <c r="AL45">
        <v>0</v>
      </c>
    </row>
    <row r="46" spans="1:42" hidden="1" x14ac:dyDescent="0.2">
      <c r="A46" t="s">
        <v>139</v>
      </c>
      <c r="B46" t="s">
        <v>140</v>
      </c>
      <c r="C46" t="s">
        <v>141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4.5</v>
      </c>
      <c r="AE46">
        <v>185</v>
      </c>
      <c r="AF46">
        <v>28.017241379310349</v>
      </c>
      <c r="AG46">
        <v>22.171035910562669</v>
      </c>
      <c r="AH46">
        <f>19.9957185562527*1</f>
        <v>19.995718556252701</v>
      </c>
      <c r="AI46">
        <f>1.50013793506466*1</f>
        <v>1.50013793506466</v>
      </c>
      <c r="AJ46">
        <v>1</v>
      </c>
      <c r="AK46">
        <v>0</v>
      </c>
      <c r="AL46">
        <v>0</v>
      </c>
    </row>
    <row r="47" spans="1:42" hidden="1" x14ac:dyDescent="0.2">
      <c r="A47" t="s">
        <v>142</v>
      </c>
      <c r="B47" t="s">
        <v>143</v>
      </c>
      <c r="C47" t="s">
        <v>143</v>
      </c>
      <c r="D47" t="s">
        <v>4</v>
      </c>
      <c r="E47">
        <v>0</v>
      </c>
      <c r="F47">
        <v>1</v>
      </c>
      <c r="G47">
        <v>0</v>
      </c>
      <c r="H47">
        <v>0</v>
      </c>
      <c r="I47" t="s">
        <v>16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4.4000000000000004</v>
      </c>
      <c r="AE47">
        <v>186</v>
      </c>
      <c r="AF47">
        <v>36.833333333333307</v>
      </c>
      <c r="AG47">
        <v>38.557898912294689</v>
      </c>
      <c r="AH47">
        <f>21.5501991605997*1</f>
        <v>21.5501991605997</v>
      </c>
      <c r="AI47">
        <f>1.56536357226246*1</f>
        <v>1.5653635722624599</v>
      </c>
      <c r="AJ47">
        <v>1</v>
      </c>
      <c r="AK47">
        <v>0</v>
      </c>
      <c r="AL47">
        <v>0</v>
      </c>
    </row>
    <row r="48" spans="1:42" hidden="1" x14ac:dyDescent="0.2">
      <c r="A48" t="s">
        <v>144</v>
      </c>
      <c r="B48" t="s">
        <v>145</v>
      </c>
      <c r="C48" t="s">
        <v>145</v>
      </c>
      <c r="D48" t="s">
        <v>3</v>
      </c>
      <c r="E48">
        <v>1</v>
      </c>
      <c r="F48">
        <v>0</v>
      </c>
      <c r="G48">
        <v>0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4.5</v>
      </c>
      <c r="AE48">
        <v>187</v>
      </c>
      <c r="AF48">
        <v>0</v>
      </c>
      <c r="AG48">
        <v>0</v>
      </c>
      <c r="AH48">
        <f>0*1</f>
        <v>0</v>
      </c>
      <c r="AI48">
        <f>0*1</f>
        <v>0</v>
      </c>
      <c r="AJ48">
        <v>1</v>
      </c>
      <c r="AK48">
        <v>0</v>
      </c>
      <c r="AL48">
        <v>0</v>
      </c>
    </row>
    <row r="49" spans="1:38" hidden="1" x14ac:dyDescent="0.2">
      <c r="A49" t="s">
        <v>146</v>
      </c>
      <c r="B49" t="s">
        <v>147</v>
      </c>
      <c r="C49" t="s">
        <v>147</v>
      </c>
      <c r="D49" t="s">
        <v>6</v>
      </c>
      <c r="E49">
        <v>0</v>
      </c>
      <c r="F49">
        <v>0</v>
      </c>
      <c r="G49">
        <v>0</v>
      </c>
      <c r="H49">
        <v>1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5.5</v>
      </c>
      <c r="AE49">
        <v>189</v>
      </c>
      <c r="AF49">
        <v>42.454968494873917</v>
      </c>
      <c r="AG49">
        <v>36.196994749301211</v>
      </c>
      <c r="AH49">
        <f>32.8876740668356*1</f>
        <v>32.887674066835601</v>
      </c>
      <c r="AI49">
        <f>3.08373149284188*1</f>
        <v>3.08373149284188</v>
      </c>
      <c r="AJ49">
        <v>1</v>
      </c>
      <c r="AK49">
        <v>0</v>
      </c>
      <c r="AL49">
        <v>0</v>
      </c>
    </row>
    <row r="50" spans="1:38" hidden="1" x14ac:dyDescent="0.2">
      <c r="A50" t="s">
        <v>148</v>
      </c>
      <c r="B50" t="s">
        <v>149</v>
      </c>
      <c r="C50" t="s">
        <v>148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5.0999999999999996</v>
      </c>
      <c r="AE50">
        <v>195</v>
      </c>
      <c r="AF50">
        <v>0</v>
      </c>
      <c r="AG50">
        <v>0</v>
      </c>
      <c r="AH50">
        <f>0*1</f>
        <v>0</v>
      </c>
      <c r="AI50">
        <f>0*1</f>
        <v>0</v>
      </c>
      <c r="AJ50">
        <v>1</v>
      </c>
      <c r="AK50">
        <v>0</v>
      </c>
      <c r="AL50">
        <v>0</v>
      </c>
    </row>
    <row r="51" spans="1:38" hidden="1" x14ac:dyDescent="0.2">
      <c r="A51" t="s">
        <v>150</v>
      </c>
      <c r="B51" t="s">
        <v>151</v>
      </c>
      <c r="C51" t="s">
        <v>152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4.9000000000000004</v>
      </c>
      <c r="AE51">
        <v>211</v>
      </c>
      <c r="AF51">
        <v>29.927750614012961</v>
      </c>
      <c r="AG51">
        <v>24.9691140526647</v>
      </c>
      <c r="AH51">
        <f>26.5099745765148*1</f>
        <v>26.5099745765148</v>
      </c>
      <c r="AI51">
        <f>2.08571990026143*1</f>
        <v>2.0857199002614299</v>
      </c>
      <c r="AJ51">
        <v>1</v>
      </c>
      <c r="AK51">
        <v>0</v>
      </c>
      <c r="AL51">
        <v>0</v>
      </c>
    </row>
    <row r="52" spans="1:38" hidden="1" x14ac:dyDescent="0.2">
      <c r="A52" t="s">
        <v>153</v>
      </c>
      <c r="B52" t="s">
        <v>154</v>
      </c>
      <c r="C52" t="s">
        <v>154</v>
      </c>
      <c r="D52" t="s">
        <v>4</v>
      </c>
      <c r="E52">
        <v>0</v>
      </c>
      <c r="F52">
        <v>1</v>
      </c>
      <c r="G52">
        <v>0</v>
      </c>
      <c r="H52">
        <v>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4.4000000000000004</v>
      </c>
      <c r="AE52">
        <v>215</v>
      </c>
      <c r="AF52">
        <v>32.499999999999993</v>
      </c>
      <c r="AG52">
        <v>38.48466226985223</v>
      </c>
      <c r="AH52">
        <f>15.9564372940267*1</f>
        <v>15.956437294026699</v>
      </c>
      <c r="AI52">
        <f>1.18790011054366*1</f>
        <v>1.18790011054366</v>
      </c>
      <c r="AJ52">
        <v>1</v>
      </c>
      <c r="AK52">
        <v>0</v>
      </c>
      <c r="AL52">
        <v>0</v>
      </c>
    </row>
    <row r="53" spans="1:38" hidden="1" x14ac:dyDescent="0.2">
      <c r="A53" t="s">
        <v>155</v>
      </c>
      <c r="B53" t="s">
        <v>156</v>
      </c>
      <c r="C53" t="s">
        <v>157</v>
      </c>
      <c r="D53" t="s">
        <v>4</v>
      </c>
      <c r="E53">
        <v>0</v>
      </c>
      <c r="F53">
        <v>1</v>
      </c>
      <c r="G53">
        <v>0</v>
      </c>
      <c r="H53">
        <v>0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5.0999999999999996</v>
      </c>
      <c r="AE53">
        <v>216</v>
      </c>
      <c r="AF53">
        <v>33.718749999999993</v>
      </c>
      <c r="AG53">
        <v>31.58343547780991</v>
      </c>
      <c r="AH53">
        <f>22.915665156663*1</f>
        <v>22.915665156663</v>
      </c>
      <c r="AI53">
        <f>1.76656562616072*1</f>
        <v>1.7665656261607201</v>
      </c>
      <c r="AJ53">
        <v>1</v>
      </c>
      <c r="AK53">
        <v>0</v>
      </c>
      <c r="AL53">
        <v>0</v>
      </c>
    </row>
    <row r="54" spans="1:38" hidden="1" x14ac:dyDescent="0.2">
      <c r="A54" t="s">
        <v>158</v>
      </c>
      <c r="B54" t="s">
        <v>159</v>
      </c>
      <c r="C54" t="s">
        <v>158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4.7</v>
      </c>
      <c r="AE54">
        <v>220</v>
      </c>
      <c r="AF54">
        <v>36.450085710955797</v>
      </c>
      <c r="AG54">
        <v>25.58593400761626</v>
      </c>
      <c r="AH54">
        <f>33.8403920984567*1</f>
        <v>33.840392098456697</v>
      </c>
      <c r="AI54">
        <f>2.21776839572791*1</f>
        <v>2.21776839572791</v>
      </c>
      <c r="AJ54">
        <v>1</v>
      </c>
      <c r="AK54">
        <v>0</v>
      </c>
      <c r="AL54">
        <v>0</v>
      </c>
    </row>
    <row r="55" spans="1:38" hidden="1" x14ac:dyDescent="0.2">
      <c r="A55" t="s">
        <v>160</v>
      </c>
      <c r="B55" t="s">
        <v>161</v>
      </c>
      <c r="C55" t="s">
        <v>161</v>
      </c>
      <c r="D55" t="s">
        <v>4</v>
      </c>
      <c r="E55">
        <v>0</v>
      </c>
      <c r="F55">
        <v>1</v>
      </c>
      <c r="G55">
        <v>0</v>
      </c>
      <c r="H55">
        <v>0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4.9000000000000004</v>
      </c>
      <c r="AE55">
        <v>223</v>
      </c>
      <c r="AF55">
        <v>0</v>
      </c>
      <c r="AG55">
        <v>0</v>
      </c>
      <c r="AH55">
        <f>0*1</f>
        <v>0</v>
      </c>
      <c r="AI55">
        <f>0*1</f>
        <v>0</v>
      </c>
      <c r="AJ55">
        <v>1</v>
      </c>
      <c r="AK55">
        <v>0</v>
      </c>
      <c r="AL55">
        <v>0</v>
      </c>
    </row>
    <row r="56" spans="1:38" hidden="1" x14ac:dyDescent="0.2">
      <c r="A56" t="s">
        <v>162</v>
      </c>
      <c r="B56" t="s">
        <v>163</v>
      </c>
      <c r="C56" t="s">
        <v>163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6.1</v>
      </c>
      <c r="AE56">
        <v>229</v>
      </c>
      <c r="AF56">
        <v>44.436363636363623</v>
      </c>
      <c r="AG56">
        <v>46.387029560193071</v>
      </c>
      <c r="AH56">
        <f>50.1783786125147*1</f>
        <v>50.178378612514699</v>
      </c>
      <c r="AI56">
        <f>3.83135805615453*1</f>
        <v>3.8313580561545302</v>
      </c>
      <c r="AJ56">
        <v>1</v>
      </c>
      <c r="AK56">
        <v>0</v>
      </c>
      <c r="AL56">
        <v>0</v>
      </c>
    </row>
    <row r="57" spans="1:38" hidden="1" x14ac:dyDescent="0.2">
      <c r="A57" t="s">
        <v>164</v>
      </c>
      <c r="B57" t="s">
        <v>165</v>
      </c>
      <c r="C57" t="s">
        <v>166</v>
      </c>
      <c r="D57" t="s">
        <v>6</v>
      </c>
      <c r="E57">
        <v>0</v>
      </c>
      <c r="F57">
        <v>0</v>
      </c>
      <c r="G57">
        <v>0</v>
      </c>
      <c r="H57">
        <v>1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7.7</v>
      </c>
      <c r="AE57">
        <v>232</v>
      </c>
      <c r="AF57">
        <v>56.534674135932988</v>
      </c>
      <c r="AG57">
        <v>79.969266004469091</v>
      </c>
      <c r="AH57">
        <f>46.4476753458191*1</f>
        <v>46.4476753458191</v>
      </c>
      <c r="AI57">
        <f>3.17854697612284*1</f>
        <v>3.1785469761228402</v>
      </c>
      <c r="AJ57">
        <v>1</v>
      </c>
      <c r="AK57">
        <v>0</v>
      </c>
      <c r="AL57">
        <v>0</v>
      </c>
    </row>
    <row r="58" spans="1:38" hidden="1" x14ac:dyDescent="0.2">
      <c r="A58" t="s">
        <v>167</v>
      </c>
      <c r="B58" t="s">
        <v>168</v>
      </c>
      <c r="C58" t="s">
        <v>168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5.7</v>
      </c>
      <c r="AE58">
        <v>233</v>
      </c>
      <c r="AF58">
        <v>0</v>
      </c>
      <c r="AG58">
        <v>0</v>
      </c>
      <c r="AH58">
        <f>0*1</f>
        <v>0</v>
      </c>
      <c r="AI58">
        <f>0*1</f>
        <v>0</v>
      </c>
      <c r="AJ58">
        <v>1</v>
      </c>
      <c r="AK58">
        <v>0</v>
      </c>
      <c r="AL58">
        <v>0</v>
      </c>
    </row>
    <row r="59" spans="1:38" hidden="1" x14ac:dyDescent="0.2">
      <c r="A59" t="s">
        <v>169</v>
      </c>
      <c r="B59" t="s">
        <v>170</v>
      </c>
      <c r="C59" t="s">
        <v>170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11.2</v>
      </c>
      <c r="AE59">
        <v>234</v>
      </c>
      <c r="AF59">
        <v>72.719347503148342</v>
      </c>
      <c r="AG59">
        <v>100.35120546500021</v>
      </c>
      <c r="AH59">
        <f>55.6533293300914*1</f>
        <v>55.653329330091402</v>
      </c>
      <c r="AI59">
        <f>4.30596398984475*1</f>
        <v>4.3059639898447504</v>
      </c>
      <c r="AJ59">
        <v>1</v>
      </c>
      <c r="AK59">
        <v>0</v>
      </c>
      <c r="AL59">
        <v>0</v>
      </c>
    </row>
    <row r="60" spans="1:38" hidden="1" x14ac:dyDescent="0.2">
      <c r="A60" t="s">
        <v>171</v>
      </c>
      <c r="B60" t="s">
        <v>172</v>
      </c>
      <c r="C60" t="s">
        <v>172</v>
      </c>
      <c r="D60" t="s">
        <v>3</v>
      </c>
      <c r="E60">
        <v>1</v>
      </c>
      <c r="F60">
        <v>0</v>
      </c>
      <c r="G60">
        <v>0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4.5999999999999996</v>
      </c>
      <c r="AE60">
        <v>237</v>
      </c>
      <c r="AF60">
        <v>46.041666666666643</v>
      </c>
      <c r="AG60">
        <v>44.386865992239841</v>
      </c>
      <c r="AH60">
        <f>31.4805003311438*1</f>
        <v>31.480500331143801</v>
      </c>
      <c r="AI60">
        <f>2.39401342577968*1</f>
        <v>2.3940134257796801</v>
      </c>
      <c r="AJ60">
        <v>1</v>
      </c>
      <c r="AK60">
        <v>0</v>
      </c>
      <c r="AL60">
        <v>0</v>
      </c>
    </row>
    <row r="61" spans="1:38" hidden="1" x14ac:dyDescent="0.2">
      <c r="A61" t="s">
        <v>173</v>
      </c>
      <c r="B61" t="s">
        <v>174</v>
      </c>
      <c r="C61" t="s">
        <v>174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6.2</v>
      </c>
      <c r="AE61">
        <v>240</v>
      </c>
      <c r="AF61">
        <v>43.333333333333307</v>
      </c>
      <c r="AG61">
        <v>51.604409884663362</v>
      </c>
      <c r="AH61">
        <f>33.2544692446173*1</f>
        <v>33.254469244617297</v>
      </c>
      <c r="AI61">
        <f>2.71305946796006*1</f>
        <v>2.7130594679600599</v>
      </c>
      <c r="AJ61">
        <v>1</v>
      </c>
      <c r="AK61">
        <v>0</v>
      </c>
      <c r="AL61">
        <v>0</v>
      </c>
    </row>
    <row r="62" spans="1:38" hidden="1" x14ac:dyDescent="0.2">
      <c r="A62" t="s">
        <v>175</v>
      </c>
      <c r="B62" t="s">
        <v>176</v>
      </c>
      <c r="C62" t="s">
        <v>177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6.2</v>
      </c>
      <c r="AE62">
        <v>241</v>
      </c>
      <c r="AF62">
        <v>36.596750930277921</v>
      </c>
      <c r="AG62">
        <v>39.946909777730362</v>
      </c>
      <c r="AH62">
        <f>20.6463399056363*1</f>
        <v>20.6463399056363</v>
      </c>
      <c r="AI62">
        <f>1.57006657702198*1</f>
        <v>1.5700665770219799</v>
      </c>
      <c r="AJ62">
        <v>1</v>
      </c>
      <c r="AK62">
        <v>0</v>
      </c>
      <c r="AL62">
        <v>0</v>
      </c>
    </row>
    <row r="63" spans="1:38" hidden="1" x14ac:dyDescent="0.2">
      <c r="A63" t="s">
        <v>178</v>
      </c>
      <c r="B63" t="s">
        <v>179</v>
      </c>
      <c r="C63" t="s">
        <v>179</v>
      </c>
      <c r="D63" t="s">
        <v>6</v>
      </c>
      <c r="E63">
        <v>0</v>
      </c>
      <c r="F63">
        <v>0</v>
      </c>
      <c r="G63">
        <v>0</v>
      </c>
      <c r="H63">
        <v>1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5.9</v>
      </c>
      <c r="AE63">
        <v>251</v>
      </c>
      <c r="AF63">
        <v>28.13698630136988</v>
      </c>
      <c r="AG63">
        <v>36.304183785339227</v>
      </c>
      <c r="AH63">
        <f>10.1114595831788*1</f>
        <v>10.111459583178799</v>
      </c>
      <c r="AI63">
        <f>0.760896248529147*1</f>
        <v>0.76089624852914695</v>
      </c>
      <c r="AJ63">
        <v>1</v>
      </c>
      <c r="AK63">
        <v>0</v>
      </c>
      <c r="AL63">
        <v>0</v>
      </c>
    </row>
    <row r="64" spans="1:38" hidden="1" x14ac:dyDescent="0.2">
      <c r="A64" t="s">
        <v>180</v>
      </c>
      <c r="B64" t="s">
        <v>181</v>
      </c>
      <c r="C64" t="s">
        <v>181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6.7</v>
      </c>
      <c r="AE64">
        <v>259</v>
      </c>
      <c r="AF64">
        <v>50.566929133858252</v>
      </c>
      <c r="AG64">
        <v>41.147486184219026</v>
      </c>
      <c r="AH64">
        <f>39.7279669785159*1</f>
        <v>39.727966978515902</v>
      </c>
      <c r="AI64">
        <f>3.00928576456381*1</f>
        <v>3.0092857645638098</v>
      </c>
      <c r="AJ64">
        <v>1</v>
      </c>
      <c r="AK64">
        <v>0</v>
      </c>
      <c r="AL64">
        <v>0</v>
      </c>
    </row>
    <row r="65" spans="1:38" hidden="1" x14ac:dyDescent="0.2">
      <c r="A65" t="s">
        <v>155</v>
      </c>
      <c r="B65" t="s">
        <v>182</v>
      </c>
      <c r="C65" t="s">
        <v>182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4.5999999999999996</v>
      </c>
      <c r="AE65">
        <v>260</v>
      </c>
      <c r="AF65">
        <v>39.661016949152533</v>
      </c>
      <c r="AG65">
        <v>35.889948559980418</v>
      </c>
      <c r="AH65">
        <f>25.1740785722222*1</f>
        <v>25.1740785722222</v>
      </c>
      <c r="AI65">
        <f>1.84095511973997*1</f>
        <v>1.8409551197399701</v>
      </c>
      <c r="AJ65">
        <v>1</v>
      </c>
      <c r="AK65">
        <v>0</v>
      </c>
      <c r="AL65">
        <v>0</v>
      </c>
    </row>
    <row r="66" spans="1:38" hidden="1" x14ac:dyDescent="0.2">
      <c r="A66" t="s">
        <v>183</v>
      </c>
      <c r="B66" t="s">
        <v>184</v>
      </c>
      <c r="C66" t="s">
        <v>184</v>
      </c>
      <c r="D66" t="s">
        <v>3</v>
      </c>
      <c r="E66">
        <v>1</v>
      </c>
      <c r="F66">
        <v>0</v>
      </c>
      <c r="G66">
        <v>0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4.5</v>
      </c>
      <c r="AE66">
        <v>261</v>
      </c>
      <c r="AF66">
        <v>49.69158878504669</v>
      </c>
      <c r="AG66">
        <v>54.650622931665353</v>
      </c>
      <c r="AH66">
        <f>21.3927070592194*1</f>
        <v>21.392707059219401</v>
      </c>
      <c r="AI66">
        <f>1.55652555193922*1</f>
        <v>1.55652555193922</v>
      </c>
      <c r="AJ66">
        <v>1</v>
      </c>
      <c r="AK66">
        <v>0</v>
      </c>
      <c r="AL66">
        <v>0</v>
      </c>
    </row>
    <row r="67" spans="1:38" hidden="1" x14ac:dyDescent="0.2">
      <c r="A67" t="s">
        <v>185</v>
      </c>
      <c r="B67" t="s">
        <v>186</v>
      </c>
      <c r="C67" t="s">
        <v>186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4.9000000000000004</v>
      </c>
      <c r="AE67">
        <v>263</v>
      </c>
      <c r="AF67">
        <v>27.614379084967279</v>
      </c>
      <c r="AG67">
        <v>27.075043807849958</v>
      </c>
      <c r="AH67">
        <f>16.9635270825329*1</f>
        <v>16.963527082532899</v>
      </c>
      <c r="AI67">
        <f>1.3038590370835*1</f>
        <v>1.3038590370834999</v>
      </c>
      <c r="AJ67">
        <v>1</v>
      </c>
      <c r="AK67">
        <v>0</v>
      </c>
      <c r="AL67">
        <v>0</v>
      </c>
    </row>
    <row r="68" spans="1:38" hidden="1" x14ac:dyDescent="0.2">
      <c r="A68" t="s">
        <v>187</v>
      </c>
      <c r="B68" t="s">
        <v>188</v>
      </c>
      <c r="C68" t="s">
        <v>189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4.8</v>
      </c>
      <c r="AE68">
        <v>265</v>
      </c>
      <c r="AF68">
        <v>25.838625485092049</v>
      </c>
      <c r="AG68">
        <v>27.13948569826643</v>
      </c>
      <c r="AH68">
        <f>10.7091241951563*1</f>
        <v>10.709124195156299</v>
      </c>
      <c r="AI68">
        <f>0.820212708310395*1</f>
        <v>0.82021270831039494</v>
      </c>
      <c r="AJ68">
        <v>1</v>
      </c>
      <c r="AK68">
        <v>0</v>
      </c>
      <c r="AL68">
        <v>0</v>
      </c>
    </row>
    <row r="69" spans="1:38" hidden="1" x14ac:dyDescent="0.2">
      <c r="A69" t="s">
        <v>190</v>
      </c>
      <c r="B69" t="s">
        <v>191</v>
      </c>
      <c r="C69" t="s">
        <v>191</v>
      </c>
      <c r="D69" t="s">
        <v>6</v>
      </c>
      <c r="E69">
        <v>0</v>
      </c>
      <c r="F69">
        <v>0</v>
      </c>
      <c r="G69">
        <v>0</v>
      </c>
      <c r="H69">
        <v>1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7.3</v>
      </c>
      <c r="AE69">
        <v>266</v>
      </c>
      <c r="AF69">
        <v>74.795575028812408</v>
      </c>
      <c r="AG69">
        <v>36.373391021541408</v>
      </c>
      <c r="AH69">
        <f>39.8832256804766*1</f>
        <v>39.883225680476599</v>
      </c>
      <c r="AI69">
        <f>3.04868356518757*1</f>
        <v>3.0486835651875701</v>
      </c>
      <c r="AJ69">
        <v>1</v>
      </c>
      <c r="AK69">
        <v>0</v>
      </c>
      <c r="AL69">
        <v>0</v>
      </c>
    </row>
    <row r="70" spans="1:38" hidden="1" x14ac:dyDescent="0.2">
      <c r="A70" t="s">
        <v>192</v>
      </c>
      <c r="B70" t="s">
        <v>193</v>
      </c>
      <c r="C70" t="s">
        <v>193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4.8</v>
      </c>
      <c r="AE70">
        <v>269</v>
      </c>
      <c r="AF70">
        <v>38.569536423841072</v>
      </c>
      <c r="AG70">
        <v>35.196536806527291</v>
      </c>
      <c r="AH70">
        <f>25.7184947326832*1</f>
        <v>25.718494732683201</v>
      </c>
      <c r="AI70">
        <f>1.88949613754923*1</f>
        <v>1.8894961375492301</v>
      </c>
      <c r="AJ70">
        <v>1</v>
      </c>
      <c r="AK70">
        <v>0</v>
      </c>
      <c r="AL70">
        <v>0</v>
      </c>
    </row>
    <row r="71" spans="1:38" hidden="1" x14ac:dyDescent="0.2">
      <c r="A71" t="s">
        <v>194</v>
      </c>
      <c r="B71" t="s">
        <v>195</v>
      </c>
      <c r="C71" t="s">
        <v>195</v>
      </c>
      <c r="D71" t="s">
        <v>4</v>
      </c>
      <c r="E71">
        <v>0</v>
      </c>
      <c r="F71">
        <v>1</v>
      </c>
      <c r="G71">
        <v>0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4.8</v>
      </c>
      <c r="AE71">
        <v>270</v>
      </c>
      <c r="AF71">
        <v>0</v>
      </c>
      <c r="AG71">
        <v>0</v>
      </c>
      <c r="AH71">
        <f>0*1</f>
        <v>0</v>
      </c>
      <c r="AI71">
        <f>0*1</f>
        <v>0</v>
      </c>
      <c r="AJ71">
        <v>1</v>
      </c>
      <c r="AK71">
        <v>0</v>
      </c>
      <c r="AL71">
        <v>0</v>
      </c>
    </row>
    <row r="72" spans="1:38" hidden="1" x14ac:dyDescent="0.2">
      <c r="A72" t="s">
        <v>196</v>
      </c>
      <c r="B72" t="s">
        <v>197</v>
      </c>
      <c r="C72" t="s">
        <v>198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5.6</v>
      </c>
      <c r="AE72">
        <v>277</v>
      </c>
      <c r="AF72">
        <v>45.301633411108689</v>
      </c>
      <c r="AG72">
        <v>37.456043880495777</v>
      </c>
      <c r="AH72">
        <f>22.6852179313144*1</f>
        <v>22.685217931314401</v>
      </c>
      <c r="AI72">
        <f>1.7488294984694*1</f>
        <v>1.7488294984693999</v>
      </c>
      <c r="AJ72">
        <v>1</v>
      </c>
      <c r="AK72">
        <v>0</v>
      </c>
      <c r="AL72">
        <v>0</v>
      </c>
    </row>
    <row r="73" spans="1:38" hidden="1" x14ac:dyDescent="0.2">
      <c r="A73" t="s">
        <v>199</v>
      </c>
      <c r="B73" t="s">
        <v>200</v>
      </c>
      <c r="C73" t="s">
        <v>201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5.0999999999999996</v>
      </c>
      <c r="AE73">
        <v>288</v>
      </c>
      <c r="AF73">
        <v>39.718592964824133</v>
      </c>
      <c r="AG73">
        <v>42.868536972258397</v>
      </c>
      <c r="AH73">
        <f>20.6625182764885*1</f>
        <v>20.662518276488498</v>
      </c>
      <c r="AI73">
        <f>1.54648271435653*1</f>
        <v>1.5464827143565301</v>
      </c>
      <c r="AJ73">
        <v>1</v>
      </c>
      <c r="AK73">
        <v>0</v>
      </c>
      <c r="AL73">
        <v>0</v>
      </c>
    </row>
    <row r="74" spans="1:38" hidden="1" x14ac:dyDescent="0.2">
      <c r="A74" t="s">
        <v>202</v>
      </c>
      <c r="B74" t="s">
        <v>203</v>
      </c>
      <c r="C74" t="s">
        <v>203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5.4</v>
      </c>
      <c r="AE74">
        <v>291</v>
      </c>
      <c r="AF74">
        <v>42.968337563018402</v>
      </c>
      <c r="AG74">
        <v>46.824526335702913</v>
      </c>
      <c r="AH74">
        <f>22.2083537177249*1</f>
        <v>22.208353717724901</v>
      </c>
      <c r="AI74">
        <f>1.43167593460585*1</f>
        <v>1.4316759346058501</v>
      </c>
      <c r="AJ74">
        <v>1</v>
      </c>
      <c r="AK74">
        <v>0</v>
      </c>
      <c r="AL74">
        <v>0</v>
      </c>
    </row>
    <row r="75" spans="1:38" hidden="1" x14ac:dyDescent="0.2">
      <c r="A75" t="s">
        <v>204</v>
      </c>
      <c r="B75" t="s">
        <v>205</v>
      </c>
      <c r="C75" t="s">
        <v>206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4.8</v>
      </c>
      <c r="AE75">
        <v>293</v>
      </c>
      <c r="AF75">
        <v>30.0625</v>
      </c>
      <c r="AG75">
        <v>28.823200255615539</v>
      </c>
      <c r="AH75">
        <f>26.7786758945681*1</f>
        <v>26.778675894568099</v>
      </c>
      <c r="AI75">
        <f>2.07149003405448*1</f>
        <v>2.07149003405448</v>
      </c>
      <c r="AJ75">
        <v>1</v>
      </c>
      <c r="AK75">
        <v>0</v>
      </c>
      <c r="AL75">
        <v>0</v>
      </c>
    </row>
    <row r="76" spans="1:38" hidden="1" x14ac:dyDescent="0.2">
      <c r="A76" t="s">
        <v>207</v>
      </c>
      <c r="B76" t="s">
        <v>208</v>
      </c>
      <c r="C76" t="s">
        <v>208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5.2</v>
      </c>
      <c r="AE76">
        <v>295</v>
      </c>
      <c r="AF76">
        <v>33.486917707554632</v>
      </c>
      <c r="AG76">
        <v>45.328306877834528</v>
      </c>
      <c r="AH76">
        <f>9.60966310031297*1</f>
        <v>9.6096631003129698</v>
      </c>
      <c r="AI76">
        <f>0.812856926473417*1</f>
        <v>0.81285692647341701</v>
      </c>
      <c r="AJ76">
        <v>1</v>
      </c>
      <c r="AK76">
        <v>0</v>
      </c>
      <c r="AL76">
        <v>0</v>
      </c>
    </row>
    <row r="77" spans="1:38" hidden="1" x14ac:dyDescent="0.2">
      <c r="A77" t="s">
        <v>209</v>
      </c>
      <c r="B77" t="s">
        <v>210</v>
      </c>
      <c r="C77" t="s">
        <v>210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4.4000000000000004</v>
      </c>
      <c r="AE77">
        <v>302</v>
      </c>
      <c r="AF77">
        <v>37.873582447505058</v>
      </c>
      <c r="AG77">
        <v>45.578849595665787</v>
      </c>
      <c r="AH77">
        <f>20.5436254655868*1</f>
        <v>20.5436254655868</v>
      </c>
      <c r="AI77">
        <f>1.32195860275571*1</f>
        <v>1.32195860275571</v>
      </c>
      <c r="AJ77">
        <v>1</v>
      </c>
      <c r="AK77">
        <v>0</v>
      </c>
      <c r="AL77">
        <v>0</v>
      </c>
    </row>
    <row r="78" spans="1:38" x14ac:dyDescent="0.2">
      <c r="A78" t="s">
        <v>419</v>
      </c>
      <c r="B78" t="s">
        <v>420</v>
      </c>
      <c r="C78" t="s">
        <v>421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6.8</v>
      </c>
      <c r="AE78">
        <v>743</v>
      </c>
      <c r="AF78">
        <v>69.421356094920924</v>
      </c>
      <c r="AG78">
        <v>44.461767656135947</v>
      </c>
      <c r="AH78">
        <f>73.5065828789544*1</f>
        <v>73.506582878954404</v>
      </c>
      <c r="AI78">
        <f>5.61228123427549*1</f>
        <v>5.61228123427549</v>
      </c>
      <c r="AJ78">
        <v>1</v>
      </c>
      <c r="AK78">
        <v>1</v>
      </c>
      <c r="AL78">
        <v>1</v>
      </c>
    </row>
    <row r="79" spans="1:38" x14ac:dyDescent="0.2">
      <c r="A79" t="s">
        <v>96</v>
      </c>
      <c r="B79" t="s">
        <v>97</v>
      </c>
      <c r="C79" t="s">
        <v>98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14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5.0999999999999996</v>
      </c>
      <c r="AE79">
        <v>92</v>
      </c>
      <c r="AF79">
        <v>106.37838497408249</v>
      </c>
      <c r="AG79">
        <v>21.45710827903816</v>
      </c>
      <c r="AH79">
        <f>139.316893496837*1</f>
        <v>139.316893496837</v>
      </c>
      <c r="AI79">
        <f>5.4408619056802*1</f>
        <v>5.4408619056802001</v>
      </c>
      <c r="AJ79">
        <v>1</v>
      </c>
      <c r="AK79">
        <v>1</v>
      </c>
      <c r="AL79">
        <v>1</v>
      </c>
    </row>
    <row r="80" spans="1:38" hidden="1" x14ac:dyDescent="0.2">
      <c r="A80" t="s">
        <v>215</v>
      </c>
      <c r="B80" t="s">
        <v>216</v>
      </c>
      <c r="C80" t="s">
        <v>216</v>
      </c>
      <c r="D80" t="s">
        <v>4</v>
      </c>
      <c r="E80">
        <v>0</v>
      </c>
      <c r="F80">
        <v>1</v>
      </c>
      <c r="G80">
        <v>0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4.5999999999999996</v>
      </c>
      <c r="AE80">
        <v>308</v>
      </c>
      <c r="AF80">
        <v>33.690140845070417</v>
      </c>
      <c r="AG80">
        <v>29.05236573921696</v>
      </c>
      <c r="AH80">
        <f>33.8910644163424*1</f>
        <v>33.891064416342402</v>
      </c>
      <c r="AI80">
        <f>2.54408369489804*1</f>
        <v>2.5440836948980401</v>
      </c>
      <c r="AJ80">
        <v>1</v>
      </c>
      <c r="AK80">
        <v>0</v>
      </c>
      <c r="AL80">
        <v>0</v>
      </c>
    </row>
    <row r="81" spans="1:38" hidden="1" x14ac:dyDescent="0.2">
      <c r="A81" t="s">
        <v>217</v>
      </c>
      <c r="B81" t="s">
        <v>218</v>
      </c>
      <c r="C81" t="s">
        <v>218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316</v>
      </c>
      <c r="AF81">
        <v>25.400000000000009</v>
      </c>
      <c r="AG81">
        <v>19.368672720415962</v>
      </c>
      <c r="AH81">
        <f>16.818840958441*1</f>
        <v>16.818840958441001</v>
      </c>
      <c r="AI81">
        <f>1.28469286519503*1</f>
        <v>1.28469286519503</v>
      </c>
      <c r="AJ81">
        <v>1</v>
      </c>
      <c r="AK81">
        <v>0</v>
      </c>
      <c r="AL81">
        <v>0</v>
      </c>
    </row>
    <row r="82" spans="1:38" hidden="1" x14ac:dyDescent="0.2">
      <c r="A82" t="s">
        <v>219</v>
      </c>
      <c r="B82" t="s">
        <v>220</v>
      </c>
      <c r="C82" t="s">
        <v>220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5.2</v>
      </c>
      <c r="AE82">
        <v>323</v>
      </c>
      <c r="AF82">
        <v>42.545454545454547</v>
      </c>
      <c r="AG82">
        <v>39.370300417596418</v>
      </c>
      <c r="AH82">
        <f>24.8254143031602*1</f>
        <v>24.825414303160201</v>
      </c>
      <c r="AI82">
        <f>2.01422759084799*1</f>
        <v>2.0142275908479901</v>
      </c>
      <c r="AJ82">
        <v>1</v>
      </c>
      <c r="AK82">
        <v>0</v>
      </c>
      <c r="AL82">
        <v>0</v>
      </c>
    </row>
    <row r="83" spans="1:38" hidden="1" x14ac:dyDescent="0.2">
      <c r="A83" t="s">
        <v>221</v>
      </c>
      <c r="B83" t="s">
        <v>222</v>
      </c>
      <c r="C83" t="s">
        <v>221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4.5999999999999996</v>
      </c>
      <c r="AE83">
        <v>325</v>
      </c>
      <c r="AF83">
        <v>33.356597646183367</v>
      </c>
      <c r="AG83">
        <v>40.954714220680728</v>
      </c>
      <c r="AH83">
        <f>21.9091709955229*1</f>
        <v>21.909170995522899</v>
      </c>
      <c r="AI83">
        <f>1.74029101411738*1</f>
        <v>1.74029101411738</v>
      </c>
      <c r="AJ83">
        <v>1</v>
      </c>
      <c r="AK83">
        <v>0</v>
      </c>
      <c r="AL83">
        <v>0</v>
      </c>
    </row>
    <row r="84" spans="1:38" hidden="1" x14ac:dyDescent="0.2">
      <c r="A84" t="s">
        <v>223</v>
      </c>
      <c r="B84" t="s">
        <v>224</v>
      </c>
      <c r="C84" t="s">
        <v>223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4.9000000000000004</v>
      </c>
      <c r="AE84">
        <v>326</v>
      </c>
      <c r="AF84">
        <v>43.428571428571402</v>
      </c>
      <c r="AG84">
        <v>46.617561237820567</v>
      </c>
      <c r="AH84">
        <f>23.062307747448*1</f>
        <v>23.062307747447999</v>
      </c>
      <c r="AI84">
        <f>1.74345094311882*1</f>
        <v>1.7434509431188201</v>
      </c>
      <c r="AJ84">
        <v>1</v>
      </c>
      <c r="AK84">
        <v>0</v>
      </c>
      <c r="AL84">
        <v>0</v>
      </c>
    </row>
    <row r="85" spans="1:38" hidden="1" x14ac:dyDescent="0.2">
      <c r="A85" t="s">
        <v>225</v>
      </c>
      <c r="B85" t="s">
        <v>226</v>
      </c>
      <c r="C85" t="s">
        <v>226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4.5</v>
      </c>
      <c r="AE85">
        <v>327</v>
      </c>
      <c r="AF85">
        <v>30.41509433962263</v>
      </c>
      <c r="AG85">
        <v>29.324476770375139</v>
      </c>
      <c r="AH85">
        <f>20.7193084612669*1</f>
        <v>20.719308461266898</v>
      </c>
      <c r="AI85">
        <f>1.4615300014738*1</f>
        <v>1.4615300014738</v>
      </c>
      <c r="AJ85">
        <v>1</v>
      </c>
      <c r="AK85">
        <v>0</v>
      </c>
      <c r="AL85">
        <v>0</v>
      </c>
    </row>
    <row r="86" spans="1:38" hidden="1" x14ac:dyDescent="0.2">
      <c r="A86" t="s">
        <v>227</v>
      </c>
      <c r="B86" t="s">
        <v>228</v>
      </c>
      <c r="C86" t="s">
        <v>228</v>
      </c>
      <c r="D86" t="s">
        <v>5</v>
      </c>
      <c r="E86">
        <v>0</v>
      </c>
      <c r="F86">
        <v>0</v>
      </c>
      <c r="G86">
        <v>1</v>
      </c>
      <c r="H86">
        <v>0</v>
      </c>
      <c r="I86" t="s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5.7</v>
      </c>
      <c r="AE86">
        <v>333</v>
      </c>
      <c r="AF86">
        <v>49.122819205109892</v>
      </c>
      <c r="AG86">
        <v>34.330056526710472</v>
      </c>
      <c r="AH86">
        <f>49.2654870071247*1</f>
        <v>49.265487007124698</v>
      </c>
      <c r="AI86">
        <f>3.85955852223536*1</f>
        <v>3.8595585222353601</v>
      </c>
      <c r="AJ86">
        <v>1</v>
      </c>
      <c r="AK86">
        <v>0</v>
      </c>
      <c r="AL86">
        <v>0</v>
      </c>
    </row>
    <row r="87" spans="1:38" hidden="1" x14ac:dyDescent="0.2">
      <c r="A87" t="s">
        <v>229</v>
      </c>
      <c r="B87" t="s">
        <v>230</v>
      </c>
      <c r="C87" t="s">
        <v>230</v>
      </c>
      <c r="D87" t="s">
        <v>3</v>
      </c>
      <c r="E87">
        <v>1</v>
      </c>
      <c r="F87">
        <v>0</v>
      </c>
      <c r="G87">
        <v>0</v>
      </c>
      <c r="H87">
        <v>0</v>
      </c>
      <c r="I87" t="s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</v>
      </c>
      <c r="AE87">
        <v>334</v>
      </c>
      <c r="AF87">
        <v>46.154732129976757</v>
      </c>
      <c r="AG87">
        <v>46.549025497283239</v>
      </c>
      <c r="AH87">
        <f>23.4532148858018*1</f>
        <v>23.453214885801799</v>
      </c>
      <c r="AI87">
        <f>1.94082487217909*1</f>
        <v>1.9408248721790899</v>
      </c>
      <c r="AJ87">
        <v>1</v>
      </c>
      <c r="AK87">
        <v>0</v>
      </c>
      <c r="AL87">
        <v>0</v>
      </c>
    </row>
    <row r="88" spans="1:38" hidden="1" x14ac:dyDescent="0.2">
      <c r="A88" t="s">
        <v>231</v>
      </c>
      <c r="B88" t="s">
        <v>232</v>
      </c>
      <c r="C88" t="s">
        <v>232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4.8</v>
      </c>
      <c r="AE88">
        <v>335</v>
      </c>
      <c r="AF88">
        <v>0</v>
      </c>
      <c r="AG88">
        <v>0</v>
      </c>
      <c r="AH88">
        <f>0*1</f>
        <v>0</v>
      </c>
      <c r="AI88">
        <f>0*1</f>
        <v>0</v>
      </c>
      <c r="AJ88">
        <v>1</v>
      </c>
      <c r="AK88">
        <v>0</v>
      </c>
      <c r="AL88">
        <v>0</v>
      </c>
    </row>
    <row r="89" spans="1:38" hidden="1" x14ac:dyDescent="0.2">
      <c r="A89" t="s">
        <v>233</v>
      </c>
      <c r="B89" t="s">
        <v>234</v>
      </c>
      <c r="C89" t="s">
        <v>235</v>
      </c>
      <c r="D89" t="s">
        <v>6</v>
      </c>
      <c r="E89">
        <v>0</v>
      </c>
      <c r="F89">
        <v>0</v>
      </c>
      <c r="G89">
        <v>0</v>
      </c>
      <c r="H89">
        <v>1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5.5</v>
      </c>
      <c r="AE89">
        <v>337</v>
      </c>
      <c r="AF89">
        <v>0</v>
      </c>
      <c r="AG89">
        <v>0</v>
      </c>
      <c r="AH89">
        <f>0*1</f>
        <v>0</v>
      </c>
      <c r="AI89">
        <f>0*1</f>
        <v>0</v>
      </c>
      <c r="AJ89">
        <v>1</v>
      </c>
      <c r="AK89">
        <v>0</v>
      </c>
      <c r="AL89">
        <v>0</v>
      </c>
    </row>
    <row r="90" spans="1:38" hidden="1" x14ac:dyDescent="0.2">
      <c r="A90" t="s">
        <v>236</v>
      </c>
      <c r="B90" t="s">
        <v>237</v>
      </c>
      <c r="C90" t="s">
        <v>236</v>
      </c>
      <c r="D90" t="s">
        <v>6</v>
      </c>
      <c r="E90">
        <v>0</v>
      </c>
      <c r="F90">
        <v>0</v>
      </c>
      <c r="G90">
        <v>0</v>
      </c>
      <c r="H90">
        <v>1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</v>
      </c>
      <c r="AE90">
        <v>338</v>
      </c>
      <c r="AF90">
        <v>53.287143689211007</v>
      </c>
      <c r="AG90">
        <v>53.936783535264397</v>
      </c>
      <c r="AH90">
        <f>39.6420982211896*1</f>
        <v>39.642098221189599</v>
      </c>
      <c r="AI90">
        <f>2.54901690420031*1</f>
        <v>2.5490169042003101</v>
      </c>
      <c r="AJ90">
        <v>1</v>
      </c>
      <c r="AK90">
        <v>0</v>
      </c>
      <c r="AL90">
        <v>0</v>
      </c>
    </row>
    <row r="91" spans="1:38" x14ac:dyDescent="0.2">
      <c r="A91" t="s">
        <v>359</v>
      </c>
      <c r="B91" t="s">
        <v>360</v>
      </c>
      <c r="C91" t="s">
        <v>359</v>
      </c>
      <c r="D91" t="s">
        <v>4</v>
      </c>
      <c r="E91">
        <v>0</v>
      </c>
      <c r="F91">
        <v>1</v>
      </c>
      <c r="G91">
        <v>0</v>
      </c>
      <c r="H91">
        <v>0</v>
      </c>
      <c r="I91" t="s">
        <v>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4.7</v>
      </c>
      <c r="AE91">
        <v>592</v>
      </c>
      <c r="AF91">
        <v>33.660714285714292</v>
      </c>
      <c r="AG91">
        <v>31.933594786621221</v>
      </c>
      <c r="AH91">
        <f>65.489660789817*1</f>
        <v>65.489660789816995</v>
      </c>
      <c r="AI91">
        <f>5.07255614921385*1</f>
        <v>5.0725561492138498</v>
      </c>
      <c r="AJ91">
        <v>1</v>
      </c>
      <c r="AK91">
        <v>1</v>
      </c>
      <c r="AL91">
        <v>1</v>
      </c>
    </row>
    <row r="92" spans="1:38" hidden="1" x14ac:dyDescent="0.2">
      <c r="A92" t="s">
        <v>240</v>
      </c>
      <c r="B92" t="s">
        <v>241</v>
      </c>
      <c r="C92" t="s">
        <v>241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5.2</v>
      </c>
      <c r="AE92">
        <v>345</v>
      </c>
      <c r="AF92">
        <v>35.982142857142861</v>
      </c>
      <c r="AG92">
        <v>30.197575800239392</v>
      </c>
      <c r="AH92">
        <f>37.4274856792282*1</f>
        <v>37.427485679228198</v>
      </c>
      <c r="AI92">
        <f>2.81507897957797*1</f>
        <v>2.81507897957797</v>
      </c>
      <c r="AJ92">
        <v>1</v>
      </c>
      <c r="AK92">
        <v>0</v>
      </c>
      <c r="AL92">
        <v>0</v>
      </c>
    </row>
    <row r="93" spans="1:38" hidden="1" x14ac:dyDescent="0.2">
      <c r="A93" t="s">
        <v>242</v>
      </c>
      <c r="B93" t="s">
        <v>243</v>
      </c>
      <c r="C93" t="s">
        <v>243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</v>
      </c>
      <c r="AE93">
        <v>350</v>
      </c>
      <c r="AF93">
        <v>27.743902439024389</v>
      </c>
      <c r="AG93">
        <v>29.744113248144171</v>
      </c>
      <c r="AH93">
        <f>12.0668931234219*1</f>
        <v>12.066893123421901</v>
      </c>
      <c r="AI93">
        <f>0.922286268610916*1</f>
        <v>0.922286268610916</v>
      </c>
      <c r="AJ93">
        <v>1</v>
      </c>
      <c r="AK93">
        <v>0</v>
      </c>
      <c r="AL93">
        <v>0</v>
      </c>
    </row>
    <row r="94" spans="1:38" hidden="1" x14ac:dyDescent="0.2">
      <c r="A94" t="s">
        <v>244</v>
      </c>
      <c r="B94" t="s">
        <v>245</v>
      </c>
      <c r="C94" t="s">
        <v>245</v>
      </c>
      <c r="D94" t="s">
        <v>3</v>
      </c>
      <c r="E94">
        <v>1</v>
      </c>
      <c r="F94">
        <v>0</v>
      </c>
      <c r="G94">
        <v>0</v>
      </c>
      <c r="H94">
        <v>0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4.4000000000000004</v>
      </c>
      <c r="AE94">
        <v>381</v>
      </c>
      <c r="AF94">
        <v>0</v>
      </c>
      <c r="AG94">
        <v>0</v>
      </c>
      <c r="AH94">
        <f>0*1</f>
        <v>0</v>
      </c>
      <c r="AI94">
        <f>0*1</f>
        <v>0</v>
      </c>
      <c r="AJ94">
        <v>1</v>
      </c>
      <c r="AK94">
        <v>0</v>
      </c>
      <c r="AL94">
        <v>0</v>
      </c>
    </row>
    <row r="95" spans="1:38" hidden="1" x14ac:dyDescent="0.2">
      <c r="A95" t="s">
        <v>246</v>
      </c>
      <c r="B95" t="s">
        <v>247</v>
      </c>
      <c r="C95" t="s">
        <v>247</v>
      </c>
      <c r="D95" t="s">
        <v>4</v>
      </c>
      <c r="E95">
        <v>0</v>
      </c>
      <c r="F95">
        <v>1</v>
      </c>
      <c r="G95">
        <v>0</v>
      </c>
      <c r="H95">
        <v>0</v>
      </c>
      <c r="I95" t="s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386</v>
      </c>
      <c r="AF95">
        <v>21.34567901234567</v>
      </c>
      <c r="AG95">
        <v>23.69598700401221</v>
      </c>
      <c r="AH95">
        <f>13.7560412858884*1</f>
        <v>13.756041285888401</v>
      </c>
      <c r="AI95">
        <f>1.04546572040981*1</f>
        <v>1.0454657204098099</v>
      </c>
      <c r="AJ95">
        <v>1</v>
      </c>
      <c r="AK95">
        <v>0</v>
      </c>
      <c r="AL95">
        <v>0</v>
      </c>
    </row>
    <row r="96" spans="1:38" hidden="1" x14ac:dyDescent="0.2">
      <c r="A96" t="s">
        <v>248</v>
      </c>
      <c r="B96" t="s">
        <v>249</v>
      </c>
      <c r="C96" t="s">
        <v>249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4.7</v>
      </c>
      <c r="AE96">
        <v>392</v>
      </c>
      <c r="AF96">
        <v>31.473684210526329</v>
      </c>
      <c r="AG96">
        <v>38.887122068835637</v>
      </c>
      <c r="AH96">
        <f>23.8515759227802*1</f>
        <v>23.851575922780199</v>
      </c>
      <c r="AI96">
        <f>1.72310738539701*1</f>
        <v>1.72310738539701</v>
      </c>
      <c r="AJ96">
        <v>1</v>
      </c>
      <c r="AK96">
        <v>0</v>
      </c>
      <c r="AL96">
        <v>0</v>
      </c>
    </row>
    <row r="97" spans="1:38" hidden="1" x14ac:dyDescent="0.2">
      <c r="A97" t="s">
        <v>211</v>
      </c>
      <c r="B97" t="s">
        <v>250</v>
      </c>
      <c r="C97" t="s">
        <v>251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5.2</v>
      </c>
      <c r="AE97">
        <v>393</v>
      </c>
      <c r="AF97">
        <v>35.981042654028457</v>
      </c>
      <c r="AG97">
        <v>32.412221198094393</v>
      </c>
      <c r="AH97">
        <f>19.7930423892465*1</f>
        <v>19.793042389246502</v>
      </c>
      <c r="AI97">
        <f>1.52183238679934*1</f>
        <v>1.52183238679934</v>
      </c>
      <c r="AJ97">
        <v>1</v>
      </c>
      <c r="AK97">
        <v>0</v>
      </c>
      <c r="AL97">
        <v>0</v>
      </c>
    </row>
    <row r="98" spans="1:38" hidden="1" x14ac:dyDescent="0.2">
      <c r="A98" t="s">
        <v>252</v>
      </c>
      <c r="B98" t="s">
        <v>253</v>
      </c>
      <c r="C98" t="s">
        <v>254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4.4000000000000004</v>
      </c>
      <c r="AE98">
        <v>395</v>
      </c>
      <c r="AF98">
        <v>21.007986760248809</v>
      </c>
      <c r="AG98">
        <v>22.924014298563169</v>
      </c>
      <c r="AH98">
        <f>8.59041447539368*1</f>
        <v>8.5904144753936809</v>
      </c>
      <c r="AI98">
        <f>0.659563362404094*1</f>
        <v>0.65956336240409397</v>
      </c>
      <c r="AJ98">
        <v>1</v>
      </c>
      <c r="AK98">
        <v>0</v>
      </c>
      <c r="AL98">
        <v>0</v>
      </c>
    </row>
    <row r="99" spans="1:38" hidden="1" x14ac:dyDescent="0.2">
      <c r="A99" t="s">
        <v>255</v>
      </c>
      <c r="B99" t="s">
        <v>256</v>
      </c>
      <c r="C99" t="s">
        <v>256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4.4000000000000004</v>
      </c>
      <c r="AE99">
        <v>406</v>
      </c>
      <c r="AF99">
        <v>0</v>
      </c>
      <c r="AG99">
        <v>0</v>
      </c>
      <c r="AH99">
        <f>0*1</f>
        <v>0</v>
      </c>
      <c r="AI99">
        <f>0*1</f>
        <v>0</v>
      </c>
      <c r="AJ99">
        <v>1</v>
      </c>
      <c r="AK99">
        <v>0</v>
      </c>
      <c r="AL99">
        <v>0</v>
      </c>
    </row>
    <row r="100" spans="1:38" hidden="1" x14ac:dyDescent="0.2">
      <c r="A100" t="s">
        <v>257</v>
      </c>
      <c r="B100" t="s">
        <v>258</v>
      </c>
      <c r="C100" t="s">
        <v>258</v>
      </c>
      <c r="D100" t="s">
        <v>6</v>
      </c>
      <c r="E100">
        <v>0</v>
      </c>
      <c r="F100">
        <v>0</v>
      </c>
      <c r="G100">
        <v>0</v>
      </c>
      <c r="H100">
        <v>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5.4</v>
      </c>
      <c r="AE100">
        <v>416</v>
      </c>
      <c r="AF100">
        <v>45.60855080473619</v>
      </c>
      <c r="AG100">
        <v>70.033056910896647</v>
      </c>
      <c r="AH100">
        <f>21.6827986014087*1</f>
        <v>21.682798601408699</v>
      </c>
      <c r="AI100">
        <f>1.34317628922091*1</f>
        <v>1.34317628922091</v>
      </c>
      <c r="AJ100">
        <v>1</v>
      </c>
      <c r="AK100">
        <v>0</v>
      </c>
      <c r="AL100">
        <v>0</v>
      </c>
    </row>
    <row r="101" spans="1:38" hidden="1" x14ac:dyDescent="0.2">
      <c r="A101" t="s">
        <v>240</v>
      </c>
      <c r="B101" t="s">
        <v>259</v>
      </c>
      <c r="C101" t="s">
        <v>259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4.4000000000000004</v>
      </c>
      <c r="AE101">
        <v>419</v>
      </c>
      <c r="AF101">
        <v>22.80273206575637</v>
      </c>
      <c r="AG101">
        <v>22.068080927811241</v>
      </c>
      <c r="AH101">
        <f>18.2057532868998*1</f>
        <v>18.2057532868998</v>
      </c>
      <c r="AI101">
        <f>1.3315473194482*1</f>
        <v>1.3315473194481999</v>
      </c>
      <c r="AJ101">
        <v>1</v>
      </c>
      <c r="AK101">
        <v>0</v>
      </c>
      <c r="AL101">
        <v>0</v>
      </c>
    </row>
    <row r="102" spans="1:38" hidden="1" x14ac:dyDescent="0.2">
      <c r="A102" t="s">
        <v>260</v>
      </c>
      <c r="B102" t="s">
        <v>261</v>
      </c>
      <c r="C102" t="s">
        <v>261</v>
      </c>
      <c r="D102" t="s">
        <v>4</v>
      </c>
      <c r="E102">
        <v>0</v>
      </c>
      <c r="F102">
        <v>1</v>
      </c>
      <c r="G102">
        <v>0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7.4</v>
      </c>
      <c r="AE102">
        <v>430</v>
      </c>
      <c r="AF102">
        <v>61.741751437632843</v>
      </c>
      <c r="AG102">
        <v>64.145159161334632</v>
      </c>
      <c r="AH102">
        <f>36.233084559683*1</f>
        <v>36.233084559683</v>
      </c>
      <c r="AI102">
        <f>2.98991912539655*1</f>
        <v>2.98991912539655</v>
      </c>
      <c r="AJ102">
        <v>1</v>
      </c>
      <c r="AK102">
        <v>0</v>
      </c>
      <c r="AL102">
        <v>0</v>
      </c>
    </row>
    <row r="103" spans="1:38" hidden="1" x14ac:dyDescent="0.2">
      <c r="A103" t="s">
        <v>262</v>
      </c>
      <c r="B103" t="s">
        <v>263</v>
      </c>
      <c r="C103" t="s">
        <v>262</v>
      </c>
      <c r="D103" t="s">
        <v>6</v>
      </c>
      <c r="E103">
        <v>0</v>
      </c>
      <c r="F103">
        <v>0</v>
      </c>
      <c r="G103">
        <v>0</v>
      </c>
      <c r="H103">
        <v>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</v>
      </c>
      <c r="AE103">
        <v>434</v>
      </c>
      <c r="AF103">
        <v>40.8888888888889</v>
      </c>
      <c r="AG103">
        <v>51.247427659805879</v>
      </c>
      <c r="AH103">
        <f>17.1444540741859*1</f>
        <v>17.144454074185902</v>
      </c>
      <c r="AI103">
        <f>1.35738087495564*1</f>
        <v>1.35738087495564</v>
      </c>
      <c r="AJ103">
        <v>1</v>
      </c>
      <c r="AK103">
        <v>0</v>
      </c>
      <c r="AL103">
        <v>0</v>
      </c>
    </row>
    <row r="104" spans="1:38" hidden="1" x14ac:dyDescent="0.2">
      <c r="A104" t="s">
        <v>264</v>
      </c>
      <c r="B104" t="s">
        <v>265</v>
      </c>
      <c r="C104" t="s">
        <v>265</v>
      </c>
      <c r="D104" t="s">
        <v>6</v>
      </c>
      <c r="E104">
        <v>0</v>
      </c>
      <c r="F104">
        <v>0</v>
      </c>
      <c r="G104">
        <v>0</v>
      </c>
      <c r="H104">
        <v>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7.6</v>
      </c>
      <c r="AE104">
        <v>439</v>
      </c>
      <c r="AF104">
        <v>42.038073874776103</v>
      </c>
      <c r="AG104">
        <v>33.225382015811853</v>
      </c>
      <c r="AH104">
        <f>32.3271990182714*1</f>
        <v>32.327199018271401</v>
      </c>
      <c r="AI104">
        <f>2.92300612898852*1</f>
        <v>2.9230061289885199</v>
      </c>
      <c r="AJ104">
        <v>1</v>
      </c>
      <c r="AK104">
        <v>0</v>
      </c>
      <c r="AL104">
        <v>0</v>
      </c>
    </row>
    <row r="105" spans="1:38" hidden="1" x14ac:dyDescent="0.2">
      <c r="A105" t="s">
        <v>88</v>
      </c>
      <c r="B105" t="s">
        <v>266</v>
      </c>
      <c r="C105" t="s">
        <v>266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441</v>
      </c>
      <c r="AF105">
        <v>0</v>
      </c>
      <c r="AG105">
        <v>0</v>
      </c>
      <c r="AH105">
        <f>0*1</f>
        <v>0</v>
      </c>
      <c r="AI105">
        <f>0*1</f>
        <v>0</v>
      </c>
      <c r="AJ105">
        <v>1</v>
      </c>
      <c r="AK105">
        <v>0</v>
      </c>
      <c r="AL105">
        <v>0</v>
      </c>
    </row>
    <row r="106" spans="1:38" hidden="1" x14ac:dyDescent="0.2">
      <c r="A106" t="s">
        <v>267</v>
      </c>
      <c r="B106" t="s">
        <v>268</v>
      </c>
      <c r="C106" t="s">
        <v>268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5.3</v>
      </c>
      <c r="AE106">
        <v>442</v>
      </c>
      <c r="AF106">
        <v>27.84466019417475</v>
      </c>
      <c r="AG106">
        <v>21.61107399272602</v>
      </c>
      <c r="AH106">
        <f>18.8468732371055*1</f>
        <v>18.846873237105498</v>
      </c>
      <c r="AI106">
        <f>1.61347617510332*1</f>
        <v>1.61347617510332</v>
      </c>
      <c r="AJ106">
        <v>1</v>
      </c>
      <c r="AK106">
        <v>0</v>
      </c>
      <c r="AL106">
        <v>0</v>
      </c>
    </row>
    <row r="107" spans="1:38" hidden="1" x14ac:dyDescent="0.2">
      <c r="A107" t="s">
        <v>269</v>
      </c>
      <c r="B107" t="s">
        <v>270</v>
      </c>
      <c r="C107" t="s">
        <v>270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5.2</v>
      </c>
      <c r="AE107">
        <v>444</v>
      </c>
      <c r="AF107">
        <v>36.241961185702593</v>
      </c>
      <c r="AG107">
        <v>29.765068225049522</v>
      </c>
      <c r="AH107">
        <f>25.7551188342041*1</f>
        <v>25.755118834204101</v>
      </c>
      <c r="AI107">
        <f>2.39734211403093*1</f>
        <v>2.3973421140309301</v>
      </c>
      <c r="AJ107">
        <v>1</v>
      </c>
      <c r="AK107">
        <v>0</v>
      </c>
      <c r="AL107">
        <v>0</v>
      </c>
    </row>
    <row r="108" spans="1:38" hidden="1" x14ac:dyDescent="0.2">
      <c r="A108" t="s">
        <v>271</v>
      </c>
      <c r="B108" t="s">
        <v>272</v>
      </c>
      <c r="C108" t="s">
        <v>273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7.5</v>
      </c>
      <c r="AE108">
        <v>445</v>
      </c>
      <c r="AF108">
        <v>47.142857142857153</v>
      </c>
      <c r="AG108">
        <v>62.953789228628708</v>
      </c>
      <c r="AH108">
        <f>48.3886382904408*1</f>
        <v>48.388638290440802</v>
      </c>
      <c r="AI108">
        <f>4.32044058428923*1</f>
        <v>4.3204405842892299</v>
      </c>
      <c r="AJ108">
        <v>1</v>
      </c>
      <c r="AK108">
        <v>0</v>
      </c>
      <c r="AL108">
        <v>0</v>
      </c>
    </row>
    <row r="109" spans="1:38" x14ac:dyDescent="0.2">
      <c r="A109" t="s">
        <v>117</v>
      </c>
      <c r="B109" t="s">
        <v>118</v>
      </c>
      <c r="C109" t="s">
        <v>118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15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7.9</v>
      </c>
      <c r="AE109">
        <v>132</v>
      </c>
      <c r="AF109">
        <v>70.753303028199753</v>
      </c>
      <c r="AG109">
        <v>49.562968634051458</v>
      </c>
      <c r="AH109">
        <f>65.5394879825403*1</f>
        <v>65.539487982540294</v>
      </c>
      <c r="AI109">
        <f>4.84979074065269*1</f>
        <v>4.8497907406526899</v>
      </c>
      <c r="AJ109">
        <v>1</v>
      </c>
      <c r="AK109">
        <v>1</v>
      </c>
      <c r="AL109">
        <v>1</v>
      </c>
    </row>
    <row r="110" spans="1:38" hidden="1" x14ac:dyDescent="0.2">
      <c r="A110" t="s">
        <v>277</v>
      </c>
      <c r="B110" t="s">
        <v>278</v>
      </c>
      <c r="C110" t="s">
        <v>278</v>
      </c>
      <c r="D110" t="s">
        <v>5</v>
      </c>
      <c r="E110">
        <v>0</v>
      </c>
      <c r="F110">
        <v>0</v>
      </c>
      <c r="G110">
        <v>1</v>
      </c>
      <c r="H110">
        <v>0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6.2</v>
      </c>
      <c r="AE110">
        <v>447</v>
      </c>
      <c r="AF110">
        <v>36.229996258793413</v>
      </c>
      <c r="AG110">
        <v>42.751159839020261</v>
      </c>
      <c r="AH110">
        <f>30.7140388643264*1</f>
        <v>30.714038864326401</v>
      </c>
      <c r="AI110">
        <f>2.56443828072969*1</f>
        <v>2.5644382807296902</v>
      </c>
      <c r="AJ110">
        <v>1</v>
      </c>
      <c r="AK110">
        <v>0</v>
      </c>
      <c r="AL110">
        <v>0</v>
      </c>
    </row>
    <row r="111" spans="1:38" hidden="1" x14ac:dyDescent="0.2">
      <c r="A111" t="s">
        <v>279</v>
      </c>
      <c r="B111" t="s">
        <v>280</v>
      </c>
      <c r="C111" t="s">
        <v>280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5.9</v>
      </c>
      <c r="AE111">
        <v>453</v>
      </c>
      <c r="AF111">
        <v>29.399522168034249</v>
      </c>
      <c r="AG111">
        <v>51.640170459484473</v>
      </c>
      <c r="AH111">
        <f>14.8866481996138*1</f>
        <v>14.8866481996138</v>
      </c>
      <c r="AI111">
        <f>1.19530435472033*1</f>
        <v>1.1953043547203299</v>
      </c>
      <c r="AJ111">
        <v>1</v>
      </c>
      <c r="AK111">
        <v>0</v>
      </c>
      <c r="AL111">
        <v>0</v>
      </c>
    </row>
    <row r="112" spans="1:38" hidden="1" x14ac:dyDescent="0.2">
      <c r="A112" t="s">
        <v>281</v>
      </c>
      <c r="B112" t="s">
        <v>282</v>
      </c>
      <c r="C112" t="s">
        <v>282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6.3</v>
      </c>
      <c r="AE112">
        <v>454</v>
      </c>
      <c r="AF112">
        <v>42.155607293808089</v>
      </c>
      <c r="AG112">
        <v>28.875004866416401</v>
      </c>
      <c r="AH112">
        <f>21.3001984418978*1</f>
        <v>21.300198441897798</v>
      </c>
      <c r="AI112">
        <f>1.21412412119464*1</f>
        <v>1.2141241211946401</v>
      </c>
      <c r="AJ112">
        <v>1</v>
      </c>
      <c r="AK112">
        <v>0</v>
      </c>
      <c r="AL112">
        <v>0</v>
      </c>
    </row>
    <row r="113" spans="1:38" hidden="1" x14ac:dyDescent="0.2">
      <c r="A113" t="s">
        <v>283</v>
      </c>
      <c r="B113" t="s">
        <v>284</v>
      </c>
      <c r="C113" t="s">
        <v>283</v>
      </c>
      <c r="D113" t="s">
        <v>4</v>
      </c>
      <c r="E113">
        <v>0</v>
      </c>
      <c r="F113">
        <v>1</v>
      </c>
      <c r="G113">
        <v>0</v>
      </c>
      <c r="H113">
        <v>0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6.4</v>
      </c>
      <c r="AE113">
        <v>456</v>
      </c>
      <c r="AF113">
        <v>43.458325906443008</v>
      </c>
      <c r="AG113">
        <v>57.138814670948712</v>
      </c>
      <c r="AH113">
        <f>22.3977077879301*1</f>
        <v>22.397707787930099</v>
      </c>
      <c r="AI113">
        <f>2.01654855109561*1</f>
        <v>2.0165485510956098</v>
      </c>
      <c r="AJ113">
        <v>1</v>
      </c>
      <c r="AK113">
        <v>0</v>
      </c>
      <c r="AL113">
        <v>0</v>
      </c>
    </row>
    <row r="114" spans="1:38" hidden="1" x14ac:dyDescent="0.2">
      <c r="A114" t="s">
        <v>285</v>
      </c>
      <c r="B114" t="s">
        <v>286</v>
      </c>
      <c r="C114" t="s">
        <v>286</v>
      </c>
      <c r="D114" t="s">
        <v>4</v>
      </c>
      <c r="E114">
        <v>0</v>
      </c>
      <c r="F114">
        <v>1</v>
      </c>
      <c r="G114">
        <v>0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5.3</v>
      </c>
      <c r="AE114">
        <v>464</v>
      </c>
      <c r="AF114">
        <v>39.648965068492629</v>
      </c>
      <c r="AG114">
        <v>46.396959241874448</v>
      </c>
      <c r="AH114">
        <f>25.0831547639037*1</f>
        <v>25.0831547639037</v>
      </c>
      <c r="AI114">
        <f>1.84227266110785*1</f>
        <v>1.8422726611078499</v>
      </c>
      <c r="AJ114">
        <v>1</v>
      </c>
      <c r="AK114">
        <v>0</v>
      </c>
      <c r="AL114">
        <v>0</v>
      </c>
    </row>
    <row r="115" spans="1:38" hidden="1" x14ac:dyDescent="0.2">
      <c r="A115" t="s">
        <v>287</v>
      </c>
      <c r="B115" t="s">
        <v>288</v>
      </c>
      <c r="C115" t="s">
        <v>287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6.2</v>
      </c>
      <c r="AE115">
        <v>466</v>
      </c>
      <c r="AF115">
        <v>46.341176470588223</v>
      </c>
      <c r="AG115">
        <v>57.351378908632093</v>
      </c>
      <c r="AH115">
        <f>22.151261011483*1</f>
        <v>22.151261011483001</v>
      </c>
      <c r="AI115">
        <f>1.70103610090214*1</f>
        <v>1.70103610090214</v>
      </c>
      <c r="AJ115">
        <v>1</v>
      </c>
      <c r="AK115">
        <v>0</v>
      </c>
      <c r="AL115">
        <v>0</v>
      </c>
    </row>
    <row r="116" spans="1:38" hidden="1" x14ac:dyDescent="0.2">
      <c r="A116" t="s">
        <v>289</v>
      </c>
      <c r="B116" t="s">
        <v>290</v>
      </c>
      <c r="C116" t="s">
        <v>290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9.3000000000000007</v>
      </c>
      <c r="AE116">
        <v>472</v>
      </c>
      <c r="AF116">
        <v>79.048882661080881</v>
      </c>
      <c r="AG116">
        <v>54.642217690719207</v>
      </c>
      <c r="AH116">
        <f>50.6258896204036*1</f>
        <v>50.625889620403598</v>
      </c>
      <c r="AI116">
        <f>4.13375305999153*1</f>
        <v>4.1337530599915304</v>
      </c>
      <c r="AJ116">
        <v>1</v>
      </c>
      <c r="AK116">
        <v>0</v>
      </c>
      <c r="AL116">
        <v>0</v>
      </c>
    </row>
    <row r="117" spans="1:38" hidden="1" x14ac:dyDescent="0.2">
      <c r="A117" t="s">
        <v>291</v>
      </c>
      <c r="B117" t="s">
        <v>292</v>
      </c>
      <c r="C117" t="s">
        <v>292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5.9</v>
      </c>
      <c r="AE117">
        <v>474</v>
      </c>
      <c r="AF117">
        <v>50.215686274509792</v>
      </c>
      <c r="AG117">
        <v>53.387010059873887</v>
      </c>
      <c r="AH117">
        <f>41.4394315826203*1</f>
        <v>41.439431582620301</v>
      </c>
      <c r="AI117">
        <f>3.30951854386544*1</f>
        <v>3.30951854386544</v>
      </c>
      <c r="AJ117">
        <v>1</v>
      </c>
      <c r="AK117">
        <v>0</v>
      </c>
      <c r="AL117">
        <v>0</v>
      </c>
    </row>
    <row r="118" spans="1:38" hidden="1" x14ac:dyDescent="0.2">
      <c r="A118" t="s">
        <v>293</v>
      </c>
      <c r="B118" t="s">
        <v>294</v>
      </c>
      <c r="C118" t="s">
        <v>294</v>
      </c>
      <c r="D118" t="s">
        <v>6</v>
      </c>
      <c r="E118">
        <v>0</v>
      </c>
      <c r="F118">
        <v>0</v>
      </c>
      <c r="G118">
        <v>0</v>
      </c>
      <c r="H118">
        <v>1</v>
      </c>
      <c r="I118" t="s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14.7</v>
      </c>
      <c r="AE118">
        <v>475</v>
      </c>
      <c r="AF118">
        <v>95.435294117647075</v>
      </c>
      <c r="AG118">
        <v>127.53018904072491</v>
      </c>
      <c r="AH118">
        <f>45.3485862149585*1</f>
        <v>45.348586214958502</v>
      </c>
      <c r="AI118">
        <f>3.00340012747499*1</f>
        <v>3.0034001274749902</v>
      </c>
      <c r="AJ118">
        <v>1</v>
      </c>
      <c r="AK118">
        <v>0</v>
      </c>
      <c r="AL118">
        <v>0</v>
      </c>
    </row>
    <row r="119" spans="1:38" hidden="1" x14ac:dyDescent="0.2">
      <c r="A119" t="s">
        <v>295</v>
      </c>
      <c r="B119" t="s">
        <v>296</v>
      </c>
      <c r="C119" t="s">
        <v>296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5.4</v>
      </c>
      <c r="AE119">
        <v>478</v>
      </c>
      <c r="AF119">
        <v>0</v>
      </c>
      <c r="AG119">
        <v>0</v>
      </c>
      <c r="AH119">
        <f>0*1</f>
        <v>0</v>
      </c>
      <c r="AI119">
        <f>0*1</f>
        <v>0</v>
      </c>
      <c r="AJ119">
        <v>1</v>
      </c>
      <c r="AK119">
        <v>0</v>
      </c>
      <c r="AL119">
        <v>0</v>
      </c>
    </row>
    <row r="120" spans="1:38" hidden="1" x14ac:dyDescent="0.2">
      <c r="A120" t="s">
        <v>297</v>
      </c>
      <c r="B120" t="s">
        <v>90</v>
      </c>
      <c r="C120" t="s">
        <v>90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4.4000000000000004</v>
      </c>
      <c r="AE120">
        <v>479</v>
      </c>
      <c r="AF120">
        <v>0</v>
      </c>
      <c r="AG120">
        <v>0</v>
      </c>
      <c r="AH120">
        <f>0*1</f>
        <v>0</v>
      </c>
      <c r="AI120">
        <f>0*1</f>
        <v>0</v>
      </c>
      <c r="AJ120">
        <v>1</v>
      </c>
      <c r="AK120">
        <v>0</v>
      </c>
      <c r="AL120">
        <v>0</v>
      </c>
    </row>
    <row r="121" spans="1:38" hidden="1" x14ac:dyDescent="0.2">
      <c r="A121" t="s">
        <v>298</v>
      </c>
      <c r="B121" t="s">
        <v>299</v>
      </c>
      <c r="C121" t="s">
        <v>299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6.3</v>
      </c>
      <c r="AE121">
        <v>489</v>
      </c>
      <c r="AF121">
        <v>49.521342653881703</v>
      </c>
      <c r="AG121">
        <v>49.171287351535412</v>
      </c>
      <c r="AH121">
        <f>22.4596603792315*1</f>
        <v>22.459660379231501</v>
      </c>
      <c r="AI121">
        <f>1.78347164771805*1</f>
        <v>1.7834716477180499</v>
      </c>
      <c r="AJ121">
        <v>1</v>
      </c>
      <c r="AK121">
        <v>0</v>
      </c>
      <c r="AL121">
        <v>0</v>
      </c>
    </row>
    <row r="122" spans="1:38" hidden="1" x14ac:dyDescent="0.2">
      <c r="A122" t="s">
        <v>300</v>
      </c>
      <c r="B122" t="s">
        <v>301</v>
      </c>
      <c r="C122" t="s">
        <v>300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5.5</v>
      </c>
      <c r="AE122">
        <v>502</v>
      </c>
      <c r="AF122">
        <v>0</v>
      </c>
      <c r="AG122">
        <v>0</v>
      </c>
      <c r="AH122">
        <f>0*1</f>
        <v>0</v>
      </c>
      <c r="AI122">
        <f>0*1</f>
        <v>0</v>
      </c>
      <c r="AJ122">
        <v>1</v>
      </c>
      <c r="AK122">
        <v>0</v>
      </c>
      <c r="AL122">
        <v>0</v>
      </c>
    </row>
    <row r="123" spans="1:38" hidden="1" x14ac:dyDescent="0.2">
      <c r="A123" t="s">
        <v>302</v>
      </c>
      <c r="B123" t="s">
        <v>303</v>
      </c>
      <c r="C123" t="s">
        <v>304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8.3000000000000007</v>
      </c>
      <c r="AE123">
        <v>504</v>
      </c>
      <c r="AF123">
        <v>59</v>
      </c>
      <c r="AG123">
        <v>47.943811061400318</v>
      </c>
      <c r="AH123">
        <f>42.3328393877668*1</f>
        <v>42.332839387766803</v>
      </c>
      <c r="AI123">
        <f>3.22350002436817*1</f>
        <v>3.2235000243681702</v>
      </c>
      <c r="AJ123">
        <v>1</v>
      </c>
      <c r="AK123">
        <v>0</v>
      </c>
      <c r="AL123">
        <v>0</v>
      </c>
    </row>
    <row r="124" spans="1:38" hidden="1" x14ac:dyDescent="0.2">
      <c r="A124" t="s">
        <v>305</v>
      </c>
      <c r="B124" t="s">
        <v>306</v>
      </c>
      <c r="C124" t="s">
        <v>307</v>
      </c>
      <c r="D124" t="s">
        <v>4</v>
      </c>
      <c r="E124">
        <v>0</v>
      </c>
      <c r="F124">
        <v>1</v>
      </c>
      <c r="G124">
        <v>0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507</v>
      </c>
      <c r="AF124">
        <v>41.662650602409641</v>
      </c>
      <c r="AG124">
        <v>44.500386080917608</v>
      </c>
      <c r="AH124">
        <f>18.4481349674136*1</f>
        <v>18.448134967413601</v>
      </c>
      <c r="AI124">
        <f>1.24719373374165*1</f>
        <v>1.2471937337416501</v>
      </c>
      <c r="AJ124">
        <v>1</v>
      </c>
      <c r="AK124">
        <v>0</v>
      </c>
      <c r="AL124">
        <v>0</v>
      </c>
    </row>
    <row r="125" spans="1:38" hidden="1" x14ac:dyDescent="0.2">
      <c r="A125" t="s">
        <v>308</v>
      </c>
      <c r="B125" t="s">
        <v>309</v>
      </c>
      <c r="C125" t="s">
        <v>309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5.9</v>
      </c>
      <c r="AE125">
        <v>510</v>
      </c>
      <c r="AF125">
        <v>33.899787055187971</v>
      </c>
      <c r="AG125">
        <v>47.588216504076783</v>
      </c>
      <c r="AH125">
        <f>22.5448383454237*1</f>
        <v>22.544838345423699</v>
      </c>
      <c r="AI125">
        <f>1.74124356736101*1</f>
        <v>1.74124356736101</v>
      </c>
      <c r="AJ125">
        <v>1</v>
      </c>
      <c r="AK125">
        <v>0</v>
      </c>
      <c r="AL125">
        <v>0</v>
      </c>
    </row>
    <row r="126" spans="1:38" hidden="1" x14ac:dyDescent="0.2">
      <c r="A126" t="s">
        <v>310</v>
      </c>
      <c r="B126" t="s">
        <v>311</v>
      </c>
      <c r="C126" t="s">
        <v>311</v>
      </c>
      <c r="D126" t="s">
        <v>6</v>
      </c>
      <c r="E126">
        <v>0</v>
      </c>
      <c r="F126">
        <v>0</v>
      </c>
      <c r="G126">
        <v>0</v>
      </c>
      <c r="H126">
        <v>1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6.9</v>
      </c>
      <c r="AE126">
        <v>513</v>
      </c>
      <c r="AF126">
        <v>0</v>
      </c>
      <c r="AG126">
        <v>0</v>
      </c>
      <c r="AH126">
        <f>0*1</f>
        <v>0</v>
      </c>
      <c r="AI126">
        <f>0*1</f>
        <v>0</v>
      </c>
      <c r="AJ126">
        <v>1</v>
      </c>
      <c r="AK126">
        <v>0</v>
      </c>
      <c r="AL126">
        <v>0</v>
      </c>
    </row>
    <row r="127" spans="1:38" hidden="1" x14ac:dyDescent="0.2">
      <c r="A127" t="s">
        <v>240</v>
      </c>
      <c r="B127" t="s">
        <v>312</v>
      </c>
      <c r="C127" t="s">
        <v>312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4.9000000000000004</v>
      </c>
      <c r="AE127">
        <v>515</v>
      </c>
      <c r="AF127">
        <v>37.313513513513492</v>
      </c>
      <c r="AG127">
        <v>39.954817759451593</v>
      </c>
      <c r="AH127">
        <f>14.2244876797218*1</f>
        <v>14.224487679721801</v>
      </c>
      <c r="AI127">
        <f>1.07998858538186*1</f>
        <v>1.07998858538186</v>
      </c>
      <c r="AJ127">
        <v>1</v>
      </c>
      <c r="AK127">
        <v>0</v>
      </c>
      <c r="AL127">
        <v>0</v>
      </c>
    </row>
    <row r="128" spans="1:38" hidden="1" x14ac:dyDescent="0.2">
      <c r="A128" t="s">
        <v>313</v>
      </c>
      <c r="B128" t="s">
        <v>314</v>
      </c>
      <c r="C128" t="s">
        <v>314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5.2</v>
      </c>
      <c r="AE128">
        <v>516</v>
      </c>
      <c r="AF128">
        <v>0</v>
      </c>
      <c r="AG128">
        <v>0</v>
      </c>
      <c r="AH128">
        <f>0*1</f>
        <v>0</v>
      </c>
      <c r="AI128">
        <f>0*1</f>
        <v>0</v>
      </c>
      <c r="AJ128">
        <v>1</v>
      </c>
      <c r="AK128">
        <v>0</v>
      </c>
      <c r="AL128">
        <v>0</v>
      </c>
    </row>
    <row r="129" spans="1:38" hidden="1" x14ac:dyDescent="0.2">
      <c r="A129" t="s">
        <v>315</v>
      </c>
      <c r="B129" t="s">
        <v>316</v>
      </c>
      <c r="C129" t="s">
        <v>76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4.4000000000000004</v>
      </c>
      <c r="AE129">
        <v>518</v>
      </c>
      <c r="AF129">
        <v>37.581818181818178</v>
      </c>
      <c r="AG129">
        <v>32.386368412762373</v>
      </c>
      <c r="AH129">
        <f>41.2285347562113*1</f>
        <v>41.228534756211303</v>
      </c>
      <c r="AI129">
        <f>3.12555579919559*1</f>
        <v>3.12555579919559</v>
      </c>
      <c r="AJ129">
        <v>1</v>
      </c>
      <c r="AK129">
        <v>0</v>
      </c>
      <c r="AL129">
        <v>0</v>
      </c>
    </row>
    <row r="130" spans="1:38" x14ac:dyDescent="0.2">
      <c r="A130" t="s">
        <v>346</v>
      </c>
      <c r="B130" t="s">
        <v>347</v>
      </c>
      <c r="C130" t="s">
        <v>347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5.4</v>
      </c>
      <c r="AE130">
        <v>578</v>
      </c>
      <c r="AF130">
        <v>48.320754716981142</v>
      </c>
      <c r="AG130">
        <v>43.546957426497393</v>
      </c>
      <c r="AH130">
        <f>52.5699787844706*1</f>
        <v>52.569978784470599</v>
      </c>
      <c r="AI130">
        <f>4.19325143997001*1</f>
        <v>4.1932514399700098</v>
      </c>
      <c r="AJ130">
        <v>1</v>
      </c>
      <c r="AK130">
        <v>1</v>
      </c>
      <c r="AL130">
        <v>1</v>
      </c>
    </row>
    <row r="131" spans="1:38" hidden="1" x14ac:dyDescent="0.2">
      <c r="A131" t="s">
        <v>319</v>
      </c>
      <c r="B131" t="s">
        <v>320</v>
      </c>
      <c r="C131" t="s">
        <v>320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5.9</v>
      </c>
      <c r="AE131">
        <v>545</v>
      </c>
      <c r="AF131">
        <v>49.44382022471909</v>
      </c>
      <c r="AG131">
        <v>50.453214724757537</v>
      </c>
      <c r="AH131">
        <f>26.6900622918251*1</f>
        <v>26.6900622918251</v>
      </c>
      <c r="AI131">
        <f>1.97012715595594*1</f>
        <v>1.9701271559559399</v>
      </c>
      <c r="AJ131">
        <v>1</v>
      </c>
      <c r="AK131">
        <v>0</v>
      </c>
      <c r="AL131">
        <v>0</v>
      </c>
    </row>
    <row r="132" spans="1:38" hidden="1" x14ac:dyDescent="0.2">
      <c r="A132" t="s">
        <v>302</v>
      </c>
      <c r="B132" t="s">
        <v>321</v>
      </c>
      <c r="C132" t="s">
        <v>322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6.1</v>
      </c>
      <c r="AE132">
        <v>547</v>
      </c>
      <c r="AF132">
        <v>48.657142857142837</v>
      </c>
      <c r="AG132">
        <v>52.953290756202328</v>
      </c>
      <c r="AH132">
        <f>38.2239620548787*1</f>
        <v>38.223962054878697</v>
      </c>
      <c r="AI132">
        <f>2.84746951427946*1</f>
        <v>2.8474695142794602</v>
      </c>
      <c r="AJ132">
        <v>1</v>
      </c>
      <c r="AK132">
        <v>0</v>
      </c>
      <c r="AL132">
        <v>0</v>
      </c>
    </row>
    <row r="133" spans="1:38" hidden="1" x14ac:dyDescent="0.2">
      <c r="A133" t="s">
        <v>323</v>
      </c>
      <c r="B133" t="s">
        <v>324</v>
      </c>
      <c r="C133" t="s">
        <v>324</v>
      </c>
      <c r="D133" t="s">
        <v>4</v>
      </c>
      <c r="E133">
        <v>0</v>
      </c>
      <c r="F133">
        <v>1</v>
      </c>
      <c r="G133">
        <v>0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4.4000000000000004</v>
      </c>
      <c r="AE133">
        <v>548</v>
      </c>
      <c r="AF133">
        <v>37.758426966292149</v>
      </c>
      <c r="AG133">
        <v>37.114305325420332</v>
      </c>
      <c r="AH133">
        <f>24.5818623915219*1</f>
        <v>24.581862391521899</v>
      </c>
      <c r="AI133">
        <f>1.87843158848188*1</f>
        <v>1.8784315884818801</v>
      </c>
      <c r="AJ133">
        <v>1</v>
      </c>
      <c r="AK133">
        <v>0</v>
      </c>
      <c r="AL133">
        <v>0</v>
      </c>
    </row>
    <row r="134" spans="1:38" hidden="1" x14ac:dyDescent="0.2">
      <c r="A134" t="s">
        <v>325</v>
      </c>
      <c r="B134" t="s">
        <v>326</v>
      </c>
      <c r="C134" t="s">
        <v>326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7.5</v>
      </c>
      <c r="AE134">
        <v>550</v>
      </c>
      <c r="AF134">
        <v>43.63490586606089</v>
      </c>
      <c r="AG134">
        <v>44.094927845331597</v>
      </c>
      <c r="AH134">
        <f>21.450055491415*1</f>
        <v>21.450055491415</v>
      </c>
      <c r="AI134">
        <f>1.88170232340897*1</f>
        <v>1.88170232340897</v>
      </c>
      <c r="AJ134">
        <v>1</v>
      </c>
      <c r="AK134">
        <v>0</v>
      </c>
      <c r="AL134">
        <v>0</v>
      </c>
    </row>
    <row r="135" spans="1:38" hidden="1" x14ac:dyDescent="0.2">
      <c r="A135" t="s">
        <v>90</v>
      </c>
      <c r="B135" t="s">
        <v>327</v>
      </c>
      <c r="C135" t="s">
        <v>327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551</v>
      </c>
      <c r="AF135">
        <v>0</v>
      </c>
      <c r="AG135">
        <v>0</v>
      </c>
      <c r="AH135">
        <f>0*1</f>
        <v>0</v>
      </c>
      <c r="AI135">
        <f>0*1</f>
        <v>0</v>
      </c>
      <c r="AJ135">
        <v>1</v>
      </c>
      <c r="AK135">
        <v>1</v>
      </c>
      <c r="AL135">
        <v>0</v>
      </c>
    </row>
    <row r="136" spans="1:38" x14ac:dyDescent="0.2">
      <c r="A136" t="s">
        <v>126</v>
      </c>
      <c r="B136" t="s">
        <v>127</v>
      </c>
      <c r="C136" t="s">
        <v>127</v>
      </c>
      <c r="D136" t="s">
        <v>6</v>
      </c>
      <c r="E136">
        <v>0</v>
      </c>
      <c r="F136">
        <v>0</v>
      </c>
      <c r="G136">
        <v>0</v>
      </c>
      <c r="H136">
        <v>1</v>
      </c>
      <c r="I136" t="s">
        <v>15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6.3</v>
      </c>
      <c r="AE136">
        <v>143</v>
      </c>
      <c r="AF136">
        <v>55.212686275767886</v>
      </c>
      <c r="AG136">
        <v>36.839054903745648</v>
      </c>
      <c r="AH136">
        <f>49.5879225681006*1</f>
        <v>49.587922568100602</v>
      </c>
      <c r="AI136">
        <f>3.69038965953682*1</f>
        <v>3.69038965953682</v>
      </c>
      <c r="AJ136">
        <v>1</v>
      </c>
      <c r="AK136">
        <v>1</v>
      </c>
      <c r="AL136">
        <v>1</v>
      </c>
    </row>
    <row r="137" spans="1:38" x14ac:dyDescent="0.2">
      <c r="A137" t="s">
        <v>238</v>
      </c>
      <c r="B137" t="s">
        <v>239</v>
      </c>
      <c r="C137" t="s">
        <v>239</v>
      </c>
      <c r="D137" t="s">
        <v>4</v>
      </c>
      <c r="E137">
        <v>0</v>
      </c>
      <c r="F137">
        <v>1</v>
      </c>
      <c r="G137">
        <v>0</v>
      </c>
      <c r="H137">
        <v>0</v>
      </c>
      <c r="I137" t="s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5.0999999999999996</v>
      </c>
      <c r="AE137">
        <v>341</v>
      </c>
      <c r="AF137">
        <v>42.117511753115892</v>
      </c>
      <c r="AG137">
        <v>28.03477498167522</v>
      </c>
      <c r="AH137">
        <f>43.9397626644921*1</f>
        <v>43.9397626644921</v>
      </c>
      <c r="AI137">
        <f>3.22959671191138*1</f>
        <v>3.22959671191138</v>
      </c>
      <c r="AJ137">
        <v>1</v>
      </c>
      <c r="AK137">
        <v>0</v>
      </c>
      <c r="AL137">
        <v>1</v>
      </c>
    </row>
    <row r="138" spans="1:38" hidden="1" x14ac:dyDescent="0.2">
      <c r="A138" t="s">
        <v>333</v>
      </c>
      <c r="B138" t="s">
        <v>334</v>
      </c>
      <c r="C138" t="s">
        <v>335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555</v>
      </c>
      <c r="AF138">
        <v>41.91361445244825</v>
      </c>
      <c r="AG138">
        <v>34.008957643566767</v>
      </c>
      <c r="AH138">
        <f>37.0238482340807*1</f>
        <v>37.023848234080702</v>
      </c>
      <c r="AI138">
        <f>2.94779017769766*1</f>
        <v>2.9477901776976601</v>
      </c>
      <c r="AJ138">
        <v>1</v>
      </c>
      <c r="AK138">
        <v>0</v>
      </c>
      <c r="AL138">
        <v>0</v>
      </c>
    </row>
    <row r="139" spans="1:38" hidden="1" x14ac:dyDescent="0.2">
      <c r="A139" t="s">
        <v>336</v>
      </c>
      <c r="B139" t="s">
        <v>337</v>
      </c>
      <c r="C139" t="s">
        <v>337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4.5</v>
      </c>
      <c r="AE139">
        <v>561</v>
      </c>
      <c r="AF139">
        <v>28.856144055611839</v>
      </c>
      <c r="AG139">
        <v>37.801482298238803</v>
      </c>
      <c r="AH139">
        <f>19.5928856312944*1</f>
        <v>19.592885631294401</v>
      </c>
      <c r="AI139">
        <f>1.37635057550097*1</f>
        <v>1.37635057550097</v>
      </c>
      <c r="AJ139">
        <v>1</v>
      </c>
      <c r="AK139">
        <v>0</v>
      </c>
      <c r="AL139">
        <v>0</v>
      </c>
    </row>
    <row r="140" spans="1:38" hidden="1" x14ac:dyDescent="0.2">
      <c r="A140" t="s">
        <v>338</v>
      </c>
      <c r="B140" t="s">
        <v>339</v>
      </c>
      <c r="C140" t="s">
        <v>339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4.5</v>
      </c>
      <c r="AE140">
        <v>562</v>
      </c>
      <c r="AF140">
        <v>30.253086419753132</v>
      </c>
      <c r="AG140">
        <v>32.398079334564493</v>
      </c>
      <c r="AH140">
        <f>15.4787106355815*1</f>
        <v>15.4787106355815</v>
      </c>
      <c r="AI140">
        <f>1.18572698365951*1</f>
        <v>1.1857269836595099</v>
      </c>
      <c r="AJ140">
        <v>1</v>
      </c>
      <c r="AK140">
        <v>0</v>
      </c>
      <c r="AL140">
        <v>0</v>
      </c>
    </row>
    <row r="141" spans="1:38" hidden="1" x14ac:dyDescent="0.2">
      <c r="A141" t="s">
        <v>340</v>
      </c>
      <c r="B141" t="s">
        <v>341</v>
      </c>
      <c r="C141" t="s">
        <v>341</v>
      </c>
      <c r="D141" t="s">
        <v>4</v>
      </c>
      <c r="E141">
        <v>0</v>
      </c>
      <c r="F141">
        <v>1</v>
      </c>
      <c r="G141">
        <v>0</v>
      </c>
      <c r="H141">
        <v>0</v>
      </c>
      <c r="I14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5.4</v>
      </c>
      <c r="AE141">
        <v>567</v>
      </c>
      <c r="AF141">
        <v>37.262629210958359</v>
      </c>
      <c r="AG141">
        <v>38.3929537372033</v>
      </c>
      <c r="AH141">
        <f>19.2504617056625*1</f>
        <v>19.250461705662499</v>
      </c>
      <c r="AI141">
        <f>1.6663683014585*1</f>
        <v>1.6663683014585</v>
      </c>
      <c r="AJ141">
        <v>1</v>
      </c>
      <c r="AK141">
        <v>0</v>
      </c>
      <c r="AL141">
        <v>0</v>
      </c>
    </row>
    <row r="142" spans="1:38" hidden="1" x14ac:dyDescent="0.2">
      <c r="A142" t="s">
        <v>342</v>
      </c>
      <c r="B142" t="s">
        <v>343</v>
      </c>
      <c r="C142" t="s">
        <v>343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5.5</v>
      </c>
      <c r="AE142">
        <v>569</v>
      </c>
      <c r="AF142">
        <v>0</v>
      </c>
      <c r="AG142">
        <v>0</v>
      </c>
      <c r="AH142">
        <f>0*1</f>
        <v>0</v>
      </c>
      <c r="AI142">
        <f>0*1</f>
        <v>0</v>
      </c>
      <c r="AJ142">
        <v>1</v>
      </c>
      <c r="AK142">
        <v>0</v>
      </c>
      <c r="AL142">
        <v>0</v>
      </c>
    </row>
    <row r="143" spans="1:38" hidden="1" x14ac:dyDescent="0.2">
      <c r="A143" t="s">
        <v>344</v>
      </c>
      <c r="B143" t="s">
        <v>345</v>
      </c>
      <c r="C143" t="s">
        <v>345</v>
      </c>
      <c r="D143" t="s">
        <v>5</v>
      </c>
      <c r="E143">
        <v>0</v>
      </c>
      <c r="F143">
        <v>0</v>
      </c>
      <c r="G143">
        <v>1</v>
      </c>
      <c r="H143">
        <v>0</v>
      </c>
      <c r="I143" t="s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4.7</v>
      </c>
      <c r="AE143">
        <v>572</v>
      </c>
      <c r="AF143">
        <v>13</v>
      </c>
      <c r="AG143">
        <v>50.976525369388902</v>
      </c>
      <c r="AH143">
        <f>4.58209569020115*1</f>
        <v>4.5820956902011503</v>
      </c>
      <c r="AI143">
        <f>0.30656796534257*1</f>
        <v>0.30656796534257003</v>
      </c>
      <c r="AJ143">
        <v>1</v>
      </c>
      <c r="AK143">
        <v>0</v>
      </c>
      <c r="AL143">
        <v>0</v>
      </c>
    </row>
    <row r="144" spans="1:38" x14ac:dyDescent="0.2">
      <c r="A144" t="s">
        <v>317</v>
      </c>
      <c r="B144" t="s">
        <v>318</v>
      </c>
      <c r="C144" t="s">
        <v>318</v>
      </c>
      <c r="D144" t="s">
        <v>3</v>
      </c>
      <c r="E144">
        <v>1</v>
      </c>
      <c r="F144">
        <v>0</v>
      </c>
      <c r="G144">
        <v>0</v>
      </c>
      <c r="H144">
        <v>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</v>
      </c>
      <c r="AE144">
        <v>521</v>
      </c>
      <c r="AF144">
        <v>45.499999999999993</v>
      </c>
      <c r="AG144">
        <v>54.823966680398399</v>
      </c>
      <c r="AH144">
        <f>35.312827219242*1</f>
        <v>35.312827219242003</v>
      </c>
      <c r="AI144">
        <f>2.94755797335377*1</f>
        <v>2.9475579733537698</v>
      </c>
      <c r="AJ144">
        <v>1</v>
      </c>
      <c r="AK144">
        <v>1</v>
      </c>
      <c r="AL144">
        <v>1</v>
      </c>
    </row>
    <row r="145" spans="1:38" hidden="1" x14ac:dyDescent="0.2">
      <c r="A145" t="s">
        <v>348</v>
      </c>
      <c r="B145" t="s">
        <v>349</v>
      </c>
      <c r="C145" t="s">
        <v>349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5</v>
      </c>
      <c r="AE145">
        <v>579</v>
      </c>
      <c r="AF145">
        <v>39.006435610049763</v>
      </c>
      <c r="AG145">
        <v>19.993400169962111</v>
      </c>
      <c r="AH145">
        <f>29.6090996056622*1</f>
        <v>29.609099605662198</v>
      </c>
      <c r="AI145">
        <f>1.65410548386948*1</f>
        <v>1.65410548386948</v>
      </c>
      <c r="AJ145">
        <v>1</v>
      </c>
      <c r="AK145">
        <v>0</v>
      </c>
      <c r="AL145">
        <v>0</v>
      </c>
    </row>
    <row r="146" spans="1:38" hidden="1" x14ac:dyDescent="0.2">
      <c r="A146" t="s">
        <v>350</v>
      </c>
      <c r="B146" t="s">
        <v>351</v>
      </c>
      <c r="C146" t="s">
        <v>351</v>
      </c>
      <c r="D146" t="s">
        <v>6</v>
      </c>
      <c r="E146">
        <v>0</v>
      </c>
      <c r="F146">
        <v>0</v>
      </c>
      <c r="G146">
        <v>0</v>
      </c>
      <c r="H146">
        <v>1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5.5</v>
      </c>
      <c r="AE146">
        <v>580</v>
      </c>
      <c r="AF146">
        <v>17.319064517654699</v>
      </c>
      <c r="AG146">
        <v>49.578544869324958</v>
      </c>
      <c r="AH146">
        <f>4.27160036252656*1</f>
        <v>4.2716003625265602</v>
      </c>
      <c r="AI146">
        <f>0.296054695534091*1</f>
        <v>0.29605469553409097</v>
      </c>
      <c r="AJ146">
        <v>1</v>
      </c>
      <c r="AK146">
        <v>0</v>
      </c>
      <c r="AL146">
        <v>0</v>
      </c>
    </row>
    <row r="147" spans="1:38" hidden="1" x14ac:dyDescent="0.2">
      <c r="A147" t="s">
        <v>352</v>
      </c>
      <c r="B147" t="s">
        <v>353</v>
      </c>
      <c r="C147" t="s">
        <v>354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4.8</v>
      </c>
      <c r="AE147">
        <v>587</v>
      </c>
      <c r="AF147">
        <v>0</v>
      </c>
      <c r="AG147">
        <v>0</v>
      </c>
      <c r="AH147">
        <f>0*1</f>
        <v>0</v>
      </c>
      <c r="AI147">
        <f>0*1</f>
        <v>0</v>
      </c>
      <c r="AJ147">
        <v>1</v>
      </c>
      <c r="AK147">
        <v>0</v>
      </c>
      <c r="AL147">
        <v>0</v>
      </c>
    </row>
    <row r="148" spans="1:38" hidden="1" x14ac:dyDescent="0.2">
      <c r="A148" t="s">
        <v>325</v>
      </c>
      <c r="B148" t="s">
        <v>355</v>
      </c>
      <c r="C148" t="s">
        <v>355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5.3</v>
      </c>
      <c r="AE148">
        <v>588</v>
      </c>
      <c r="AF148">
        <v>38.330562287360713</v>
      </c>
      <c r="AG148">
        <v>28.096359322279429</v>
      </c>
      <c r="AH148">
        <f>30.4207456767972*1</f>
        <v>30.4207456767972</v>
      </c>
      <c r="AI148">
        <f>1.83775578653659*1</f>
        <v>1.8377557865365901</v>
      </c>
      <c r="AJ148">
        <v>1</v>
      </c>
      <c r="AK148">
        <v>0</v>
      </c>
      <c r="AL148">
        <v>0</v>
      </c>
    </row>
    <row r="149" spans="1:38" hidden="1" x14ac:dyDescent="0.2">
      <c r="A149" t="s">
        <v>81</v>
      </c>
      <c r="B149" t="s">
        <v>356</v>
      </c>
      <c r="C149" t="s">
        <v>356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6.5</v>
      </c>
      <c r="AE149">
        <v>589</v>
      </c>
      <c r="AF149">
        <v>68.563677506018962</v>
      </c>
      <c r="AG149">
        <v>35.903669900025669</v>
      </c>
      <c r="AH149">
        <f>67.561694724744*1</f>
        <v>67.561694724744001</v>
      </c>
      <c r="AI149">
        <f>5.34913568636482*1</f>
        <v>5.3491356863648196</v>
      </c>
      <c r="AJ149">
        <v>1</v>
      </c>
      <c r="AK149">
        <v>0</v>
      </c>
      <c r="AL149">
        <v>0</v>
      </c>
    </row>
    <row r="150" spans="1:38" hidden="1" x14ac:dyDescent="0.2">
      <c r="A150" t="s">
        <v>357</v>
      </c>
      <c r="B150" t="s">
        <v>358</v>
      </c>
      <c r="C150" t="s">
        <v>358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5.2</v>
      </c>
      <c r="AE150">
        <v>590</v>
      </c>
      <c r="AF150">
        <v>44.816337300204573</v>
      </c>
      <c r="AG150">
        <v>31.671207690274631</v>
      </c>
      <c r="AH150">
        <f>47.822641520954*1</f>
        <v>47.822641520954001</v>
      </c>
      <c r="AI150">
        <f>3.69784599863148*1</f>
        <v>3.6978459986314798</v>
      </c>
      <c r="AJ150">
        <v>1</v>
      </c>
      <c r="AK150">
        <v>0</v>
      </c>
      <c r="AL150">
        <v>0</v>
      </c>
    </row>
    <row r="151" spans="1:38" x14ac:dyDescent="0.2">
      <c r="A151" t="s">
        <v>211</v>
      </c>
      <c r="B151" t="s">
        <v>212</v>
      </c>
      <c r="C151" t="s">
        <v>212</v>
      </c>
      <c r="D151" t="s">
        <v>3</v>
      </c>
      <c r="E151">
        <v>1</v>
      </c>
      <c r="F151">
        <v>0</v>
      </c>
      <c r="G151">
        <v>0</v>
      </c>
      <c r="H151">
        <v>0</v>
      </c>
      <c r="I151" t="s">
        <v>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5.0999999999999996</v>
      </c>
      <c r="AE151">
        <v>305</v>
      </c>
      <c r="AF151">
        <v>47.480686695278941</v>
      </c>
      <c r="AG151">
        <v>44.599321411406073</v>
      </c>
      <c r="AH151">
        <f>36.8206145131417*1</f>
        <v>36.820614513141699</v>
      </c>
      <c r="AI151">
        <f>2.76984191164928*1</f>
        <v>2.7698419116492801</v>
      </c>
      <c r="AJ151">
        <v>1</v>
      </c>
      <c r="AK151">
        <v>1</v>
      </c>
      <c r="AL151">
        <v>1</v>
      </c>
    </row>
    <row r="152" spans="1:38" hidden="1" x14ac:dyDescent="0.2">
      <c r="A152" t="s">
        <v>361</v>
      </c>
      <c r="B152" t="s">
        <v>362</v>
      </c>
      <c r="C152" t="s">
        <v>363</v>
      </c>
      <c r="D152" t="s">
        <v>4</v>
      </c>
      <c r="E152">
        <v>0</v>
      </c>
      <c r="F152">
        <v>1</v>
      </c>
      <c r="G152">
        <v>0</v>
      </c>
      <c r="H152">
        <v>0</v>
      </c>
      <c r="I152" t="s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4.4000000000000004</v>
      </c>
      <c r="AE152">
        <v>593</v>
      </c>
      <c r="AF152">
        <v>26.857142857142851</v>
      </c>
      <c r="AG152">
        <v>20.1039210248722</v>
      </c>
      <c r="AH152">
        <f>26.494692130017*1</f>
        <v>26.494692130017</v>
      </c>
      <c r="AI152">
        <f>2.11037090143194*1</f>
        <v>2.1103709014319398</v>
      </c>
      <c r="AJ152">
        <v>1</v>
      </c>
      <c r="AK152">
        <v>0</v>
      </c>
      <c r="AL152">
        <v>0</v>
      </c>
    </row>
    <row r="153" spans="1:38" hidden="1" x14ac:dyDescent="0.2">
      <c r="A153" t="s">
        <v>364</v>
      </c>
      <c r="B153" t="s">
        <v>365</v>
      </c>
      <c r="C153" t="s">
        <v>365</v>
      </c>
      <c r="D153" t="s">
        <v>3</v>
      </c>
      <c r="E153">
        <v>1</v>
      </c>
      <c r="F153">
        <v>0</v>
      </c>
      <c r="G153">
        <v>0</v>
      </c>
      <c r="H153">
        <v>0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5</v>
      </c>
      <c r="AE153">
        <v>599</v>
      </c>
      <c r="AF153">
        <v>0</v>
      </c>
      <c r="AG153">
        <v>0</v>
      </c>
      <c r="AH153">
        <f>0*1</f>
        <v>0</v>
      </c>
      <c r="AI153">
        <f>0*1</f>
        <v>0</v>
      </c>
      <c r="AJ153">
        <v>1</v>
      </c>
      <c r="AK153">
        <v>0</v>
      </c>
      <c r="AL153">
        <v>0</v>
      </c>
    </row>
    <row r="154" spans="1:38" hidden="1" x14ac:dyDescent="0.2">
      <c r="A154" t="s">
        <v>366</v>
      </c>
      <c r="B154" t="s">
        <v>367</v>
      </c>
      <c r="C154" t="s">
        <v>367</v>
      </c>
      <c r="D154" t="s">
        <v>6</v>
      </c>
      <c r="E154">
        <v>0</v>
      </c>
      <c r="F154">
        <v>0</v>
      </c>
      <c r="G154">
        <v>0</v>
      </c>
      <c r="H154">
        <v>1</v>
      </c>
      <c r="I154" t="s">
        <v>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7.1</v>
      </c>
      <c r="AE154">
        <v>602</v>
      </c>
      <c r="AF154">
        <v>77.795408103044934</v>
      </c>
      <c r="AG154">
        <v>48.58688636298956</v>
      </c>
      <c r="AH154">
        <f>87.9147065713*1</f>
        <v>87.914706571300002</v>
      </c>
      <c r="AI154">
        <f>7.21713973554339*1</f>
        <v>7.2171397355433902</v>
      </c>
      <c r="AJ154">
        <v>1</v>
      </c>
      <c r="AK154">
        <v>0</v>
      </c>
      <c r="AL154">
        <v>0</v>
      </c>
    </row>
    <row r="155" spans="1:38" hidden="1" x14ac:dyDescent="0.2">
      <c r="A155" t="s">
        <v>88</v>
      </c>
      <c r="B155" t="s">
        <v>368</v>
      </c>
      <c r="C155" t="s">
        <v>368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27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4.8</v>
      </c>
      <c r="AE155">
        <v>604</v>
      </c>
      <c r="AF155">
        <v>24.74698795180722</v>
      </c>
      <c r="AG155">
        <v>17.988962613119782</v>
      </c>
      <c r="AH155">
        <f>23.0547709310403*1</f>
        <v>23.054770931040299</v>
      </c>
      <c r="AI155">
        <f>1.82199061175648*1</f>
        <v>1.8219906117564799</v>
      </c>
      <c r="AJ155">
        <v>1</v>
      </c>
      <c r="AK155">
        <v>0</v>
      </c>
      <c r="AL155">
        <v>0</v>
      </c>
    </row>
    <row r="156" spans="1:38" hidden="1" x14ac:dyDescent="0.2">
      <c r="A156" t="s">
        <v>369</v>
      </c>
      <c r="B156" t="s">
        <v>370</v>
      </c>
      <c r="C156" t="s">
        <v>370</v>
      </c>
      <c r="D156" t="s">
        <v>6</v>
      </c>
      <c r="E156">
        <v>0</v>
      </c>
      <c r="F156">
        <v>0</v>
      </c>
      <c r="G156">
        <v>0</v>
      </c>
      <c r="H156">
        <v>1</v>
      </c>
      <c r="I156" t="s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5</v>
      </c>
      <c r="AE156">
        <v>613</v>
      </c>
      <c r="AF156">
        <v>28.38333333333334</v>
      </c>
      <c r="AG156">
        <v>34.516804294528512</v>
      </c>
      <c r="AH156">
        <f>16.1424244210018*1</f>
        <v>16.142424421001799</v>
      </c>
      <c r="AI156">
        <f>1.22357226268916*1</f>
        <v>1.2235722626891601</v>
      </c>
      <c r="AJ156">
        <v>1</v>
      </c>
      <c r="AK156">
        <v>0</v>
      </c>
      <c r="AL156">
        <v>0</v>
      </c>
    </row>
    <row r="157" spans="1:38" hidden="1" x14ac:dyDescent="0.2">
      <c r="A157" t="s">
        <v>371</v>
      </c>
      <c r="B157" t="s">
        <v>372</v>
      </c>
      <c r="C157" t="s">
        <v>372</v>
      </c>
      <c r="D157" t="s">
        <v>6</v>
      </c>
      <c r="E157">
        <v>0</v>
      </c>
      <c r="F157">
        <v>0</v>
      </c>
      <c r="G157">
        <v>0</v>
      </c>
      <c r="H157">
        <v>1</v>
      </c>
      <c r="I157" t="s">
        <v>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5.0999999999999996</v>
      </c>
      <c r="AE157">
        <v>618</v>
      </c>
      <c r="AF157">
        <v>27.56504252859969</v>
      </c>
      <c r="AG157">
        <v>26.619599376214001</v>
      </c>
      <c r="AH157">
        <f>17.0229624513683*1</f>
        <v>17.022962451368301</v>
      </c>
      <c r="AI157">
        <f>1.15191702585717*1</f>
        <v>1.15191702585717</v>
      </c>
      <c r="AJ157">
        <v>1</v>
      </c>
      <c r="AK157">
        <v>0</v>
      </c>
      <c r="AL157">
        <v>0</v>
      </c>
    </row>
    <row r="158" spans="1:38" hidden="1" x14ac:dyDescent="0.2">
      <c r="A158" t="s">
        <v>373</v>
      </c>
      <c r="B158" t="s">
        <v>374</v>
      </c>
      <c r="C158" t="s">
        <v>374</v>
      </c>
      <c r="D158" t="s">
        <v>4</v>
      </c>
      <c r="E158">
        <v>0</v>
      </c>
      <c r="F158">
        <v>1</v>
      </c>
      <c r="G158">
        <v>0</v>
      </c>
      <c r="H158">
        <v>0</v>
      </c>
      <c r="I158" t="s">
        <v>28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4</v>
      </c>
      <c r="AE158">
        <v>620</v>
      </c>
      <c r="AF158">
        <v>30.5625139730932</v>
      </c>
      <c r="AG158">
        <v>29.856346664195438</v>
      </c>
      <c r="AH158">
        <f>15.3507424064053*1</f>
        <v>15.350742406405301</v>
      </c>
      <c r="AI158">
        <f>1.3563436946421*1</f>
        <v>1.3563436946420999</v>
      </c>
      <c r="AJ158">
        <v>1</v>
      </c>
      <c r="AK158">
        <v>0</v>
      </c>
      <c r="AL158">
        <v>0</v>
      </c>
    </row>
    <row r="159" spans="1:38" hidden="1" x14ac:dyDescent="0.2">
      <c r="A159" t="s">
        <v>375</v>
      </c>
      <c r="B159" t="s">
        <v>376</v>
      </c>
      <c r="C159" t="s">
        <v>376</v>
      </c>
      <c r="D159" t="s">
        <v>4</v>
      </c>
      <c r="E159">
        <v>0</v>
      </c>
      <c r="F159">
        <v>1</v>
      </c>
      <c r="G159">
        <v>0</v>
      </c>
      <c r="H159">
        <v>0</v>
      </c>
      <c r="I159" t="s">
        <v>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4.3</v>
      </c>
      <c r="AE159">
        <v>641</v>
      </c>
      <c r="AF159">
        <v>21.021366316335051</v>
      </c>
      <c r="AG159">
        <v>32.906175511250296</v>
      </c>
      <c r="AH159">
        <f>9.35208394683967*1</f>
        <v>9.3520839468396701</v>
      </c>
      <c r="AI159">
        <f>0.652838239592941*1</f>
        <v>0.65283823959294096</v>
      </c>
      <c r="AJ159">
        <v>1</v>
      </c>
      <c r="AK159">
        <v>0</v>
      </c>
      <c r="AL159">
        <v>0</v>
      </c>
    </row>
    <row r="160" spans="1:38" hidden="1" x14ac:dyDescent="0.2">
      <c r="A160" t="s">
        <v>377</v>
      </c>
      <c r="B160" t="s">
        <v>378</v>
      </c>
      <c r="C160" t="s">
        <v>378</v>
      </c>
      <c r="D160" t="s">
        <v>5</v>
      </c>
      <c r="E160">
        <v>0</v>
      </c>
      <c r="F160">
        <v>0</v>
      </c>
      <c r="G160">
        <v>1</v>
      </c>
      <c r="H160">
        <v>0</v>
      </c>
      <c r="I160" t="s">
        <v>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4.7</v>
      </c>
      <c r="AE160">
        <v>644</v>
      </c>
      <c r="AF160">
        <v>0</v>
      </c>
      <c r="AG160">
        <v>0</v>
      </c>
      <c r="AH160">
        <f>0*1</f>
        <v>0</v>
      </c>
      <c r="AI160">
        <f>0*1</f>
        <v>0</v>
      </c>
      <c r="AJ160">
        <v>1</v>
      </c>
      <c r="AK160">
        <v>0</v>
      </c>
      <c r="AL160">
        <v>0</v>
      </c>
    </row>
    <row r="161" spans="1:38" hidden="1" x14ac:dyDescent="0.2">
      <c r="A161" t="s">
        <v>379</v>
      </c>
      <c r="B161" t="s">
        <v>380</v>
      </c>
      <c r="C161" t="s">
        <v>380</v>
      </c>
      <c r="D161" t="s">
        <v>5</v>
      </c>
      <c r="E161">
        <v>0</v>
      </c>
      <c r="F161">
        <v>0</v>
      </c>
      <c r="G161">
        <v>1</v>
      </c>
      <c r="H161">
        <v>0</v>
      </c>
      <c r="I161" t="s">
        <v>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4.8</v>
      </c>
      <c r="AE161">
        <v>658</v>
      </c>
      <c r="AF161">
        <v>24.384180790960428</v>
      </c>
      <c r="AG161">
        <v>23.017944292595359</v>
      </c>
      <c r="AH161">
        <f>16.3066317756019*1</f>
        <v>16.3066317756019</v>
      </c>
      <c r="AI161">
        <f>1.25851222769486*1</f>
        <v>1.2585122276948599</v>
      </c>
      <c r="AJ161">
        <v>1</v>
      </c>
      <c r="AK161">
        <v>0</v>
      </c>
      <c r="AL161">
        <v>0</v>
      </c>
    </row>
    <row r="162" spans="1:38" hidden="1" x14ac:dyDescent="0.2">
      <c r="A162" t="s">
        <v>381</v>
      </c>
      <c r="B162" t="s">
        <v>382</v>
      </c>
      <c r="C162" t="s">
        <v>382</v>
      </c>
      <c r="D162" t="s">
        <v>5</v>
      </c>
      <c r="E162">
        <v>0</v>
      </c>
      <c r="F162">
        <v>0</v>
      </c>
      <c r="G162">
        <v>1</v>
      </c>
      <c r="H162">
        <v>0</v>
      </c>
      <c r="I162" t="s">
        <v>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6.2</v>
      </c>
      <c r="AE162">
        <v>667</v>
      </c>
      <c r="AF162">
        <v>46.630434782608717</v>
      </c>
      <c r="AG162">
        <v>41.594028190752091</v>
      </c>
      <c r="AH162">
        <f>44.831986358834*1</f>
        <v>44.831986358834001</v>
      </c>
      <c r="AI162">
        <f>3.4001828366767*1</f>
        <v>3.4001828366767</v>
      </c>
      <c r="AJ162">
        <v>1</v>
      </c>
      <c r="AK162">
        <v>0</v>
      </c>
      <c r="AL162">
        <v>0</v>
      </c>
    </row>
    <row r="163" spans="1:38" hidden="1" x14ac:dyDescent="0.2">
      <c r="A163" t="s">
        <v>383</v>
      </c>
      <c r="B163" t="s">
        <v>384</v>
      </c>
      <c r="C163" t="s">
        <v>384</v>
      </c>
      <c r="D163" t="s">
        <v>5</v>
      </c>
      <c r="E163">
        <v>0</v>
      </c>
      <c r="F163">
        <v>0</v>
      </c>
      <c r="G163">
        <v>1</v>
      </c>
      <c r="H163">
        <v>0</v>
      </c>
      <c r="I163" t="s">
        <v>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6.3</v>
      </c>
      <c r="AE163">
        <v>668</v>
      </c>
      <c r="AF163">
        <v>50.737864077669883</v>
      </c>
      <c r="AG163">
        <v>48.316816408954253</v>
      </c>
      <c r="AH163">
        <f>28.9606166679778*1</f>
        <v>28.960616667977799</v>
      </c>
      <c r="AI163">
        <f>2.18140759463116*1</f>
        <v>2.18140759463116</v>
      </c>
      <c r="AJ163">
        <v>1</v>
      </c>
      <c r="AK163">
        <v>0</v>
      </c>
      <c r="AL163">
        <v>0</v>
      </c>
    </row>
    <row r="164" spans="1:38" hidden="1" x14ac:dyDescent="0.2">
      <c r="A164" t="s">
        <v>213</v>
      </c>
      <c r="B164" t="s">
        <v>385</v>
      </c>
      <c r="C164" t="s">
        <v>385</v>
      </c>
      <c r="D164" t="s">
        <v>5</v>
      </c>
      <c r="E164">
        <v>0</v>
      </c>
      <c r="F164">
        <v>0</v>
      </c>
      <c r="G164">
        <v>1</v>
      </c>
      <c r="H164">
        <v>0</v>
      </c>
      <c r="I164" t="s">
        <v>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7.4</v>
      </c>
      <c r="AE164">
        <v>670</v>
      </c>
      <c r="AF164">
        <v>55.292340526877553</v>
      </c>
      <c r="AG164">
        <v>56.802949434081469</v>
      </c>
      <c r="AH164">
        <f>38.9908350971712*1</f>
        <v>38.9908350971712</v>
      </c>
      <c r="AI164">
        <f>2.82146946319113*1</f>
        <v>2.8214694631911299</v>
      </c>
      <c r="AJ164">
        <v>1</v>
      </c>
      <c r="AK164">
        <v>0</v>
      </c>
      <c r="AL164">
        <v>0</v>
      </c>
    </row>
    <row r="165" spans="1:38" hidden="1" x14ac:dyDescent="0.2">
      <c r="A165" t="s">
        <v>175</v>
      </c>
      <c r="B165" t="s">
        <v>386</v>
      </c>
      <c r="C165" t="s">
        <v>387</v>
      </c>
      <c r="D165" t="s">
        <v>4</v>
      </c>
      <c r="E165">
        <v>0</v>
      </c>
      <c r="F165">
        <v>1</v>
      </c>
      <c r="G165">
        <v>0</v>
      </c>
      <c r="H165">
        <v>0</v>
      </c>
      <c r="I165" t="s">
        <v>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5.4</v>
      </c>
      <c r="AE165">
        <v>671</v>
      </c>
      <c r="AF165">
        <v>48.60847837808894</v>
      </c>
      <c r="AG165">
        <v>49.043457427242743</v>
      </c>
      <c r="AH165">
        <f>21.4788593357524*1</f>
        <v>21.4788593357524</v>
      </c>
      <c r="AI165">
        <f>1.67911208301663*1</f>
        <v>1.67911208301663</v>
      </c>
      <c r="AJ165">
        <v>1</v>
      </c>
      <c r="AK165">
        <v>0</v>
      </c>
      <c r="AL165">
        <v>0</v>
      </c>
    </row>
    <row r="166" spans="1:38" hidden="1" x14ac:dyDescent="0.2">
      <c r="A166" t="s">
        <v>388</v>
      </c>
      <c r="B166" t="s">
        <v>197</v>
      </c>
      <c r="C166" t="s">
        <v>389</v>
      </c>
      <c r="D166" t="s">
        <v>5</v>
      </c>
      <c r="E166">
        <v>0</v>
      </c>
      <c r="F166">
        <v>0</v>
      </c>
      <c r="G166">
        <v>1</v>
      </c>
      <c r="H166">
        <v>0</v>
      </c>
      <c r="I166" t="s">
        <v>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4.8</v>
      </c>
      <c r="AE166">
        <v>675</v>
      </c>
      <c r="AF166">
        <v>28.294117647058808</v>
      </c>
      <c r="AG166">
        <v>31.41164188985471</v>
      </c>
      <c r="AH166">
        <f>13.243410180404*1</f>
        <v>13.243410180404</v>
      </c>
      <c r="AI166">
        <f>0.981663695694754*1</f>
        <v>0.98166369569475398</v>
      </c>
      <c r="AJ166">
        <v>1</v>
      </c>
      <c r="AK166">
        <v>0</v>
      </c>
      <c r="AL166">
        <v>0</v>
      </c>
    </row>
    <row r="167" spans="1:38" hidden="1" x14ac:dyDescent="0.2">
      <c r="A167" t="s">
        <v>390</v>
      </c>
      <c r="B167" t="s">
        <v>391</v>
      </c>
      <c r="C167" t="s">
        <v>390</v>
      </c>
      <c r="D167" t="s">
        <v>5</v>
      </c>
      <c r="E167">
        <v>0</v>
      </c>
      <c r="F167">
        <v>0</v>
      </c>
      <c r="G167">
        <v>1</v>
      </c>
      <c r="H167">
        <v>0</v>
      </c>
      <c r="I167" t="s">
        <v>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9.6999999999999993</v>
      </c>
      <c r="AE167">
        <v>678</v>
      </c>
      <c r="AF167">
        <v>66.950749209805707</v>
      </c>
      <c r="AG167">
        <v>74.838137009549243</v>
      </c>
      <c r="AH167">
        <f>42.0267250741688*1</f>
        <v>42.026725074168802</v>
      </c>
      <c r="AI167">
        <f>3.27227688977864*1</f>
        <v>3.2722768897786398</v>
      </c>
      <c r="AJ167">
        <v>1</v>
      </c>
      <c r="AK167">
        <v>0</v>
      </c>
      <c r="AL167">
        <v>0</v>
      </c>
    </row>
    <row r="168" spans="1:38" hidden="1" x14ac:dyDescent="0.2">
      <c r="A168" t="s">
        <v>392</v>
      </c>
      <c r="B168" t="s">
        <v>393</v>
      </c>
      <c r="C168" t="s">
        <v>393</v>
      </c>
      <c r="D168" t="s">
        <v>4</v>
      </c>
      <c r="E168">
        <v>0</v>
      </c>
      <c r="F168">
        <v>1</v>
      </c>
      <c r="G168">
        <v>0</v>
      </c>
      <c r="H168">
        <v>0</v>
      </c>
      <c r="I168" t="s">
        <v>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4.8</v>
      </c>
      <c r="AE168">
        <v>680</v>
      </c>
      <c r="AF168">
        <v>0</v>
      </c>
      <c r="AG168">
        <v>0</v>
      </c>
      <c r="AH168">
        <f>0*1</f>
        <v>0</v>
      </c>
      <c r="AI168">
        <f>0*1</f>
        <v>0</v>
      </c>
      <c r="AJ168">
        <v>1</v>
      </c>
      <c r="AK168">
        <v>0</v>
      </c>
      <c r="AL168">
        <v>0</v>
      </c>
    </row>
    <row r="169" spans="1:38" hidden="1" x14ac:dyDescent="0.2">
      <c r="A169" t="s">
        <v>394</v>
      </c>
      <c r="B169" t="s">
        <v>395</v>
      </c>
      <c r="C169" t="s">
        <v>395</v>
      </c>
      <c r="D169" t="s">
        <v>4</v>
      </c>
      <c r="E169">
        <v>0</v>
      </c>
      <c r="F169">
        <v>1</v>
      </c>
      <c r="G169">
        <v>0</v>
      </c>
      <c r="H169">
        <v>0</v>
      </c>
      <c r="I169" t="s">
        <v>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4.4000000000000004</v>
      </c>
      <c r="AE169">
        <v>702</v>
      </c>
      <c r="AF169">
        <v>41.285714285714263</v>
      </c>
      <c r="AG169">
        <v>41.887396455486588</v>
      </c>
      <c r="AH169">
        <f>22.2862772879207*1</f>
        <v>22.286277287920701</v>
      </c>
      <c r="AI169">
        <f>1.71034876782826*1</f>
        <v>1.7103487678282601</v>
      </c>
      <c r="AJ169">
        <v>1</v>
      </c>
      <c r="AK169">
        <v>0</v>
      </c>
      <c r="AL169">
        <v>0</v>
      </c>
    </row>
    <row r="170" spans="1:38" hidden="1" x14ac:dyDescent="0.2">
      <c r="A170" t="s">
        <v>396</v>
      </c>
      <c r="B170" t="s">
        <v>397</v>
      </c>
      <c r="C170" t="s">
        <v>398</v>
      </c>
      <c r="D170" t="s">
        <v>5</v>
      </c>
      <c r="E170">
        <v>0</v>
      </c>
      <c r="F170">
        <v>0</v>
      </c>
      <c r="G170">
        <v>1</v>
      </c>
      <c r="H170">
        <v>0</v>
      </c>
      <c r="I170" t="s">
        <v>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5</v>
      </c>
      <c r="AE170">
        <v>703</v>
      </c>
      <c r="AF170">
        <v>22.68627450980393</v>
      </c>
      <c r="AG170">
        <v>18.105907118717109</v>
      </c>
      <c r="AH170">
        <f>10.5551604848221*1</f>
        <v>10.5551604848221</v>
      </c>
      <c r="AI170">
        <f>0.817609918357369*1</f>
        <v>0.81760991835736896</v>
      </c>
      <c r="AJ170">
        <v>1</v>
      </c>
      <c r="AK170">
        <v>0</v>
      </c>
      <c r="AL170">
        <v>0</v>
      </c>
    </row>
    <row r="171" spans="1:38" hidden="1" x14ac:dyDescent="0.2">
      <c r="A171" t="s">
        <v>399</v>
      </c>
      <c r="B171" t="s">
        <v>400</v>
      </c>
      <c r="C171" t="s">
        <v>400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7.3</v>
      </c>
      <c r="AE171">
        <v>706</v>
      </c>
      <c r="AF171">
        <v>59.583277484869697</v>
      </c>
      <c r="AG171">
        <v>60.610619317757532</v>
      </c>
      <c r="AH171">
        <f>42.3124714456135*1</f>
        <v>42.312471445613497</v>
      </c>
      <c r="AI171">
        <f>3.28973089206506*1</f>
        <v>3.2897308920650601</v>
      </c>
      <c r="AJ171">
        <v>1</v>
      </c>
      <c r="AK171">
        <v>0</v>
      </c>
      <c r="AL171">
        <v>0</v>
      </c>
    </row>
    <row r="172" spans="1:38" hidden="1" x14ac:dyDescent="0.2">
      <c r="A172" t="s">
        <v>401</v>
      </c>
      <c r="B172" t="s">
        <v>402</v>
      </c>
      <c r="C172" t="s">
        <v>401</v>
      </c>
      <c r="D172" t="s">
        <v>4</v>
      </c>
      <c r="E172">
        <v>0</v>
      </c>
      <c r="F172">
        <v>1</v>
      </c>
      <c r="G172">
        <v>0</v>
      </c>
      <c r="H172">
        <v>0</v>
      </c>
      <c r="I172" t="s">
        <v>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4.4000000000000004</v>
      </c>
      <c r="AE172">
        <v>710</v>
      </c>
      <c r="AF172">
        <v>26.784823889043238</v>
      </c>
      <c r="AG172">
        <v>23.329339270798162</v>
      </c>
      <c r="AH172">
        <f>16.7300787627862*1</f>
        <v>16.730078762786199</v>
      </c>
      <c r="AI172">
        <f>1.22886792016324*1</f>
        <v>1.22886792016324</v>
      </c>
      <c r="AJ172">
        <v>1</v>
      </c>
      <c r="AK172">
        <v>0</v>
      </c>
      <c r="AL172">
        <v>0</v>
      </c>
    </row>
    <row r="173" spans="1:38" hidden="1" x14ac:dyDescent="0.2">
      <c r="A173" t="s">
        <v>403</v>
      </c>
      <c r="B173" t="s">
        <v>404</v>
      </c>
      <c r="C173" t="s">
        <v>404</v>
      </c>
      <c r="D173" t="s">
        <v>4</v>
      </c>
      <c r="E173">
        <v>0</v>
      </c>
      <c r="F173">
        <v>1</v>
      </c>
      <c r="G173">
        <v>0</v>
      </c>
      <c r="H173">
        <v>0</v>
      </c>
      <c r="I173" t="s">
        <v>30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4.3</v>
      </c>
      <c r="AE173">
        <v>714</v>
      </c>
      <c r="AF173">
        <v>27.18234227495579</v>
      </c>
      <c r="AG173">
        <v>40.441778684311217</v>
      </c>
      <c r="AH173">
        <f>13.3712685887787*1</f>
        <v>13.371268588778699</v>
      </c>
      <c r="AI173">
        <f>1.03054435773341*1</f>
        <v>1.0305443577334099</v>
      </c>
      <c r="AJ173">
        <v>1</v>
      </c>
      <c r="AK173">
        <v>0</v>
      </c>
      <c r="AL173">
        <v>0</v>
      </c>
    </row>
    <row r="174" spans="1:38" hidden="1" x14ac:dyDescent="0.2">
      <c r="A174" t="s">
        <v>405</v>
      </c>
      <c r="B174" t="s">
        <v>406</v>
      </c>
      <c r="C174" t="s">
        <v>406</v>
      </c>
      <c r="D174" t="s">
        <v>5</v>
      </c>
      <c r="E174">
        <v>0</v>
      </c>
      <c r="F174">
        <v>0</v>
      </c>
      <c r="G174">
        <v>1</v>
      </c>
      <c r="H174">
        <v>0</v>
      </c>
      <c r="I174" t="s">
        <v>30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6.2</v>
      </c>
      <c r="AE174">
        <v>715</v>
      </c>
      <c r="AF174">
        <v>48.566037735849058</v>
      </c>
      <c r="AG174">
        <v>53.200982636109252</v>
      </c>
      <c r="AH174">
        <f>19.6221874373496*1</f>
        <v>19.622187437349599</v>
      </c>
      <c r="AI174">
        <f>1.56052474477834*1</f>
        <v>1.5605247447783399</v>
      </c>
      <c r="AJ174">
        <v>1</v>
      </c>
      <c r="AK174">
        <v>0</v>
      </c>
      <c r="AL174">
        <v>0</v>
      </c>
    </row>
    <row r="175" spans="1:38" hidden="1" x14ac:dyDescent="0.2">
      <c r="A175" t="s">
        <v>64</v>
      </c>
      <c r="B175" t="s">
        <v>407</v>
      </c>
      <c r="C175" t="s">
        <v>408</v>
      </c>
      <c r="D175" t="s">
        <v>5</v>
      </c>
      <c r="E175">
        <v>0</v>
      </c>
      <c r="F175">
        <v>0</v>
      </c>
      <c r="G175">
        <v>1</v>
      </c>
      <c r="H175">
        <v>0</v>
      </c>
      <c r="I175" t="s">
        <v>30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5.7</v>
      </c>
      <c r="AE175">
        <v>717</v>
      </c>
      <c r="AF175">
        <v>40.645197321236829</v>
      </c>
      <c r="AG175">
        <v>47.813562262539619</v>
      </c>
      <c r="AH175">
        <f>21.3979271164516*1</f>
        <v>21.397927116451601</v>
      </c>
      <c r="AI175">
        <f>1.90709044795224*1</f>
        <v>1.9070904479522399</v>
      </c>
      <c r="AJ175">
        <v>1</v>
      </c>
      <c r="AK175">
        <v>0</v>
      </c>
      <c r="AL175">
        <v>0</v>
      </c>
    </row>
    <row r="176" spans="1:38" hidden="1" x14ac:dyDescent="0.2">
      <c r="A176" t="s">
        <v>409</v>
      </c>
      <c r="B176" t="s">
        <v>410</v>
      </c>
      <c r="C176" t="s">
        <v>410</v>
      </c>
      <c r="D176" t="s">
        <v>4</v>
      </c>
      <c r="E176">
        <v>0</v>
      </c>
      <c r="F176">
        <v>1</v>
      </c>
      <c r="G176">
        <v>0</v>
      </c>
      <c r="H176">
        <v>0</v>
      </c>
      <c r="I176" t="s">
        <v>30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4.3</v>
      </c>
      <c r="AE176">
        <v>718</v>
      </c>
      <c r="AF176">
        <v>0</v>
      </c>
      <c r="AG176">
        <v>0</v>
      </c>
      <c r="AH176">
        <f>0*1</f>
        <v>0</v>
      </c>
      <c r="AI176">
        <f>0*1</f>
        <v>0</v>
      </c>
      <c r="AJ176">
        <v>1</v>
      </c>
      <c r="AK176">
        <v>0</v>
      </c>
      <c r="AL176">
        <v>0</v>
      </c>
    </row>
    <row r="177" spans="1:38" hidden="1" x14ac:dyDescent="0.2">
      <c r="A177" t="s">
        <v>411</v>
      </c>
      <c r="B177" t="s">
        <v>412</v>
      </c>
      <c r="C177" t="s">
        <v>412</v>
      </c>
      <c r="D177" t="s">
        <v>5</v>
      </c>
      <c r="E177">
        <v>0</v>
      </c>
      <c r="F177">
        <v>0</v>
      </c>
      <c r="G177">
        <v>1</v>
      </c>
      <c r="H177">
        <v>0</v>
      </c>
      <c r="I177" t="s">
        <v>30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4.9000000000000004</v>
      </c>
      <c r="AE177">
        <v>720</v>
      </c>
      <c r="AF177">
        <v>42.613805625271922</v>
      </c>
      <c r="AG177">
        <v>45.758276051088309</v>
      </c>
      <c r="AH177">
        <f>33.990744468593*1</f>
        <v>33.990744468593</v>
      </c>
      <c r="AI177">
        <f>2.80553759780056*1</f>
        <v>2.8055375978005599</v>
      </c>
      <c r="AJ177">
        <v>1</v>
      </c>
      <c r="AK177">
        <v>0</v>
      </c>
      <c r="AL177">
        <v>0</v>
      </c>
    </row>
    <row r="178" spans="1:38" hidden="1" x14ac:dyDescent="0.2">
      <c r="A178" t="s">
        <v>413</v>
      </c>
      <c r="B178" t="s">
        <v>414</v>
      </c>
      <c r="C178" t="s">
        <v>414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30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5.5</v>
      </c>
      <c r="AE178">
        <v>724</v>
      </c>
      <c r="AF178">
        <v>27.629423090025981</v>
      </c>
      <c r="AG178">
        <v>50.973465576744573</v>
      </c>
      <c r="AH178">
        <f>8.7780834646934*1</f>
        <v>8.7780834646934007</v>
      </c>
      <c r="AI178">
        <f>0.772043721786335*1</f>
        <v>0.77204372178633496</v>
      </c>
      <c r="AJ178">
        <v>1</v>
      </c>
      <c r="AK178">
        <v>0</v>
      </c>
      <c r="AL178">
        <v>0</v>
      </c>
    </row>
    <row r="179" spans="1:38" hidden="1" x14ac:dyDescent="0.2">
      <c r="A179" t="s">
        <v>415</v>
      </c>
      <c r="B179" t="s">
        <v>416</v>
      </c>
      <c r="C179" t="s">
        <v>416</v>
      </c>
      <c r="D179" t="s">
        <v>4</v>
      </c>
      <c r="E179">
        <v>0</v>
      </c>
      <c r="F179">
        <v>1</v>
      </c>
      <c r="G179">
        <v>0</v>
      </c>
      <c r="H179">
        <v>0</v>
      </c>
      <c r="I179" t="s">
        <v>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4.7</v>
      </c>
      <c r="AE179">
        <v>735</v>
      </c>
      <c r="AF179">
        <v>0</v>
      </c>
      <c r="AG179">
        <v>0</v>
      </c>
      <c r="AH179">
        <f>0*1</f>
        <v>0</v>
      </c>
      <c r="AI179">
        <f>0*1</f>
        <v>0</v>
      </c>
      <c r="AJ179">
        <v>1</v>
      </c>
      <c r="AK179">
        <v>0</v>
      </c>
      <c r="AL179">
        <v>0</v>
      </c>
    </row>
    <row r="180" spans="1:38" hidden="1" x14ac:dyDescent="0.2">
      <c r="A180" t="s">
        <v>417</v>
      </c>
      <c r="B180" t="s">
        <v>418</v>
      </c>
      <c r="C180" t="s">
        <v>418</v>
      </c>
      <c r="D180" t="s">
        <v>5</v>
      </c>
      <c r="E180">
        <v>0</v>
      </c>
      <c r="F180">
        <v>0</v>
      </c>
      <c r="G180">
        <v>1</v>
      </c>
      <c r="H180">
        <v>0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4.9000000000000004</v>
      </c>
      <c r="AE180">
        <v>737</v>
      </c>
      <c r="AF180">
        <v>0</v>
      </c>
      <c r="AG180">
        <v>0</v>
      </c>
      <c r="AH180">
        <f>0*1</f>
        <v>0</v>
      </c>
      <c r="AI180">
        <f>0*1</f>
        <v>0</v>
      </c>
      <c r="AJ180">
        <v>1</v>
      </c>
      <c r="AK180">
        <v>0</v>
      </c>
      <c r="AL180">
        <v>0</v>
      </c>
    </row>
    <row r="181" spans="1:38" x14ac:dyDescent="0.2">
      <c r="A181" t="s">
        <v>213</v>
      </c>
      <c r="B181" t="s">
        <v>214</v>
      </c>
      <c r="C181" t="s">
        <v>214</v>
      </c>
      <c r="D181" t="s">
        <v>4</v>
      </c>
      <c r="E181">
        <v>0</v>
      </c>
      <c r="F181">
        <v>1</v>
      </c>
      <c r="G181">
        <v>0</v>
      </c>
      <c r="H181">
        <v>0</v>
      </c>
      <c r="I181" t="s">
        <v>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4.8</v>
      </c>
      <c r="AE181">
        <v>306</v>
      </c>
      <c r="AF181">
        <v>37.876488964028937</v>
      </c>
      <c r="AG181">
        <v>39.281162377432643</v>
      </c>
      <c r="AH181">
        <f>27.5351430802723*1</f>
        <v>27.535143080272299</v>
      </c>
      <c r="AI181">
        <f>1.65322045588147*1</f>
        <v>1.65322045588147</v>
      </c>
      <c r="AJ181">
        <v>1</v>
      </c>
      <c r="AK181">
        <v>1</v>
      </c>
      <c r="AL181">
        <v>1</v>
      </c>
    </row>
    <row r="182" spans="1:38" hidden="1" x14ac:dyDescent="0.2">
      <c r="A182" t="s">
        <v>422</v>
      </c>
      <c r="B182" t="s">
        <v>423</v>
      </c>
      <c r="C182" t="s">
        <v>423</v>
      </c>
      <c r="D182" t="s">
        <v>4</v>
      </c>
      <c r="E182">
        <v>0</v>
      </c>
      <c r="F182">
        <v>1</v>
      </c>
      <c r="G182">
        <v>0</v>
      </c>
      <c r="H182">
        <v>0</v>
      </c>
      <c r="I182" t="s">
        <v>31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4.3</v>
      </c>
      <c r="AE182">
        <v>745</v>
      </c>
      <c r="AF182">
        <v>30.394768055748891</v>
      </c>
      <c r="AG182">
        <v>58.296666732208237</v>
      </c>
      <c r="AH182">
        <f>11.3405277717796*1</f>
        <v>11.3405277717796</v>
      </c>
      <c r="AI182">
        <f>0.676186624939974*1</f>
        <v>0.67618662493997395</v>
      </c>
      <c r="AJ182">
        <v>1</v>
      </c>
      <c r="AK182">
        <v>0</v>
      </c>
      <c r="AL182">
        <v>0</v>
      </c>
    </row>
    <row r="183" spans="1:38" hidden="1" x14ac:dyDescent="0.2">
      <c r="A183" t="s">
        <v>424</v>
      </c>
      <c r="B183" t="s">
        <v>425</v>
      </c>
      <c r="C183" t="s">
        <v>425</v>
      </c>
      <c r="D183" t="s">
        <v>5</v>
      </c>
      <c r="E183">
        <v>0</v>
      </c>
      <c r="F183">
        <v>0</v>
      </c>
      <c r="G183">
        <v>1</v>
      </c>
      <c r="H183">
        <v>0</v>
      </c>
      <c r="I183" t="s">
        <v>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4.7</v>
      </c>
      <c r="AE183">
        <v>746</v>
      </c>
      <c r="AF183">
        <v>0</v>
      </c>
      <c r="AG183">
        <v>0</v>
      </c>
      <c r="AH183">
        <f>0*1</f>
        <v>0</v>
      </c>
      <c r="AI183">
        <f>0*1</f>
        <v>0</v>
      </c>
      <c r="AJ183">
        <v>1</v>
      </c>
      <c r="AK183">
        <v>0</v>
      </c>
      <c r="AL183">
        <v>0</v>
      </c>
    </row>
    <row r="184" spans="1:38" hidden="1" x14ac:dyDescent="0.2">
      <c r="A184" t="s">
        <v>426</v>
      </c>
      <c r="B184" t="s">
        <v>427</v>
      </c>
      <c r="C184" t="s">
        <v>428</v>
      </c>
      <c r="D184" t="s">
        <v>5</v>
      </c>
      <c r="E184">
        <v>0</v>
      </c>
      <c r="F184">
        <v>0</v>
      </c>
      <c r="G184">
        <v>1</v>
      </c>
      <c r="H184">
        <v>0</v>
      </c>
      <c r="I184" t="s">
        <v>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5.3</v>
      </c>
      <c r="AE184">
        <v>750</v>
      </c>
      <c r="AF184">
        <v>0</v>
      </c>
      <c r="AG184">
        <v>0</v>
      </c>
      <c r="AH184">
        <f>0*1</f>
        <v>0</v>
      </c>
      <c r="AI184">
        <f>0*1</f>
        <v>0</v>
      </c>
      <c r="AJ184">
        <v>1</v>
      </c>
      <c r="AK184">
        <v>0</v>
      </c>
      <c r="AL184">
        <v>0</v>
      </c>
    </row>
    <row r="185" spans="1:38" hidden="1" x14ac:dyDescent="0.2">
      <c r="A185" t="s">
        <v>429</v>
      </c>
      <c r="B185" t="s">
        <v>430</v>
      </c>
      <c r="C185" t="s">
        <v>431</v>
      </c>
      <c r="D185" t="s">
        <v>5</v>
      </c>
      <c r="E185">
        <v>0</v>
      </c>
      <c r="F185">
        <v>0</v>
      </c>
      <c r="G185">
        <v>1</v>
      </c>
      <c r="H185">
        <v>0</v>
      </c>
      <c r="I185" t="s">
        <v>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4.9000000000000004</v>
      </c>
      <c r="AE185">
        <v>755</v>
      </c>
      <c r="AF185">
        <v>28.1433554210615</v>
      </c>
      <c r="AG185">
        <v>20.97852848284214</v>
      </c>
      <c r="AH185">
        <f>16.0171938689522*1</f>
        <v>16.017193868952202</v>
      </c>
      <c r="AI185">
        <f>0.868780501818404*1</f>
        <v>0.86878050181840405</v>
      </c>
      <c r="AJ185">
        <v>1</v>
      </c>
      <c r="AK185">
        <v>0</v>
      </c>
      <c r="AL185">
        <v>0</v>
      </c>
    </row>
    <row r="186" spans="1:38" hidden="1" x14ac:dyDescent="0.2">
      <c r="A186" t="s">
        <v>432</v>
      </c>
      <c r="B186" t="s">
        <v>433</v>
      </c>
      <c r="C186" t="s">
        <v>434</v>
      </c>
      <c r="D186" t="s">
        <v>3</v>
      </c>
      <c r="E186">
        <v>1</v>
      </c>
      <c r="F186">
        <v>0</v>
      </c>
      <c r="G186">
        <v>0</v>
      </c>
      <c r="H186">
        <v>0</v>
      </c>
      <c r="I186" t="s">
        <v>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4.3</v>
      </c>
      <c r="AE186">
        <v>756</v>
      </c>
      <c r="AF186">
        <v>39.748867967643477</v>
      </c>
      <c r="AG186">
        <v>49.252540538417207</v>
      </c>
      <c r="AH186">
        <f>20.2400527361017*1</f>
        <v>20.240052736101699</v>
      </c>
      <c r="AI186">
        <f>1.55935838225211*1</f>
        <v>1.55935838225211</v>
      </c>
      <c r="AJ186">
        <v>1</v>
      </c>
      <c r="AK186">
        <v>0</v>
      </c>
      <c r="AL186">
        <v>0</v>
      </c>
    </row>
    <row r="187" spans="1:38" hidden="1" x14ac:dyDescent="0.2">
      <c r="A187" t="s">
        <v>435</v>
      </c>
      <c r="B187" t="s">
        <v>436</v>
      </c>
      <c r="C187" t="s">
        <v>437</v>
      </c>
      <c r="D187" t="s">
        <v>4</v>
      </c>
      <c r="E187">
        <v>0</v>
      </c>
      <c r="F187">
        <v>1</v>
      </c>
      <c r="G187">
        <v>0</v>
      </c>
      <c r="H187">
        <v>0</v>
      </c>
      <c r="I187" t="s">
        <v>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4.5</v>
      </c>
      <c r="AE187">
        <v>761</v>
      </c>
      <c r="AF187">
        <v>27.346037911894591</v>
      </c>
      <c r="AG187">
        <v>37.644882060844012</v>
      </c>
      <c r="AH187">
        <f>12.4052635284971*1</f>
        <v>12.4052635284971</v>
      </c>
      <c r="AI187">
        <f>0.691239038003646*1</f>
        <v>0.69123903800364594</v>
      </c>
      <c r="AJ187">
        <v>1</v>
      </c>
      <c r="AK187">
        <v>0</v>
      </c>
      <c r="AL187">
        <v>0</v>
      </c>
    </row>
    <row r="188" spans="1:38" hidden="1" x14ac:dyDescent="0.2">
      <c r="A188" t="s">
        <v>438</v>
      </c>
      <c r="B188" t="s">
        <v>439</v>
      </c>
      <c r="C188" t="s">
        <v>440</v>
      </c>
      <c r="D188" t="s">
        <v>4</v>
      </c>
      <c r="E188">
        <v>0</v>
      </c>
      <c r="F188">
        <v>1</v>
      </c>
      <c r="G188">
        <v>0</v>
      </c>
      <c r="H188">
        <v>0</v>
      </c>
      <c r="I188" t="s">
        <v>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4.3</v>
      </c>
      <c r="AE188">
        <v>765</v>
      </c>
      <c r="AF188">
        <v>0</v>
      </c>
      <c r="AG188">
        <v>0</v>
      </c>
      <c r="AH188">
        <f>0*1</f>
        <v>0</v>
      </c>
      <c r="AI188">
        <f>0*1</f>
        <v>0</v>
      </c>
      <c r="AJ188">
        <v>1</v>
      </c>
      <c r="AK188">
        <v>0</v>
      </c>
      <c r="AL188">
        <v>0</v>
      </c>
    </row>
    <row r="189" spans="1:38" hidden="1" x14ac:dyDescent="0.2">
      <c r="A189" t="s">
        <v>441</v>
      </c>
      <c r="B189" t="s">
        <v>442</v>
      </c>
      <c r="C189" t="s">
        <v>443</v>
      </c>
      <c r="D189" t="s">
        <v>4</v>
      </c>
      <c r="E189">
        <v>0</v>
      </c>
      <c r="F189">
        <v>1</v>
      </c>
      <c r="G189">
        <v>0</v>
      </c>
      <c r="H189">
        <v>0</v>
      </c>
      <c r="I189" t="s">
        <v>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4.3</v>
      </c>
      <c r="AE189">
        <v>768</v>
      </c>
      <c r="AF189">
        <v>30.808219178082201</v>
      </c>
      <c r="AG189">
        <v>27.67757724243474</v>
      </c>
      <c r="AH189">
        <f>21.5014085666491*1</f>
        <v>21.501408566649101</v>
      </c>
      <c r="AI189">
        <f>1.67145357123841*1</f>
        <v>1.67145357123841</v>
      </c>
      <c r="AJ189">
        <v>1</v>
      </c>
      <c r="AK189">
        <v>0</v>
      </c>
      <c r="AL189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2025-02-20T19:40:42Z</dcterms:created>
  <dcterms:modified xsi:type="dcterms:W3CDTF">2025-02-20T20:01:03Z</dcterms:modified>
</cp:coreProperties>
</file>