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04D62749-BB7E-FC44-BFF6-F0310F4CAA66}" xr6:coauthVersionLast="47" xr6:coauthVersionMax="47" xr10:uidLastSave="{00000000-0000-0000-0000-000000000000}"/>
  <bookViews>
    <workbookView xWindow="240" yWindow="760" windowWidth="20940" windowHeight="11360" firstSheet="9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F9" i="20"/>
  <c r="D9" i="20"/>
  <c r="D8" i="20"/>
  <c r="F8" i="20" s="1"/>
  <c r="D7" i="20"/>
  <c r="F7" i="20" s="1"/>
  <c r="D6" i="20"/>
  <c r="F6" i="20" s="1"/>
  <c r="F5" i="20"/>
  <c r="D5" i="20"/>
  <c r="I5" i="20" s="1"/>
  <c r="D4" i="20"/>
  <c r="F4" i="20" s="1"/>
  <c r="F3" i="20"/>
  <c r="D3" i="20"/>
  <c r="D2" i="20"/>
  <c r="F2" i="20" s="1"/>
  <c r="D11" i="19"/>
  <c r="F11" i="19" s="1"/>
  <c r="F10" i="19"/>
  <c r="D10" i="19"/>
  <c r="D9" i="19"/>
  <c r="F9" i="19" s="1"/>
  <c r="F8" i="19"/>
  <c r="D8" i="19"/>
  <c r="F7" i="19"/>
  <c r="D7" i="19"/>
  <c r="F6" i="19"/>
  <c r="D6" i="19"/>
  <c r="D5" i="19"/>
  <c r="I5" i="19" s="1"/>
  <c r="F4" i="19"/>
  <c r="D4" i="19"/>
  <c r="D3" i="19"/>
  <c r="F3" i="19" s="1"/>
  <c r="D2" i="19"/>
  <c r="F2" i="19" s="1"/>
  <c r="F10" i="18"/>
  <c r="D10" i="18"/>
  <c r="D9" i="18"/>
  <c r="F9" i="18" s="1"/>
  <c r="F8" i="18"/>
  <c r="D8" i="18"/>
  <c r="D7" i="18"/>
  <c r="F7" i="18" s="1"/>
  <c r="F6" i="18"/>
  <c r="D6" i="18"/>
  <c r="D5" i="18"/>
  <c r="I5" i="18" s="1"/>
  <c r="F4" i="18"/>
  <c r="D4" i="18"/>
  <c r="D3" i="18"/>
  <c r="F3" i="18" s="1"/>
  <c r="D2" i="18"/>
  <c r="F2" i="18" s="1"/>
  <c r="D6" i="17"/>
  <c r="F6" i="17" s="1"/>
  <c r="I5" i="17"/>
  <c r="F5" i="17"/>
  <c r="D5" i="17"/>
  <c r="D4" i="17"/>
  <c r="F4" i="17" s="1"/>
  <c r="D3" i="17"/>
  <c r="F3" i="17" s="1"/>
  <c r="F2" i="17"/>
  <c r="I7" i="17" s="1"/>
  <c r="D2" i="17"/>
  <c r="I5" i="16"/>
  <c r="F3" i="16"/>
  <c r="D3" i="16"/>
  <c r="D2" i="16"/>
  <c r="F2" i="16" s="1"/>
  <c r="I7" i="16" s="1"/>
  <c r="D8" i="15"/>
  <c r="F8" i="15" s="1"/>
  <c r="D7" i="15"/>
  <c r="F7" i="15" s="1"/>
  <c r="F6" i="15"/>
  <c r="D6" i="15"/>
  <c r="D5" i="15"/>
  <c r="I5" i="15" s="1"/>
  <c r="D4" i="15"/>
  <c r="F4" i="15" s="1"/>
  <c r="F3" i="15"/>
  <c r="D3" i="15"/>
  <c r="D2" i="15"/>
  <c r="F2" i="15" s="1"/>
  <c r="F7" i="14"/>
  <c r="D7" i="14"/>
  <c r="F6" i="14"/>
  <c r="D6" i="14"/>
  <c r="I5" i="14"/>
  <c r="F5" i="14"/>
  <c r="D5" i="14"/>
  <c r="D4" i="14"/>
  <c r="F4" i="14" s="1"/>
  <c r="F3" i="14"/>
  <c r="D3" i="14"/>
  <c r="D2" i="14"/>
  <c r="F2" i="14" s="1"/>
  <c r="D10" i="13"/>
  <c r="F10" i="13" s="1"/>
  <c r="F9" i="13"/>
  <c r="D9" i="13"/>
  <c r="D8" i="13"/>
  <c r="F8" i="13" s="1"/>
  <c r="F7" i="13"/>
  <c r="D7" i="13"/>
  <c r="F6" i="13"/>
  <c r="D6" i="13"/>
  <c r="I5" i="13"/>
  <c r="F5" i="13"/>
  <c r="D5" i="13"/>
  <c r="D4" i="13"/>
  <c r="F4" i="13" s="1"/>
  <c r="F3" i="13"/>
  <c r="D3" i="13"/>
  <c r="D2" i="13"/>
  <c r="F2" i="13" s="1"/>
  <c r="I7" i="13" s="1"/>
  <c r="D8" i="12"/>
  <c r="F8" i="12" s="1"/>
  <c r="D7" i="12"/>
  <c r="F7" i="12" s="1"/>
  <c r="F6" i="12"/>
  <c r="D6" i="12"/>
  <c r="D5" i="12"/>
  <c r="I5" i="12" s="1"/>
  <c r="D4" i="12"/>
  <c r="F4" i="12" s="1"/>
  <c r="F3" i="12"/>
  <c r="D3" i="12"/>
  <c r="D2" i="12"/>
  <c r="F2" i="12" s="1"/>
  <c r="F14" i="11"/>
  <c r="D14" i="11"/>
  <c r="D13" i="11"/>
  <c r="F13" i="11" s="1"/>
  <c r="D12" i="11"/>
  <c r="F12" i="11" s="1"/>
  <c r="F11" i="11"/>
  <c r="D11" i="11"/>
  <c r="D10" i="11"/>
  <c r="F10" i="11" s="1"/>
  <c r="F9" i="11"/>
  <c r="D9" i="11"/>
  <c r="D8" i="11"/>
  <c r="F8" i="11" s="1"/>
  <c r="F7" i="11"/>
  <c r="D7" i="11"/>
  <c r="D6" i="11"/>
  <c r="F6" i="11" s="1"/>
  <c r="I5" i="11"/>
  <c r="F5" i="11"/>
  <c r="D5" i="11"/>
  <c r="D4" i="11"/>
  <c r="F4" i="11" s="1"/>
  <c r="D3" i="11"/>
  <c r="F3" i="11" s="1"/>
  <c r="F2" i="11"/>
  <c r="D2" i="11"/>
  <c r="D10" i="10"/>
  <c r="F10" i="10" s="1"/>
  <c r="F9" i="10"/>
  <c r="D9" i="10"/>
  <c r="D8" i="10"/>
  <c r="F8" i="10" s="1"/>
  <c r="F7" i="10"/>
  <c r="D7" i="10"/>
  <c r="D6" i="10"/>
  <c r="F6" i="10" s="1"/>
  <c r="I5" i="10"/>
  <c r="F5" i="10"/>
  <c r="D5" i="10"/>
  <c r="D4" i="10"/>
  <c r="F4" i="10" s="1"/>
  <c r="D3" i="10"/>
  <c r="F3" i="10" s="1"/>
  <c r="F2" i="10"/>
  <c r="D2" i="10"/>
  <c r="D10" i="9"/>
  <c r="F10" i="9" s="1"/>
  <c r="F9" i="9"/>
  <c r="D9" i="9"/>
  <c r="D8" i="9"/>
  <c r="F8" i="9" s="1"/>
  <c r="F7" i="9"/>
  <c r="D7" i="9"/>
  <c r="D6" i="9"/>
  <c r="F6" i="9" s="1"/>
  <c r="I5" i="9"/>
  <c r="F5" i="9"/>
  <c r="D5" i="9"/>
  <c r="D4" i="9"/>
  <c r="F4" i="9" s="1"/>
  <c r="F3" i="9"/>
  <c r="D3" i="9"/>
  <c r="F2" i="9"/>
  <c r="D2" i="9"/>
  <c r="D8" i="8"/>
  <c r="F8" i="8" s="1"/>
  <c r="F7" i="8"/>
  <c r="D7" i="8"/>
  <c r="D6" i="8"/>
  <c r="F6" i="8" s="1"/>
  <c r="I5" i="8"/>
  <c r="F5" i="8"/>
  <c r="D5" i="8"/>
  <c r="D4" i="8"/>
  <c r="F4" i="8" s="1"/>
  <c r="F3" i="8"/>
  <c r="D3" i="8"/>
  <c r="D2" i="8"/>
  <c r="F2" i="8" s="1"/>
  <c r="I7" i="8" s="1"/>
  <c r="D9" i="7"/>
  <c r="F9" i="7" s="1"/>
  <c r="F8" i="7"/>
  <c r="D8" i="7"/>
  <c r="F7" i="7"/>
  <c r="D7" i="7"/>
  <c r="F6" i="7"/>
  <c r="D6" i="7"/>
  <c r="D5" i="7"/>
  <c r="F5" i="7" s="1"/>
  <c r="F4" i="7"/>
  <c r="D4" i="7"/>
  <c r="D3" i="7"/>
  <c r="F3" i="7" s="1"/>
  <c r="F2" i="7"/>
  <c r="D2" i="7"/>
  <c r="I5" i="6"/>
  <c r="D3" i="6"/>
  <c r="F3" i="6" s="1"/>
  <c r="F2" i="6"/>
  <c r="I7" i="6" s="1"/>
  <c r="D2" i="6"/>
  <c r="D9" i="5"/>
  <c r="F9" i="5" s="1"/>
  <c r="D8" i="5"/>
  <c r="F8" i="5" s="1"/>
  <c r="D7" i="5"/>
  <c r="F7" i="5" s="1"/>
  <c r="F6" i="5"/>
  <c r="D6" i="5"/>
  <c r="D5" i="5"/>
  <c r="I5" i="5" s="1"/>
  <c r="D4" i="5"/>
  <c r="F4" i="5" s="1"/>
  <c r="D3" i="5"/>
  <c r="F3" i="5" s="1"/>
  <c r="D2" i="5"/>
  <c r="F2" i="5" s="1"/>
  <c r="F8" i="4"/>
  <c r="D8" i="4"/>
  <c r="F7" i="4"/>
  <c r="D7" i="4"/>
  <c r="F6" i="4"/>
  <c r="D6" i="4"/>
  <c r="D5" i="4"/>
  <c r="I5" i="4" s="1"/>
  <c r="F4" i="4"/>
  <c r="D4" i="4"/>
  <c r="D3" i="4"/>
  <c r="F3" i="4" s="1"/>
  <c r="D2" i="4"/>
  <c r="F2" i="4" s="1"/>
  <c r="D12" i="3"/>
  <c r="F12" i="3" s="1"/>
  <c r="D11" i="3"/>
  <c r="F11" i="3" s="1"/>
  <c r="F10" i="3"/>
  <c r="D10" i="3"/>
  <c r="D9" i="3"/>
  <c r="F9" i="3" s="1"/>
  <c r="D8" i="3"/>
  <c r="F8" i="3" s="1"/>
  <c r="D7" i="3"/>
  <c r="F7" i="3" s="1"/>
  <c r="F6" i="3"/>
  <c r="D6" i="3"/>
  <c r="D5" i="3"/>
  <c r="I5" i="3" s="1"/>
  <c r="D4" i="3"/>
  <c r="F4" i="3" s="1"/>
  <c r="D3" i="3"/>
  <c r="F3" i="3" s="1"/>
  <c r="D2" i="3"/>
  <c r="F2" i="3" s="1"/>
  <c r="F10" i="2"/>
  <c r="D10" i="2"/>
  <c r="D9" i="2"/>
  <c r="F9" i="2" s="1"/>
  <c r="D8" i="2"/>
  <c r="F8" i="2" s="1"/>
  <c r="D7" i="2"/>
  <c r="F7" i="2" s="1"/>
  <c r="F6" i="2"/>
  <c r="D6" i="2"/>
  <c r="D5" i="2"/>
  <c r="I5" i="2" s="1"/>
  <c r="D4" i="2"/>
  <c r="F4" i="2" s="1"/>
  <c r="D3" i="2"/>
  <c r="F3" i="2" s="1"/>
  <c r="D2" i="2"/>
  <c r="F2" i="2" s="1"/>
  <c r="F13" i="1"/>
  <c r="D13" i="1"/>
  <c r="D12" i="1"/>
  <c r="F12" i="1" s="1"/>
  <c r="D11" i="1"/>
  <c r="F11" i="1" s="1"/>
  <c r="D10" i="1"/>
  <c r="F10" i="1" s="1"/>
  <c r="F9" i="1"/>
  <c r="D9" i="1"/>
  <c r="F8" i="1"/>
  <c r="D8" i="1"/>
  <c r="F7" i="1"/>
  <c r="D7" i="1"/>
  <c r="F6" i="1"/>
  <c r="D6" i="1"/>
  <c r="D5" i="1"/>
  <c r="F5" i="1" s="1"/>
  <c r="F4" i="1"/>
  <c r="D4" i="1"/>
  <c r="D3" i="1"/>
  <c r="F3" i="1" s="1"/>
  <c r="D2" i="1"/>
  <c r="F2" i="1" s="1"/>
  <c r="I7" i="1" s="1"/>
  <c r="I7" i="7" l="1"/>
  <c r="I7" i="10"/>
  <c r="I7" i="3"/>
  <c r="I7" i="11"/>
  <c r="I7" i="12"/>
  <c r="I7" i="5"/>
  <c r="I7" i="9"/>
  <c r="I7" i="14"/>
  <c r="I7" i="20"/>
  <c r="I5" i="7"/>
  <c r="F5" i="12"/>
  <c r="F5" i="15"/>
  <c r="I7" i="15" s="1"/>
  <c r="F5" i="4"/>
  <c r="I7" i="4" s="1"/>
  <c r="I5" i="1"/>
  <c r="F5" i="2"/>
  <c r="I7" i="2" s="1"/>
  <c r="F5" i="3"/>
  <c r="F5" i="5"/>
  <c r="F5" i="18"/>
  <c r="I7" i="18" s="1"/>
  <c r="F5" i="19"/>
  <c r="I7" i="19" s="1"/>
</calcChain>
</file>

<file path=xl/sharedStrings.xml><?xml version="1.0" encoding="utf-8"?>
<sst xmlns="http://schemas.openxmlformats.org/spreadsheetml/2006/main" count="359" uniqueCount="169">
  <si>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</si>
  <si>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</si>
  <si>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</si>
  <si>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</si>
  <si>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</si>
  <si>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</si>
  <si>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</si>
  <si>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</si>
  <si>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</si>
  <si>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</si>
  <si>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</si>
  <si>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</si>
  <si>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</si>
  <si>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</si>
  <si>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</si>
  <si>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</si>
  <si>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</si>
  <si>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</si>
  <si>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</si>
  <si>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</si>
  <si>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</si>
  <si>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</si>
  <si>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</si>
  <si>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</si>
  <si>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</si>
  <si>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</si>
  <si>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</si>
  <si>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</si>
  <si>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</si>
  <si>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</si>
  <si>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</si>
  <si>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</si>
  <si>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</si>
  <si>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</si>
  <si>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</si>
  <si>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</si>
  <si>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</si>
  <si>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</si>
  <si>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</si>
  <si>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</si>
  <si>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</si>
  <si>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</si>
  <si>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Maupay</t>
  </si>
  <si>
    <t>Nørgaard</t>
  </si>
  <si>
    <t>Janelt</t>
  </si>
  <si>
    <t>Wissa</t>
  </si>
  <si>
    <t>Roerslev</t>
  </si>
  <si>
    <t>Lewis-Potter</t>
  </si>
  <si>
    <t>Flekken</t>
  </si>
  <si>
    <t>Dunk</t>
  </si>
  <si>
    <t>Gross</t>
  </si>
  <si>
    <t>Welbeck</t>
  </si>
  <si>
    <t>João Pedro</t>
  </si>
  <si>
    <t>Mitoma</t>
  </si>
  <si>
    <t>Van Hecke</t>
  </si>
  <si>
    <t>Buonanotte</t>
  </si>
  <si>
    <t>Adingra</t>
  </si>
  <si>
    <t>Amdouni</t>
  </si>
  <si>
    <t>Bruun Larsen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</si>
  <si>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</si>
  <si>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</si>
  <si>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</si>
  <si>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</si>
  <si>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</si>
  <si>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</si>
  <si>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</si>
  <si>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</si>
  <si>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Ward</t>
  </si>
  <si>
    <t>J.Ayew</t>
  </si>
  <si>
    <t>Eze</t>
  </si>
  <si>
    <t>Johnstone</t>
  </si>
  <si>
    <t>Mateta</t>
  </si>
  <si>
    <t>Edouard</t>
  </si>
  <si>
    <t>Lerma</t>
  </si>
  <si>
    <t>A.Doucoure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</si>
  <si>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</si>
  <si>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</si>
  <si>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</si>
  <si>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</si>
  <si>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</si>
  <si>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</si>
  <si>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</si>
  <si>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</si>
  <si>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</si>
  <si>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</si>
  <si>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</si>
  <si>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</si>
  <si>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</si>
  <si>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</si>
  <si>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</si>
  <si>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</si>
  <si>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</si>
  <si>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</si>
  <si>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</si>
  <si>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</si>
  <si>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</si>
  <si>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Elliott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</si>
  <si>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</si>
  <si>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</si>
  <si>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</si>
  <si>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</si>
  <si>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</si>
  <si>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</si>
  <si>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</si>
  <si>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</si>
  <si>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</si>
  <si>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Chong</t>
  </si>
  <si>
    <t>Kaminski</t>
  </si>
  <si>
    <t>Adebayo</t>
  </si>
  <si>
    <t>Ogbene</t>
  </si>
  <si>
    <t>Doughty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</si>
  <si>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</si>
  <si>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</si>
  <si>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</si>
  <si>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</si>
  <si>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</si>
  <si>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</si>
  <si>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</si>
  <si>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</si>
  <si>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</si>
  <si>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Akanji</t>
  </si>
  <si>
    <t>Rashford</t>
  </si>
  <si>
    <t>McTominay</t>
  </si>
  <si>
    <t>Lindelof</t>
  </si>
  <si>
    <t>Evans</t>
  </si>
  <si>
    <t>Dalot</t>
  </si>
  <si>
    <t>Garnacho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</si>
  <si>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</si>
  <si>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</si>
  <si>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</si>
  <si>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</si>
  <si>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</si>
  <si>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</si>
  <si>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</si>
  <si>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</si>
  <si>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</si>
  <si>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</si>
  <si>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</si>
  <si>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</si>
  <si>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</si>
  <si>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</si>
  <si>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</si>
  <si>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</si>
  <si>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</si>
  <si>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</si>
  <si>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</si>
  <si>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</si>
  <si>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</si>
  <si>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</si>
  <si>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</si>
  <si>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</si>
  <si>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</si>
  <si>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</si>
  <si>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</si>
  <si>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</si>
  <si>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</si>
  <si>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</si>
  <si>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Souček</t>
  </si>
  <si>
    <t>Álvarez</t>
  </si>
  <si>
    <t>Kudus</t>
  </si>
  <si>
    <t>Mario Jr.</t>
  </si>
  <si>
    <t>Kilman</t>
  </si>
  <si>
    <t>Dawson</t>
  </si>
  <si>
    <t>N.Semedo</t>
  </si>
  <si>
    <t>José Sá</t>
  </si>
  <si>
    <t>Toti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</si>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</sst>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0" totalsRowShown="0">
  <autoFilter ref="A1:F10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4" totalsRowShown="0">
  <autoFilter ref="A1:F14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8" totalsRowShown="0">
  <autoFilter ref="A1:F8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0" totalsRowShown="0">
  <autoFilter ref="A1:F10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7" totalsRowShown="0">
  <autoFilter ref="A1:F7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3" totalsRowShown="0">
  <autoFilter ref="A1:F3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0" totalsRowShown="0">
  <autoFilter ref="A1:F10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1" totalsRowShown="0">
  <autoFilter ref="A1:F11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2" totalsRowShown="0">
  <autoFilter ref="A1:F12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8" totalsRowShown="0">
  <autoFilter ref="A1:F8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9" totalsRowShown="0">
  <autoFilter ref="A1:F9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3" totalsRowShown="0">
  <autoFilter ref="A1:F3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8" totalsRowShown="0">
  <autoFilter ref="A1:F8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0" totalsRowShown="0">
  <autoFilter ref="A1:F10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28.877845616964901</v>
      </c>
      <c r="C2">
        <v>27.287831352840289</v>
      </c>
      <c r="D2">
        <f>TableARS[[#This Row],[ARIMAPP]]*$I$2+TableARS[[#This Row],[LSTMPP]]*$I$3</f>
        <v>35.031052493329348</v>
      </c>
      <c r="E2">
        <v>56</v>
      </c>
      <c r="F2">
        <f>ABS(TableARS[[#This Row],[PP]]-TableARS[[#This Row],[AP]])</f>
        <v>20.968947506670652</v>
      </c>
      <c r="H2" t="s">
        <v>0</v>
      </c>
      <c r="I2">
        <v>1.2130770749999999</v>
      </c>
    </row>
    <row r="3" spans="1:9" x14ac:dyDescent="0.2">
      <c r="A3" t="s">
        <v>11</v>
      </c>
      <c r="B3">
        <v>40.134228187919497</v>
      </c>
      <c r="C3">
        <v>40.673549075135583</v>
      </c>
      <c r="D3">
        <f>TableARS[[#This Row],[ARIMAPP]]*$I$2+TableARS[[#This Row],[LSTMPP]]*$I$3</f>
        <v>48.685912137583934</v>
      </c>
      <c r="E3">
        <v>43</v>
      </c>
      <c r="F3">
        <f>ABS(TableARS[[#This Row],[PP]]-TableARS[[#This Row],[AP]])</f>
        <v>5.6859121375839337</v>
      </c>
      <c r="H3" t="s">
        <v>1</v>
      </c>
      <c r="I3">
        <v>0</v>
      </c>
    </row>
    <row r="4" spans="1:9" x14ac:dyDescent="0.2">
      <c r="A4" t="s">
        <v>12</v>
      </c>
      <c r="B4">
        <v>34.000000000000007</v>
      </c>
      <c r="C4">
        <v>33.305461968274628</v>
      </c>
      <c r="D4">
        <f>TableARS[[#This Row],[ARIMAPP]]*$I$2+TableARS[[#This Row],[LSTMPP]]*$I$3</f>
        <v>41.244620550000008</v>
      </c>
      <c r="E4">
        <v>33</v>
      </c>
      <c r="F4">
        <f>ABS(TableARS[[#This Row],[PP]]-TableARS[[#This Row],[AP]])</f>
        <v>8.2446205500000076</v>
      </c>
    </row>
    <row r="5" spans="1:9" x14ac:dyDescent="0.2">
      <c r="A5" t="s">
        <v>13</v>
      </c>
      <c r="B5">
        <v>51.874269665357247</v>
      </c>
      <c r="C5">
        <v>40.721581290843012</v>
      </c>
      <c r="D5">
        <f>TableARS[[#This Row],[ARIMAPP]]*$I$2+TableARS[[#This Row],[LSTMPP]]*$I$3</f>
        <v>62.927487313412797</v>
      </c>
      <c r="E5">
        <v>80</v>
      </c>
      <c r="F5">
        <f>ABS(TableARS[[#This Row],[PP]]-TableARS[[#This Row],[AP]])</f>
        <v>17.072512686587203</v>
      </c>
      <c r="H5" t="s">
        <v>2</v>
      </c>
      <c r="I5">
        <f>SUM(ABS(TableARS[[#This Row],[PP]]-TableARS[[#This Row],[AP]]))</f>
        <v>17.072512686587203</v>
      </c>
    </row>
    <row r="6" spans="1:9" x14ac:dyDescent="0.2">
      <c r="A6" t="s">
        <v>14</v>
      </c>
      <c r="B6">
        <v>37.892736495494347</v>
      </c>
      <c r="C6">
        <v>40.787231444218378</v>
      </c>
      <c r="D6">
        <f>TableARS[[#This Row],[ARIMAPP]]*$I$2+TableARS[[#This Row],[LSTMPP]]*$I$3</f>
        <v>45.966809951700029</v>
      </c>
      <c r="E6">
        <v>43</v>
      </c>
      <c r="F6">
        <f>ABS(TableARS[[#This Row],[PP]]-TableARS[[#This Row],[AP]])</f>
        <v>2.9668099517000286</v>
      </c>
    </row>
    <row r="7" spans="1:9" x14ac:dyDescent="0.2">
      <c r="A7" t="s">
        <v>15</v>
      </c>
      <c r="B7">
        <v>32.23300970873786</v>
      </c>
      <c r="C7">
        <v>35.617740325397968</v>
      </c>
      <c r="D7">
        <f>TableARS[[#This Row],[ARIMAPP]]*$I$2+TableARS[[#This Row],[LSTMPP]]*$I$3</f>
        <v>39.101125135922324</v>
      </c>
      <c r="E7">
        <v>61</v>
      </c>
      <c r="F7">
        <f>ABS(TableARS[[#This Row],[PP]]-TableARS[[#This Row],[AP]])</f>
        <v>21.898874864077676</v>
      </c>
      <c r="H7" t="s">
        <v>3</v>
      </c>
      <c r="I7">
        <f>AVERAGE(TableARS[DIFF])/10</f>
        <v>1.0254601201460214</v>
      </c>
    </row>
    <row r="8" spans="1:9" x14ac:dyDescent="0.2">
      <c r="A8" t="s">
        <v>16</v>
      </c>
      <c r="B8">
        <v>53.526313871320333</v>
      </c>
      <c r="C8">
        <v>50.468105587075677</v>
      </c>
      <c r="D8">
        <f>TableARS[[#This Row],[ARIMAPP]]*$I$2+TableARS[[#This Row],[LSTMPP]]*$I$3</f>
        <v>64.931544266553189</v>
      </c>
      <c r="E8">
        <v>49</v>
      </c>
      <c r="F8">
        <f>ABS(TableARS[[#This Row],[PP]]-TableARS[[#This Row],[AP]])</f>
        <v>15.931544266553189</v>
      </c>
    </row>
    <row r="9" spans="1:9" x14ac:dyDescent="0.2">
      <c r="A9" t="s">
        <v>17</v>
      </c>
      <c r="B9">
        <v>41.388888888888857</v>
      </c>
      <c r="C9">
        <v>40.808026597855061</v>
      </c>
      <c r="D9">
        <f>TableARS[[#This Row],[ARIMAPP]]*$I$2+TableARS[[#This Row],[LSTMPP]]*$I$3</f>
        <v>50.20791227083329</v>
      </c>
      <c r="E9">
        <v>41</v>
      </c>
      <c r="F9">
        <f>ABS(TableARS[[#This Row],[PP]]-TableARS[[#This Row],[AP]])</f>
        <v>9.2079122708332903</v>
      </c>
    </row>
    <row r="10" spans="1:9" x14ac:dyDescent="0.2">
      <c r="A10" t="s">
        <v>18</v>
      </c>
      <c r="B10">
        <v>43.112870605060557</v>
      </c>
      <c r="C10">
        <v>40.975890376740999</v>
      </c>
      <c r="D10">
        <f>TableARS[[#This Row],[ARIMAPP]]*$I$2+TableARS[[#This Row],[LSTMPP]]*$I$3</f>
        <v>52.299234968440338</v>
      </c>
      <c r="E10">
        <v>38</v>
      </c>
      <c r="F10">
        <f>ABS(TableARS[[#This Row],[PP]]-TableARS[[#This Row],[AP]])</f>
        <v>14.299234968440338</v>
      </c>
    </row>
    <row r="11" spans="1:9" x14ac:dyDescent="0.2">
      <c r="A11" t="s">
        <v>19</v>
      </c>
      <c r="B11">
        <v>40.377358490566031</v>
      </c>
      <c r="C11">
        <v>41.955014743497557</v>
      </c>
      <c r="D11">
        <f>TableARS[[#This Row],[ARIMAPP]]*$I$2+TableARS[[#This Row],[LSTMPP]]*$I$3</f>
        <v>48.980847933962252</v>
      </c>
      <c r="E11">
        <v>52</v>
      </c>
      <c r="F11">
        <f>ABS(TableARS[[#This Row],[PP]]-TableARS[[#This Row],[AP]])</f>
        <v>3.0191520660377478</v>
      </c>
    </row>
    <row r="12" spans="1:9" x14ac:dyDescent="0.2">
      <c r="A12" t="s">
        <v>20</v>
      </c>
      <c r="B12">
        <v>47.551020408163247</v>
      </c>
      <c r="C12">
        <v>53.448161732677342</v>
      </c>
      <c r="D12">
        <f>TableARS[[#This Row],[ARIMAPP]]*$I$2+TableARS[[#This Row],[LSTMPP]]*$I$3</f>
        <v>57.683052749999973</v>
      </c>
      <c r="E12">
        <v>59</v>
      </c>
      <c r="F12">
        <f>ABS(TableARS[[#This Row],[PP]]-TableARS[[#This Row],[AP]])</f>
        <v>1.3169472500000268</v>
      </c>
    </row>
    <row r="13" spans="1:9" x14ac:dyDescent="0.2">
      <c r="A13" t="s">
        <v>21</v>
      </c>
      <c r="B13">
        <v>36.730769230769234</v>
      </c>
      <c r="C13">
        <v>34.738807660627423</v>
      </c>
      <c r="D13">
        <f>TableARS[[#This Row],[ARIMAPP]]*$I$2+TableARS[[#This Row],[LSTMPP]]*$I$3</f>
        <v>44.557254100961536</v>
      </c>
      <c r="E13">
        <v>47</v>
      </c>
      <c r="F13">
        <f>ABS(TableARS[[#This Row],[PP]]-TableARS[[#This Row],[AP]])</f>
        <v>2.4427458990384636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83</v>
      </c>
      <c r="B2">
        <v>13.050056190038299</v>
      </c>
      <c r="C2">
        <v>42.749073716814678</v>
      </c>
      <c r="D2">
        <f>TableFUL[[#This Row],[ARIMAPP]]*$I$2+TableFUL[[#This Row],[LSTMPP]]*$I$3</f>
        <v>39.909052274460329</v>
      </c>
      <c r="E2">
        <v>43</v>
      </c>
      <c r="F2">
        <f>ABS(TableFUL[[#This Row],[PP]]-TableFUL[[#This Row],[AP]])</f>
        <v>3.0909477255396709</v>
      </c>
      <c r="H2" t="s">
        <v>0</v>
      </c>
      <c r="I2">
        <v>1.4566941388999999E-6</v>
      </c>
    </row>
    <row r="3" spans="1:9" x14ac:dyDescent="0.2">
      <c r="A3" t="s">
        <v>84</v>
      </c>
      <c r="B3">
        <v>36.927399297485472</v>
      </c>
      <c r="C3">
        <v>33.446163573840501</v>
      </c>
      <c r="D3">
        <f>TableFUL[[#This Row],[ARIMAPP]]*$I$2+TableFUL[[#This Row],[LSTMPP]]*$I$3</f>
        <v>31.224216997922145</v>
      </c>
      <c r="E3">
        <v>35</v>
      </c>
      <c r="F3">
        <f>ABS(TableFUL[[#This Row],[PP]]-TableFUL[[#This Row],[AP]])</f>
        <v>3.7757830020778549</v>
      </c>
      <c r="H3" t="s">
        <v>1</v>
      </c>
      <c r="I3">
        <v>0.93356486572999997</v>
      </c>
    </row>
    <row r="4" spans="1:9" x14ac:dyDescent="0.2">
      <c r="A4" t="s">
        <v>85</v>
      </c>
      <c r="B4">
        <v>26.79999999999999</v>
      </c>
      <c r="C4">
        <v>23.167159071119499</v>
      </c>
      <c r="D4">
        <f>TableFUL[[#This Row],[ARIMAPP]]*$I$2+TableFUL[[#This Row],[LSTMPP]]*$I$3</f>
        <v>21.628084786978146</v>
      </c>
      <c r="E4">
        <v>24</v>
      </c>
      <c r="F4">
        <f>ABS(TableFUL[[#This Row],[PP]]-TableFUL[[#This Row],[AP]])</f>
        <v>2.3719152130218539</v>
      </c>
    </row>
    <row r="5" spans="1:9" x14ac:dyDescent="0.2">
      <c r="A5" t="s">
        <v>86</v>
      </c>
      <c r="B5">
        <v>30.255545042188739</v>
      </c>
      <c r="C5">
        <v>31.914811597700691</v>
      </c>
      <c r="D5">
        <f>TableFUL[[#This Row],[ARIMAPP]]*$I$2+TableFUL[[#This Row],[LSTMPP]]*$I$3</f>
        <v>29.794590877080822</v>
      </c>
      <c r="E5">
        <v>36</v>
      </c>
      <c r="F5">
        <f>ABS(TableFUL[[#This Row],[PP]]-TableFUL[[#This Row],[AP]])</f>
        <v>6.2054091229191783</v>
      </c>
      <c r="H5" t="s">
        <v>2</v>
      </c>
      <c r="I5">
        <f>SUM(ABS(TableFUL[[#This Row],[PP]]-TableFUL[[#This Row],[AP]]))</f>
        <v>6.2054091229191783</v>
      </c>
    </row>
    <row r="6" spans="1:9" x14ac:dyDescent="0.2">
      <c r="A6" t="s">
        <v>87</v>
      </c>
      <c r="B6">
        <v>23.717948717948719</v>
      </c>
      <c r="C6">
        <v>24.221090607590561</v>
      </c>
      <c r="D6">
        <f>TableFUL[[#This Row],[ARIMAPP]]*$I$2+TableFUL[[#This Row],[LSTMPP]]*$I$3</f>
        <v>22.611993750706329</v>
      </c>
      <c r="E6">
        <v>42</v>
      </c>
      <c r="F6">
        <f>ABS(TableFUL[[#This Row],[PP]]-TableFUL[[#This Row],[AP]])</f>
        <v>19.388006249293671</v>
      </c>
    </row>
    <row r="7" spans="1:9" x14ac:dyDescent="0.2">
      <c r="A7" t="s">
        <v>88</v>
      </c>
      <c r="B7">
        <v>25.957446808510621</v>
      </c>
      <c r="C7">
        <v>24.952194804054191</v>
      </c>
      <c r="D7">
        <f>TableFUL[[#This Row],[ARIMAPP]]*$I$2+TableFUL[[#This Row],[LSTMPP]]*$I$3</f>
        <v>23.294530203976279</v>
      </c>
      <c r="E7">
        <v>22</v>
      </c>
      <c r="F7">
        <f>ABS(TableFUL[[#This Row],[PP]]-TableFUL[[#This Row],[AP]])</f>
        <v>1.2945302039762794</v>
      </c>
      <c r="H7" t="s">
        <v>3</v>
      </c>
      <c r="I7">
        <f>AVERAGE(TableFUL[DIFF])/10</f>
        <v>0.81795880158427925</v>
      </c>
    </row>
    <row r="8" spans="1:9" x14ac:dyDescent="0.2">
      <c r="A8" t="s">
        <v>89</v>
      </c>
      <c r="B8">
        <v>36.470588235294123</v>
      </c>
      <c r="C8">
        <v>41.647824434470827</v>
      </c>
      <c r="D8">
        <f>TableFUL[[#This Row],[ARIMAPP]]*$I$2+TableFUL[[#This Row],[LSTMPP]]*$I$3</f>
        <v>38.8809987526055</v>
      </c>
      <c r="E8">
        <v>24</v>
      </c>
      <c r="F8">
        <f>ABS(TableFUL[[#This Row],[PP]]-TableFUL[[#This Row],[AP]])</f>
        <v>14.8809987526055</v>
      </c>
    </row>
    <row r="9" spans="1:9" x14ac:dyDescent="0.2">
      <c r="A9" t="s">
        <v>90</v>
      </c>
      <c r="B9">
        <v>26.612859755291609</v>
      </c>
      <c r="C9">
        <v>30.28802521745877</v>
      </c>
      <c r="D9">
        <f>TableFUL[[#This Row],[ARIMAPP]]*$I$2+TableFUL[[#This Row],[LSTMPP]]*$I$3</f>
        <v>28.275874962160575</v>
      </c>
      <c r="E9">
        <v>37</v>
      </c>
      <c r="F9">
        <f>ABS(TableFUL[[#This Row],[PP]]-TableFUL[[#This Row],[AP]])</f>
        <v>8.7241250378394248</v>
      </c>
    </row>
    <row r="10" spans="1:9" x14ac:dyDescent="0.2">
      <c r="A10" t="s">
        <v>91</v>
      </c>
      <c r="B10">
        <v>40.474513374381139</v>
      </c>
      <c r="C10">
        <v>42.722813743785913</v>
      </c>
      <c r="D10">
        <f>TableFUL[[#This Row],[ARIMAPP]]*$I$2+TableFUL[[#This Row],[LSTMPP]]*$I$3</f>
        <v>39.884576835311698</v>
      </c>
      <c r="E10">
        <v>26</v>
      </c>
      <c r="F10">
        <f>ABS(TableFUL[[#This Row],[PP]]-TableFUL[[#This Row],[AP]])</f>
        <v>13.884576835311698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92</v>
      </c>
      <c r="B2">
        <v>44.733168337584942</v>
      </c>
      <c r="C2">
        <v>43.544444223311572</v>
      </c>
      <c r="D2">
        <f>TableLIV[[#This Row],[ARIMAPP]]*$I$2+TableLIV[[#This Row],[LSTMPP]]*$I$3</f>
        <v>49.82480014529677</v>
      </c>
      <c r="E2">
        <v>38</v>
      </c>
      <c r="F2">
        <f>ABS(TableLIV[[#This Row],[PP]]-TableLIV[[#This Row],[AP]])</f>
        <v>11.82480014529677</v>
      </c>
      <c r="H2" t="s">
        <v>0</v>
      </c>
      <c r="I2">
        <v>0</v>
      </c>
    </row>
    <row r="3" spans="1:9" x14ac:dyDescent="0.2">
      <c r="A3" t="s">
        <v>93</v>
      </c>
      <c r="B3">
        <v>69.402173913043498</v>
      </c>
      <c r="C3">
        <v>65.266162569658775</v>
      </c>
      <c r="D3">
        <f>TableLIV[[#This Row],[ARIMAPP]]*$I$2+TableLIV[[#This Row],[LSTMPP]]*$I$3</f>
        <v>74.679412363306795</v>
      </c>
      <c r="E3">
        <v>67</v>
      </c>
      <c r="F3">
        <f>ABS(TableLIV[[#This Row],[PP]]-TableLIV[[#This Row],[AP]])</f>
        <v>7.6794123633067954</v>
      </c>
      <c r="H3" t="s">
        <v>1</v>
      </c>
      <c r="I3">
        <v>1.1442286389</v>
      </c>
    </row>
    <row r="4" spans="1:9" x14ac:dyDescent="0.2">
      <c r="A4" t="s">
        <v>94</v>
      </c>
      <c r="B4">
        <v>52.914775325573672</v>
      </c>
      <c r="C4">
        <v>49.526050219641647</v>
      </c>
      <c r="D4">
        <f>TableLIV[[#This Row],[ARIMAPP]]*$I$2+TableLIV[[#This Row],[LSTMPP]]*$I$3</f>
        <v>56.669125032913612</v>
      </c>
      <c r="E4">
        <v>57</v>
      </c>
      <c r="F4">
        <f>ABS(TableLIV[[#This Row],[PP]]-TableLIV[[#This Row],[AP]])</f>
        <v>0.33087496708638753</v>
      </c>
    </row>
    <row r="5" spans="1:9" x14ac:dyDescent="0.2">
      <c r="A5" t="s">
        <v>95</v>
      </c>
      <c r="B5">
        <v>48.076923076923073</v>
      </c>
      <c r="C5">
        <v>44.295389057991052</v>
      </c>
      <c r="D5">
        <f>TableLIV[[#This Row],[ARIMAPP]]*$I$2+TableLIV[[#This Row],[LSTMPP]]*$I$3</f>
        <v>50.684052731371054</v>
      </c>
      <c r="E5">
        <v>37</v>
      </c>
      <c r="F5">
        <f>ABS(TableLIV[[#This Row],[PP]]-TableLIV[[#This Row],[AP]])</f>
        <v>13.684052731371054</v>
      </c>
      <c r="H5" t="s">
        <v>2</v>
      </c>
      <c r="I5">
        <f>SUM(ABS(TableLIV[[#This Row],[PP]]-TableLIV[[#This Row],[AP]]))</f>
        <v>13.684052731371054</v>
      </c>
    </row>
    <row r="6" spans="1:9" x14ac:dyDescent="0.2">
      <c r="A6" t="s">
        <v>96</v>
      </c>
      <c r="B6">
        <v>18.490566037735849</v>
      </c>
      <c r="C6">
        <v>16.122860850056181</v>
      </c>
      <c r="D6">
        <f>TableLIV[[#This Row],[ARIMAPP]]*$I$2+TableLIV[[#This Row],[LSTMPP]]*$I$3</f>
        <v>18.448239125633883</v>
      </c>
      <c r="E6">
        <v>35</v>
      </c>
      <c r="F6">
        <f>ABS(TableLIV[[#This Row],[PP]]-TableLIV[[#This Row],[AP]])</f>
        <v>16.551760874366117</v>
      </c>
    </row>
    <row r="7" spans="1:9" x14ac:dyDescent="0.2">
      <c r="A7" t="s">
        <v>97</v>
      </c>
      <c r="B7">
        <v>28.118811881188119</v>
      </c>
      <c r="C7">
        <v>28.444147975485809</v>
      </c>
      <c r="D7">
        <f>TableLIV[[#This Row],[ARIMAPP]]*$I$2+TableLIV[[#This Row],[LSTMPP]]*$I$3</f>
        <v>32.546608722660316</v>
      </c>
      <c r="E7">
        <v>45</v>
      </c>
      <c r="F7">
        <f>ABS(TableLIV[[#This Row],[PP]]-TableLIV[[#This Row],[AP]])</f>
        <v>12.453391277339684</v>
      </c>
      <c r="H7" t="s">
        <v>3</v>
      </c>
      <c r="I7">
        <f>AVERAGE(TableLIV[DIFF])/10</f>
        <v>0.92153247197459043</v>
      </c>
    </row>
    <row r="8" spans="1:9" x14ac:dyDescent="0.2">
      <c r="A8" t="s">
        <v>98</v>
      </c>
      <c r="B8">
        <v>28.611111111111111</v>
      </c>
      <c r="C8">
        <v>27.878766550457811</v>
      </c>
      <c r="D8">
        <f>TableLIV[[#This Row],[ARIMAPP]]*$I$2+TableLIV[[#This Row],[LSTMPP]]*$I$3</f>
        <v>31.899683104241191</v>
      </c>
      <c r="E8">
        <v>30</v>
      </c>
      <c r="F8">
        <f>ABS(TableLIV[[#This Row],[PP]]-TableLIV[[#This Row],[AP]])</f>
        <v>1.8996831042411912</v>
      </c>
    </row>
    <row r="9" spans="1:9" x14ac:dyDescent="0.2">
      <c r="A9" t="s">
        <v>99</v>
      </c>
      <c r="B9">
        <v>32.857142857142847</v>
      </c>
      <c r="C9">
        <v>37.41060230981973</v>
      </c>
      <c r="D9">
        <f>TableLIV[[#This Row],[ARIMAPP]]*$I$2+TableLIV[[#This Row],[LSTMPP]]*$I$3</f>
        <v>42.806282561394227</v>
      </c>
      <c r="E9">
        <v>48</v>
      </c>
      <c r="F9">
        <f>ABS(TableLIV[[#This Row],[PP]]-TableLIV[[#This Row],[AP]])</f>
        <v>5.1937174386057734</v>
      </c>
    </row>
    <row r="10" spans="1:9" x14ac:dyDescent="0.2">
      <c r="A10" t="s">
        <v>100</v>
      </c>
      <c r="B10">
        <v>37.441860465116292</v>
      </c>
      <c r="C10">
        <v>34.653490520402642</v>
      </c>
      <c r="D10">
        <f>TableLIV[[#This Row],[ARIMAPP]]*$I$2+TableLIV[[#This Row],[LSTMPP]]*$I$3</f>
        <v>39.651516291294371</v>
      </c>
      <c r="E10">
        <v>48</v>
      </c>
      <c r="F10">
        <f>ABS(TableLIV[[#This Row],[PP]]-TableLIV[[#This Row],[AP]])</f>
        <v>8.3484837087056292</v>
      </c>
    </row>
    <row r="11" spans="1:9" x14ac:dyDescent="0.2">
      <c r="A11" t="s">
        <v>101</v>
      </c>
      <c r="B11">
        <v>36.071428571428569</v>
      </c>
      <c r="C11">
        <v>42.972620510418359</v>
      </c>
      <c r="D11">
        <f>TableLIV[[#This Row],[ARIMAPP]]*$I$2+TableLIV[[#This Row],[LSTMPP]]*$I$3</f>
        <v>49.170503076602223</v>
      </c>
      <c r="E11">
        <v>65</v>
      </c>
      <c r="F11">
        <f>ABS(TableLIV[[#This Row],[PP]]-TableLIV[[#This Row],[AP]])</f>
        <v>15.829496923397777</v>
      </c>
    </row>
    <row r="12" spans="1:9" x14ac:dyDescent="0.2">
      <c r="A12" t="s">
        <v>102</v>
      </c>
      <c r="B12">
        <v>15.265946680248099</v>
      </c>
      <c r="C12">
        <v>19.99734396459877</v>
      </c>
      <c r="D12">
        <f>TableLIV[[#This Row],[ARIMAPP]]*$I$2+TableLIV[[#This Row],[LSTMPP]]*$I$3</f>
        <v>22.88153366622798</v>
      </c>
      <c r="E12">
        <v>28</v>
      </c>
      <c r="F12">
        <f>ABS(TableLIV[[#This Row],[PP]]-TableLIV[[#This Row],[AP]])</f>
        <v>5.1184663337720195</v>
      </c>
    </row>
    <row r="13" spans="1:9" x14ac:dyDescent="0.2">
      <c r="A13" t="s">
        <v>103</v>
      </c>
      <c r="B13">
        <v>40.000000000000007</v>
      </c>
      <c r="C13">
        <v>38.651846689180097</v>
      </c>
      <c r="D13">
        <f>TableLIV[[#This Row],[ARIMAPP]]*$I$2+TableLIV[[#This Row],[LSTMPP]]*$I$3</f>
        <v>44.226549928132016</v>
      </c>
      <c r="E13">
        <v>33</v>
      </c>
      <c r="F13">
        <f>ABS(TableLIV[[#This Row],[PP]]-TableLIV[[#This Row],[AP]])</f>
        <v>11.226549928132016</v>
      </c>
    </row>
    <row r="14" spans="1:9" x14ac:dyDescent="0.2">
      <c r="A14" t="s">
        <v>104</v>
      </c>
      <c r="B14">
        <v>23.076923076923091</v>
      </c>
      <c r="C14">
        <v>21.273255721273529</v>
      </c>
      <c r="D14">
        <f>TableLIV[[#This Row],[ARIMAPP]]*$I$2+TableLIV[[#This Row],[LSTMPP]]*$I$3</f>
        <v>24.341468438924448</v>
      </c>
      <c r="E14">
        <v>34</v>
      </c>
      <c r="F14">
        <f>ABS(TableLIV[[#This Row],[PP]]-TableLIV[[#This Row],[AP]])</f>
        <v>9.6585315610755522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105</v>
      </c>
      <c r="B2">
        <v>28.047795708523459</v>
      </c>
      <c r="C2">
        <v>28.776365061731479</v>
      </c>
      <c r="D2">
        <f>TableLUT[[#This Row],[ARIMAPP]]*$I$2+TableLUT[[#This Row],[LSTMPP]]*$I$3</f>
        <v>46.595086313660623</v>
      </c>
      <c r="E2">
        <v>45</v>
      </c>
      <c r="F2">
        <f>ABS(TableLUT[[#This Row],[PP]]-TableLUT[[#This Row],[AP]])</f>
        <v>1.595086313660623</v>
      </c>
      <c r="H2" t="s">
        <v>0</v>
      </c>
      <c r="I2">
        <v>1.6612744473000001</v>
      </c>
    </row>
    <row r="3" spans="1:9" x14ac:dyDescent="0.2">
      <c r="A3" t="s">
        <v>106</v>
      </c>
      <c r="B3">
        <v>14.705882352941179</v>
      </c>
      <c r="C3">
        <v>15.9824363852426</v>
      </c>
      <c r="D3">
        <f>TableLUT[[#This Row],[ARIMAPP]]*$I$2+TableLUT[[#This Row],[LSTMPP]]*$I$3</f>
        <v>24.430506577941181</v>
      </c>
      <c r="E3">
        <v>28</v>
      </c>
      <c r="F3">
        <f>ABS(TableLUT[[#This Row],[PP]]-TableLUT[[#This Row],[AP]])</f>
        <v>3.5694934220588195</v>
      </c>
      <c r="H3" t="s">
        <v>1</v>
      </c>
      <c r="I3">
        <v>0</v>
      </c>
    </row>
    <row r="4" spans="1:9" x14ac:dyDescent="0.2">
      <c r="A4" t="s">
        <v>107</v>
      </c>
      <c r="B4">
        <v>23.125000000000011</v>
      </c>
      <c r="C4">
        <v>19.778477406855011</v>
      </c>
      <c r="D4">
        <f>TableLUT[[#This Row],[ARIMAPP]]*$I$2+TableLUT[[#This Row],[LSTMPP]]*$I$3</f>
        <v>38.416971593812519</v>
      </c>
      <c r="E4">
        <v>23</v>
      </c>
      <c r="F4">
        <f>ABS(TableLUT[[#This Row],[PP]]-TableLUT[[#This Row],[AP]])</f>
        <v>15.416971593812519</v>
      </c>
    </row>
    <row r="5" spans="1:9" x14ac:dyDescent="0.2">
      <c r="A5" t="s">
        <v>108</v>
      </c>
      <c r="B5">
        <v>20.833333333333339</v>
      </c>
      <c r="C5">
        <v>9.3115893815907107</v>
      </c>
      <c r="D5">
        <f>TableLUT[[#This Row],[ARIMAPP]]*$I$2+TableLUT[[#This Row],[LSTMPP]]*$I$3</f>
        <v>34.609884318750012</v>
      </c>
      <c r="E5">
        <v>54</v>
      </c>
      <c r="F5">
        <f>ABS(TableLUT[[#This Row],[PP]]-TableLUT[[#This Row],[AP]])</f>
        <v>19.390115681249988</v>
      </c>
      <c r="H5" t="s">
        <v>2</v>
      </c>
      <c r="I5">
        <f>SUM(ABS(TableLUT[[#This Row],[PP]]-TableLUT[[#This Row],[AP]]))</f>
        <v>19.390115681249988</v>
      </c>
    </row>
    <row r="6" spans="1:9" x14ac:dyDescent="0.2">
      <c r="A6" t="s">
        <v>109</v>
      </c>
      <c r="B6">
        <v>21.333333333333329</v>
      </c>
      <c r="C6">
        <v>13.00829874272611</v>
      </c>
      <c r="D6">
        <f>TableLUT[[#This Row],[ARIMAPP]]*$I$2+TableLUT[[#This Row],[LSTMPP]]*$I$3</f>
        <v>35.440521542399992</v>
      </c>
      <c r="E6">
        <v>37</v>
      </c>
      <c r="F6">
        <f>ABS(TableLUT[[#This Row],[PP]]-TableLUT[[#This Row],[AP]])</f>
        <v>1.559478457600008</v>
      </c>
    </row>
    <row r="7" spans="1:9" x14ac:dyDescent="0.2">
      <c r="A7" t="s">
        <v>110</v>
      </c>
      <c r="B7">
        <v>26.851377810861479</v>
      </c>
      <c r="C7">
        <v>18.57229788430087</v>
      </c>
      <c r="D7">
        <f>TableLUT[[#This Row],[ARIMAPP]]*$I$2+TableLUT[[#This Row],[LSTMPP]]*$I$3</f>
        <v>44.607507831982389</v>
      </c>
      <c r="E7">
        <v>40</v>
      </c>
      <c r="F7">
        <f>ABS(TableLUT[[#This Row],[PP]]-TableLUT[[#This Row],[AP]])</f>
        <v>4.6075078319823888</v>
      </c>
      <c r="H7" t="s">
        <v>3</v>
      </c>
      <c r="I7">
        <f>AVERAGE(TableLUT[DIFF])/10</f>
        <v>0.6762673772989547</v>
      </c>
    </row>
    <row r="8" spans="1:9" x14ac:dyDescent="0.2">
      <c r="A8" t="s">
        <v>111</v>
      </c>
      <c r="B8">
        <v>29.375000000000011</v>
      </c>
      <c r="C8">
        <v>36.299147716105892</v>
      </c>
      <c r="D8">
        <f>TableLUT[[#This Row],[ARIMAPP]]*$I$2+TableLUT[[#This Row],[LSTMPP]]*$I$3</f>
        <v>48.799936889437518</v>
      </c>
      <c r="E8">
        <v>50</v>
      </c>
      <c r="F8">
        <f>ABS(TableLUT[[#This Row],[PP]]-TableLUT[[#This Row],[AP]])</f>
        <v>1.2000631105624819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112</v>
      </c>
      <c r="B2">
        <v>39.193548387096733</v>
      </c>
      <c r="C2">
        <v>41.686819761300121</v>
      </c>
      <c r="D2">
        <f>TableMCI[[#This Row],[ARIMAPP]]*$I$2+TableMCI[[#This Row],[LSTMPP]]*$I$3</f>
        <v>39.665851255403886</v>
      </c>
      <c r="E2">
        <v>36</v>
      </c>
      <c r="F2">
        <f>ABS(TableMCI[[#This Row],[PP]]-TableMCI[[#This Row],[AP]])</f>
        <v>3.6658512554038865</v>
      </c>
      <c r="H2" t="s">
        <v>0</v>
      </c>
      <c r="I2">
        <v>1.012050439</v>
      </c>
    </row>
    <row r="3" spans="1:9" x14ac:dyDescent="0.2">
      <c r="A3" t="s">
        <v>113</v>
      </c>
      <c r="B3">
        <v>37.971014492753618</v>
      </c>
      <c r="C3">
        <v>43.996232393777383</v>
      </c>
      <c r="D3">
        <f>TableMCI[[#This Row],[ARIMAPP]]*$I$2+TableMCI[[#This Row],[LSTMPP]]*$I$3</f>
        <v>38.42858547953535</v>
      </c>
      <c r="E3">
        <v>29</v>
      </c>
      <c r="F3">
        <f>ABS(TableMCI[[#This Row],[PP]]-TableMCI[[#This Row],[AP]])</f>
        <v>9.4285854795353501</v>
      </c>
      <c r="H3" t="s">
        <v>1</v>
      </c>
      <c r="I3">
        <v>8.1663099137000005E-8</v>
      </c>
    </row>
    <row r="4" spans="1:9" x14ac:dyDescent="0.2">
      <c r="A4" t="s">
        <v>114</v>
      </c>
      <c r="B4">
        <v>32.421875</v>
      </c>
      <c r="C4">
        <v>28.900386641039852</v>
      </c>
      <c r="D4">
        <f>TableMCI[[#This Row],[ARIMAPP]]*$I$2+TableMCI[[#This Row],[LSTMPP]]*$I$3</f>
        <v>32.81257518704826</v>
      </c>
      <c r="E4">
        <v>39</v>
      </c>
      <c r="F4">
        <f>ABS(TableMCI[[#This Row],[PP]]-TableMCI[[#This Row],[AP]])</f>
        <v>6.1874248129517397</v>
      </c>
    </row>
    <row r="5" spans="1:9" x14ac:dyDescent="0.2">
      <c r="A5" t="s">
        <v>115</v>
      </c>
      <c r="B5">
        <v>44.950664278500547</v>
      </c>
      <c r="C5">
        <v>36.157559421451943</v>
      </c>
      <c r="D5">
        <f>TableMCI[[#This Row],[ARIMAPP]]*$I$2+TableMCI[[#This Row],[LSTMPP]]*$I$3</f>
        <v>45.492342469136453</v>
      </c>
      <c r="E5">
        <v>82</v>
      </c>
      <c r="F5">
        <f>ABS(TableMCI[[#This Row],[PP]]-TableMCI[[#This Row],[AP]])</f>
        <v>36.507657530863547</v>
      </c>
      <c r="H5" t="s">
        <v>2</v>
      </c>
      <c r="I5">
        <f>SUM(ABS(TableMCI[[#This Row],[PP]]-TableMCI[[#This Row],[AP]]))</f>
        <v>36.507657530863547</v>
      </c>
    </row>
    <row r="6" spans="1:9" x14ac:dyDescent="0.2">
      <c r="A6" t="s">
        <v>116</v>
      </c>
      <c r="B6">
        <v>31.10362884724341</v>
      </c>
      <c r="C6">
        <v>30.88877030103097</v>
      </c>
      <c r="D6">
        <f>TableMCI[[#This Row],[ARIMAPP]]*$I$2+TableMCI[[#This Row],[LSTMPP]]*$I$3</f>
        <v>31.478443751818471</v>
      </c>
      <c r="E6">
        <v>48</v>
      </c>
      <c r="F6">
        <f>ABS(TableMCI[[#This Row],[PP]]-TableMCI[[#This Row],[AP]])</f>
        <v>16.521556248181529</v>
      </c>
    </row>
    <row r="7" spans="1:9" x14ac:dyDescent="0.2">
      <c r="A7" t="s">
        <v>117</v>
      </c>
      <c r="B7">
        <v>82.093023255813989</v>
      </c>
      <c r="C7">
        <v>68.241691049608875</v>
      </c>
      <c r="D7">
        <f>TableMCI[[#This Row],[ARIMAPP]]*$I$2+TableMCI[[#This Row],[LSTMPP]]*$I$3</f>
        <v>83.082285797711748</v>
      </c>
      <c r="E7">
        <v>56</v>
      </c>
      <c r="F7">
        <f>ABS(TableMCI[[#This Row],[PP]]-TableMCI[[#This Row],[AP]])</f>
        <v>27.082285797711748</v>
      </c>
      <c r="H7" t="s">
        <v>3</v>
      </c>
      <c r="I7">
        <f>AVERAGE(TableMCI[DIFF])/10</f>
        <v>1.2543311546856548</v>
      </c>
    </row>
    <row r="8" spans="1:9" x14ac:dyDescent="0.2">
      <c r="A8" t="s">
        <v>118</v>
      </c>
      <c r="B8">
        <v>38.879452382918593</v>
      </c>
      <c r="C8">
        <v>34.249114904098867</v>
      </c>
      <c r="D8">
        <f>TableMCI[[#This Row],[ARIMAPP]]*$I$2+TableMCI[[#This Row],[LSTMPP]]*$I$3</f>
        <v>39.347969649101223</v>
      </c>
      <c r="E8">
        <v>38</v>
      </c>
      <c r="F8">
        <f>ABS(TableMCI[[#This Row],[PP]]-TableMCI[[#This Row],[AP]])</f>
        <v>1.3479696491012234</v>
      </c>
    </row>
    <row r="9" spans="1:9" x14ac:dyDescent="0.2">
      <c r="A9" t="s">
        <v>119</v>
      </c>
      <c r="B9">
        <v>35.869565217391298</v>
      </c>
      <c r="C9">
        <v>37.734255123426351</v>
      </c>
      <c r="D9">
        <f>TableMCI[[#This Row],[ARIMAPP]]*$I$2+TableMCI[[#This Row],[LSTMPP]]*$I$3</f>
        <v>36.30181230649621</v>
      </c>
      <c r="E9">
        <v>46</v>
      </c>
      <c r="F9">
        <f>ABS(TableMCI[[#This Row],[PP]]-TableMCI[[#This Row],[AP]])</f>
        <v>9.6981876935037903</v>
      </c>
    </row>
    <row r="10" spans="1:9" x14ac:dyDescent="0.2">
      <c r="A10" t="s">
        <v>120</v>
      </c>
      <c r="B10">
        <v>30.185957889750849</v>
      </c>
      <c r="C10">
        <v>31.980001295102429</v>
      </c>
      <c r="D10">
        <f>TableMCI[[#This Row],[ARIMAPP]]*$I$2+TableMCI[[#This Row],[LSTMPP]]*$I$3</f>
        <v>30.549714545543878</v>
      </c>
      <c r="E10">
        <v>33</v>
      </c>
      <c r="F10">
        <f>ABS(TableMCI[[#This Row],[PP]]-TableMCI[[#This Row],[AP]])</f>
        <v>2.4502854544561217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121</v>
      </c>
      <c r="B2">
        <v>43.784495119022161</v>
      </c>
      <c r="C2">
        <v>35.112876980177958</v>
      </c>
      <c r="D2">
        <f>TableMUN[[#This Row],[ARIMAPP]]*$I$2+TableMUN[[#This Row],[LSTMPP]]*$I$3</f>
        <v>46.401121046468788</v>
      </c>
      <c r="E2">
        <v>50</v>
      </c>
      <c r="F2">
        <f>ABS(TableMUN[[#This Row],[PP]]-TableMUN[[#This Row],[AP]])</f>
        <v>3.5988789535312122</v>
      </c>
      <c r="H2" t="s">
        <v>0</v>
      </c>
      <c r="I2">
        <v>1.0597612759999999</v>
      </c>
    </row>
    <row r="3" spans="1:9" x14ac:dyDescent="0.2">
      <c r="A3" t="s">
        <v>122</v>
      </c>
      <c r="B3">
        <v>26.02941176470587</v>
      </c>
      <c r="C3">
        <v>24.679406662062132</v>
      </c>
      <c r="D3">
        <f>TableMUN[[#This Row],[ARIMAPP]]*$I$2+TableMUN[[#This Row],[LSTMPP]]*$I$3</f>
        <v>27.584968691051518</v>
      </c>
      <c r="E3">
        <v>25</v>
      </c>
      <c r="F3">
        <f>ABS(TableMUN[[#This Row],[PP]]-TableMUN[[#This Row],[AP]])</f>
        <v>2.5849686910515182</v>
      </c>
      <c r="H3" t="s">
        <v>1</v>
      </c>
      <c r="I3">
        <v>2.4578214133000002E-7</v>
      </c>
    </row>
    <row r="4" spans="1:9" x14ac:dyDescent="0.2">
      <c r="A4" t="s">
        <v>123</v>
      </c>
      <c r="B4">
        <v>30.198536143185379</v>
      </c>
      <c r="C4">
        <v>32.575353872420692</v>
      </c>
      <c r="D4">
        <f>TableMUN[[#This Row],[ARIMAPP]]*$I$2+TableMUN[[#This Row],[LSTMPP]]*$I$3</f>
        <v>32.003247202874483</v>
      </c>
      <c r="E4">
        <v>34</v>
      </c>
      <c r="F4">
        <f>ABS(TableMUN[[#This Row],[PP]]-TableMUN[[#This Row],[AP]])</f>
        <v>1.9967527971255166</v>
      </c>
    </row>
    <row r="5" spans="1:9" x14ac:dyDescent="0.2">
      <c r="A5" t="s">
        <v>124</v>
      </c>
      <c r="B5">
        <v>30.793650793650791</v>
      </c>
      <c r="C5">
        <v>33.409755628217923</v>
      </c>
      <c r="D5">
        <f>TableMUN[[#This Row],[ARIMAPP]]*$I$2+TableMUN[[#This Row],[LSTMPP]]*$I$3</f>
        <v>32.633926869299046</v>
      </c>
      <c r="E5">
        <v>20</v>
      </c>
      <c r="F5">
        <f>ABS(TableMUN[[#This Row],[PP]]-TableMUN[[#This Row],[AP]])</f>
        <v>12.633926869299046</v>
      </c>
      <c r="H5" t="s">
        <v>2</v>
      </c>
      <c r="I5">
        <f>SUM(ABS(TableMUN[[#This Row],[PP]]-TableMUN[[#This Row],[AP]]))</f>
        <v>12.633926869299046</v>
      </c>
    </row>
    <row r="6" spans="1:9" x14ac:dyDescent="0.2">
      <c r="A6" t="s">
        <v>125</v>
      </c>
      <c r="B6">
        <v>37.250000000000007</v>
      </c>
      <c r="C6">
        <v>43.309790952224432</v>
      </c>
      <c r="D6">
        <f>TableMUN[[#This Row],[ARIMAPP]]*$I$2+TableMUN[[#This Row],[LSTMPP]]*$I$3</f>
        <v>39.476118175773166</v>
      </c>
      <c r="E6">
        <v>26</v>
      </c>
      <c r="F6">
        <f>ABS(TableMUN[[#This Row],[PP]]-TableMUN[[#This Row],[AP]])</f>
        <v>13.476118175773166</v>
      </c>
    </row>
    <row r="7" spans="1:9" x14ac:dyDescent="0.2">
      <c r="A7" t="s">
        <v>126</v>
      </c>
      <c r="B7">
        <v>21.939223664863778</v>
      </c>
      <c r="C7">
        <v>20.45812423257788</v>
      </c>
      <c r="D7">
        <f>TableMUN[[#This Row],[ARIMAPP]]*$I$2+TableMUN[[#This Row],[LSTMPP]]*$I$3</f>
        <v>23.250344693767012</v>
      </c>
      <c r="E7">
        <v>57</v>
      </c>
      <c r="F7">
        <f>ABS(TableMUN[[#This Row],[PP]]-TableMUN[[#This Row],[AP]])</f>
        <v>33.749655306232988</v>
      </c>
      <c r="H7" t="s">
        <v>3</v>
      </c>
      <c r="I7">
        <f>AVERAGE(TableMUN[DIFF])/10</f>
        <v>1.1340050132168906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127</v>
      </c>
      <c r="B2">
        <v>47.763086683688101</v>
      </c>
      <c r="C2">
        <v>34.999700136221477</v>
      </c>
      <c r="D2">
        <f>TableNEW[[#This Row],[ARIMAPP]]*$I$2+TableNEW[[#This Row],[LSTMPP]]*$I$3</f>
        <v>38.337013431227341</v>
      </c>
      <c r="E2">
        <v>25</v>
      </c>
      <c r="F2">
        <f>ABS(TableNEW[[#This Row],[PP]]-TableNEW[[#This Row],[AP]])</f>
        <v>13.337013431227341</v>
      </c>
      <c r="H2" t="s">
        <v>0</v>
      </c>
      <c r="I2">
        <v>1.6455672367999999E-7</v>
      </c>
    </row>
    <row r="3" spans="1:9" x14ac:dyDescent="0.2">
      <c r="A3" t="s">
        <v>128</v>
      </c>
      <c r="B3">
        <v>27.65941782371285</v>
      </c>
      <c r="C3">
        <v>32.548501352129051</v>
      </c>
      <c r="D3">
        <f>TableNEW[[#This Row],[ARIMAPP]]*$I$2+TableNEW[[#This Row],[LSTMPP]]*$I$3</f>
        <v>35.652083650039778</v>
      </c>
      <c r="E3">
        <v>41</v>
      </c>
      <c r="F3">
        <f>ABS(TableNEW[[#This Row],[PP]]-TableNEW[[#This Row],[AP]])</f>
        <v>5.3479163499602222</v>
      </c>
      <c r="H3" t="s">
        <v>1</v>
      </c>
      <c r="I3">
        <v>1.0953524008</v>
      </c>
    </row>
    <row r="4" spans="1:9" x14ac:dyDescent="0.2">
      <c r="A4" t="s">
        <v>129</v>
      </c>
      <c r="B4">
        <v>23.467741935483861</v>
      </c>
      <c r="C4">
        <v>20.049780625672931</v>
      </c>
      <c r="D4">
        <f>TableNEW[[#This Row],[ARIMAPP]]*$I$2+TableNEW[[#This Row],[LSTMPP]]*$I$3</f>
        <v>21.961579205618897</v>
      </c>
      <c r="E4">
        <v>34</v>
      </c>
      <c r="F4">
        <f>ABS(TableNEW[[#This Row],[PP]]-TableNEW[[#This Row],[AP]])</f>
        <v>12.038420794381103</v>
      </c>
    </row>
    <row r="5" spans="1:9" x14ac:dyDescent="0.2">
      <c r="A5" t="s">
        <v>130</v>
      </c>
      <c r="B5">
        <v>35.207761347185738</v>
      </c>
      <c r="C5">
        <v>27.345952379816779</v>
      </c>
      <c r="D5">
        <f>TableNEW[[#This Row],[ARIMAPP]]*$I$2+TableNEW[[#This Row],[LSTMPP]]*$I$3</f>
        <v>29.953460385068638</v>
      </c>
      <c r="E5">
        <v>21</v>
      </c>
      <c r="F5">
        <f>ABS(TableNEW[[#This Row],[PP]]-TableNEW[[#This Row],[AP]])</f>
        <v>8.9534603850686381</v>
      </c>
      <c r="H5" t="s">
        <v>2</v>
      </c>
      <c r="I5">
        <f>SUM(ABS(TableNEW[[#This Row],[PP]]-TableNEW[[#This Row],[AP]]))</f>
        <v>8.9534603850686381</v>
      </c>
    </row>
    <row r="6" spans="1:9" x14ac:dyDescent="0.2">
      <c r="A6" t="s">
        <v>131</v>
      </c>
      <c r="B6">
        <v>33.835150151254417</v>
      </c>
      <c r="C6">
        <v>22.25027686999163</v>
      </c>
      <c r="D6">
        <f>TableNEW[[#This Row],[ARIMAPP]]*$I$2+TableNEW[[#This Row],[LSTMPP]]*$I$3</f>
        <v>24.371899755811498</v>
      </c>
      <c r="E6">
        <v>39</v>
      </c>
      <c r="F6">
        <f>ABS(TableNEW[[#This Row],[PP]]-TableNEW[[#This Row],[AP]])</f>
        <v>14.628100244188502</v>
      </c>
    </row>
    <row r="7" spans="1:9" x14ac:dyDescent="0.2">
      <c r="A7" t="s">
        <v>132</v>
      </c>
      <c r="B7">
        <v>31.508043819328829</v>
      </c>
      <c r="C7">
        <v>33.751690434086044</v>
      </c>
      <c r="D7">
        <f>TableNEW[[#This Row],[ARIMAPP]]*$I$2+TableNEW[[#This Row],[LSTMPP]]*$I$3</f>
        <v>36.970000332895005</v>
      </c>
      <c r="E7">
        <v>43</v>
      </c>
      <c r="F7">
        <f>ABS(TableNEW[[#This Row],[PP]]-TableNEW[[#This Row],[AP]])</f>
        <v>6.0299996671049954</v>
      </c>
      <c r="H7" t="s">
        <v>3</v>
      </c>
      <c r="I7">
        <f>AVERAGE(TableNEW[DIFF])/10</f>
        <v>0.94029328751931496</v>
      </c>
    </row>
    <row r="8" spans="1:9" x14ac:dyDescent="0.2">
      <c r="A8" t="s">
        <v>133</v>
      </c>
      <c r="B8">
        <v>48.999999999999993</v>
      </c>
      <c r="C8">
        <v>42.438954949284479</v>
      </c>
      <c r="D8">
        <f>TableNEW[[#This Row],[ARIMAPP]]*$I$2+TableNEW[[#This Row],[LSTMPP]]*$I$3</f>
        <v>46.485619254421252</v>
      </c>
      <c r="E8">
        <v>41</v>
      </c>
      <c r="F8">
        <f>ABS(TableNEW[[#This Row],[PP]]-TableNEW[[#This Row],[AP]])</f>
        <v>5.4856192544212519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134</v>
      </c>
      <c r="B2">
        <v>33.569295443325743</v>
      </c>
      <c r="C2">
        <v>36.130169699800533</v>
      </c>
      <c r="D2">
        <f>TableNFO[[#This Row],[ARIMAPP]]*$I$2+TableNFO[[#This Row],[LSTMPP]]*$I$3</f>
        <v>52.999998608605466</v>
      </c>
      <c r="E2">
        <v>53</v>
      </c>
      <c r="F2">
        <f>ABS(TableNFO[[#This Row],[PP]]-TableNFO[[#This Row],[AP]])</f>
        <v>1.3913945338117628E-6</v>
      </c>
      <c r="H2" t="s">
        <v>0</v>
      </c>
      <c r="I2">
        <v>7.0528343775000002E-2</v>
      </c>
    </row>
    <row r="3" spans="1:9" x14ac:dyDescent="0.2">
      <c r="A3" t="s">
        <v>135</v>
      </c>
      <c r="B3">
        <v>35.121721867825741</v>
      </c>
      <c r="C3">
        <v>23.921218332348982</v>
      </c>
      <c r="D3">
        <f>TableNFO[[#This Row],[ARIMAPP]]*$I$2+TableNFO[[#This Row],[LSTMPP]]*$I$3</f>
        <v>36.000002102499188</v>
      </c>
      <c r="E3">
        <v>36</v>
      </c>
      <c r="F3">
        <f>ABS(TableNFO[[#This Row],[PP]]-TableNFO[[#This Row],[AP]])</f>
        <v>2.1024991880835842E-6</v>
      </c>
      <c r="H3" t="s">
        <v>1</v>
      </c>
      <c r="I3">
        <v>1.401388707</v>
      </c>
    </row>
    <row r="5" spans="1:9" x14ac:dyDescent="0.2">
      <c r="H5" t="s">
        <v>2</v>
      </c>
      <c r="I5" t="e">
        <f>SUM(ABS(TableNFO[[#This Row],[PP]]-TableNFO[[#This Row],[AP]]))</f>
        <v>#VALUE!</v>
      </c>
    </row>
    <row r="7" spans="1:9" x14ac:dyDescent="0.2">
      <c r="H7" t="s">
        <v>3</v>
      </c>
      <c r="I7">
        <f>AVERAGE(TableNFO[DIFF])/10</f>
        <v>1.7469468609476736E-7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136</v>
      </c>
      <c r="B2">
        <v>21.42857142857142</v>
      </c>
      <c r="C2">
        <v>19.805183438760888</v>
      </c>
      <c r="D2">
        <f>TableSHU[[#This Row],[ARIMAPP]]*$I$2+TableSHU[[#This Row],[LSTMPP]]*$I$3</f>
        <v>26.471337209999987</v>
      </c>
      <c r="E2">
        <v>30</v>
      </c>
      <c r="F2">
        <f>ABS(TableSHU[[#This Row],[PP]]-TableSHU[[#This Row],[AP]])</f>
        <v>3.5286627900000127</v>
      </c>
      <c r="H2" t="s">
        <v>0</v>
      </c>
      <c r="I2">
        <v>1.2353290697999999</v>
      </c>
    </row>
    <row r="3" spans="1:9" x14ac:dyDescent="0.2">
      <c r="A3" t="s">
        <v>137</v>
      </c>
      <c r="B3">
        <v>23.125</v>
      </c>
      <c r="C3">
        <v>20.050846091825651</v>
      </c>
      <c r="D3">
        <f>TableSHU[[#This Row],[ARIMAPP]]*$I$2+TableSHU[[#This Row],[LSTMPP]]*$I$3</f>
        <v>28.566984739124997</v>
      </c>
      <c r="E3">
        <v>30</v>
      </c>
      <c r="F3">
        <f>ABS(TableSHU[[#This Row],[PP]]-TableSHU[[#This Row],[AP]])</f>
        <v>1.4330152608750026</v>
      </c>
      <c r="H3" t="s">
        <v>1</v>
      </c>
      <c r="I3">
        <v>0</v>
      </c>
    </row>
    <row r="4" spans="1:9" x14ac:dyDescent="0.2">
      <c r="A4" t="s">
        <v>138</v>
      </c>
      <c r="B4">
        <v>17.647058809187371</v>
      </c>
      <c r="C4">
        <v>17.31447482037893</v>
      </c>
      <c r="D4">
        <f>TableSHU[[#This Row],[ARIMAPP]]*$I$2+TableSHU[[#This Row],[LSTMPP]]*$I$3</f>
        <v>21.799924743459329</v>
      </c>
      <c r="E4">
        <v>30</v>
      </c>
      <c r="F4">
        <f>ABS(TableSHU[[#This Row],[PP]]-TableSHU[[#This Row],[AP]])</f>
        <v>8.2000752565406714</v>
      </c>
    </row>
    <row r="5" spans="1:9" x14ac:dyDescent="0.2">
      <c r="A5" t="s">
        <v>139</v>
      </c>
      <c r="B5">
        <v>21.333333333333329</v>
      </c>
      <c r="C5">
        <v>20.798513548884159</v>
      </c>
      <c r="D5">
        <f>TableSHU[[#This Row],[ARIMAPP]]*$I$2+TableSHU[[#This Row],[LSTMPP]]*$I$3</f>
        <v>26.353686822399993</v>
      </c>
      <c r="E5">
        <v>26</v>
      </c>
      <c r="F5">
        <f>ABS(TableSHU[[#This Row],[PP]]-TableSHU[[#This Row],[AP]])</f>
        <v>0.35368682239999316</v>
      </c>
      <c r="H5" t="s">
        <v>2</v>
      </c>
      <c r="I5">
        <f>SUM(ABS(TableSHU[[#This Row],[PP]]-TableSHU[[#This Row],[AP]]))</f>
        <v>0.35368682239999316</v>
      </c>
    </row>
    <row r="6" spans="1:9" x14ac:dyDescent="0.2">
      <c r="A6" t="s">
        <v>140</v>
      </c>
      <c r="B6">
        <v>28.125</v>
      </c>
      <c r="C6">
        <v>28.11215628302384</v>
      </c>
      <c r="D6">
        <f>TableSHU[[#This Row],[ARIMAPP]]*$I$2+TableSHU[[#This Row],[LSTMPP]]*$I$3</f>
        <v>34.743630088124995</v>
      </c>
      <c r="E6">
        <v>26</v>
      </c>
      <c r="F6">
        <f>ABS(TableSHU[[#This Row],[PP]]-TableSHU[[#This Row],[AP]])</f>
        <v>8.7436300881249949</v>
      </c>
    </row>
    <row r="7" spans="1:9" x14ac:dyDescent="0.2">
      <c r="H7" t="s">
        <v>3</v>
      </c>
      <c r="I7">
        <f>AVERAGE(TableSHU[DIFF])/10</f>
        <v>0.44518140435881348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141</v>
      </c>
      <c r="B2">
        <v>44.360425415557501</v>
      </c>
      <c r="C2">
        <v>41.015704178572513</v>
      </c>
      <c r="D2">
        <f>TableTOT[[#This Row],[ARIMAPP]]*$I$2+TableTOT[[#This Row],[LSTMPP]]*$I$3</f>
        <v>47.894872340461468</v>
      </c>
      <c r="E2">
        <v>47</v>
      </c>
      <c r="F2">
        <f>ABS(TableTOT[[#This Row],[PP]]-TableTOT[[#This Row],[AP]])</f>
        <v>0.89487234046146824</v>
      </c>
      <c r="H2" t="s">
        <v>0</v>
      </c>
      <c r="I2">
        <v>0</v>
      </c>
    </row>
    <row r="3" spans="1:9" x14ac:dyDescent="0.2">
      <c r="A3" t="s">
        <v>142</v>
      </c>
      <c r="B3">
        <v>28.3980060321291</v>
      </c>
      <c r="C3">
        <v>38.696505954897667</v>
      </c>
      <c r="D3">
        <f>TableTOT[[#This Row],[ARIMAPP]]*$I$2+TableTOT[[#This Row],[LSTMPP]]*$I$3</f>
        <v>45.18669738455857</v>
      </c>
      <c r="E3">
        <v>61</v>
      </c>
      <c r="F3">
        <f>ABS(TableTOT[[#This Row],[PP]]-TableTOT[[#This Row],[AP]])</f>
        <v>15.81330261544143</v>
      </c>
      <c r="H3" t="s">
        <v>1</v>
      </c>
      <c r="I3">
        <v>1.1677203476</v>
      </c>
    </row>
    <row r="4" spans="1:9" x14ac:dyDescent="0.2">
      <c r="A4" t="s">
        <v>143</v>
      </c>
      <c r="B4">
        <v>30.84745762711864</v>
      </c>
      <c r="C4">
        <v>28.988823601103579</v>
      </c>
      <c r="D4">
        <f>TableTOT[[#This Row],[ARIMAPP]]*$I$2+TableTOT[[#This Row],[LSTMPP]]*$I$3</f>
        <v>33.850839171995752</v>
      </c>
      <c r="E4">
        <v>33</v>
      </c>
      <c r="F4">
        <f>ABS(TableTOT[[#This Row],[PP]]-TableTOT[[#This Row],[AP]])</f>
        <v>0.85083917199575154</v>
      </c>
    </row>
    <row r="5" spans="1:9" x14ac:dyDescent="0.2">
      <c r="A5" t="s">
        <v>144</v>
      </c>
      <c r="B5">
        <v>41.653217789389743</v>
      </c>
      <c r="C5">
        <v>43.735813656805973</v>
      </c>
      <c r="D5">
        <f>TableTOT[[#This Row],[ARIMAPP]]*$I$2+TableTOT[[#This Row],[LSTMPP]]*$I$3</f>
        <v>51.071199525894301</v>
      </c>
      <c r="E5">
        <v>39</v>
      </c>
      <c r="F5">
        <f>ABS(TableTOT[[#This Row],[PP]]-TableTOT[[#This Row],[AP]])</f>
        <v>12.071199525894301</v>
      </c>
      <c r="H5" t="s">
        <v>2</v>
      </c>
      <c r="I5">
        <f>SUM(ABS(TableTOT[[#This Row],[PP]]-TableTOT[[#This Row],[AP]]))</f>
        <v>12.071199525894301</v>
      </c>
    </row>
    <row r="6" spans="1:9" x14ac:dyDescent="0.2">
      <c r="A6" t="s">
        <v>145</v>
      </c>
      <c r="B6">
        <v>30.76923076923077</v>
      </c>
      <c r="C6">
        <v>27.310695444406239</v>
      </c>
      <c r="D6">
        <f>TableTOT[[#This Row],[ARIMAPP]]*$I$2+TableTOT[[#This Row],[LSTMPP]]*$I$3</f>
        <v>31.891254777539789</v>
      </c>
      <c r="E6">
        <v>44</v>
      </c>
      <c r="F6">
        <f>ABS(TableTOT[[#This Row],[PP]]-TableTOT[[#This Row],[AP]])</f>
        <v>12.108745222460211</v>
      </c>
    </row>
    <row r="7" spans="1:9" x14ac:dyDescent="0.2">
      <c r="A7" t="s">
        <v>146</v>
      </c>
      <c r="B7">
        <v>49.200000000000017</v>
      </c>
      <c r="C7">
        <v>47.167539210275713</v>
      </c>
      <c r="D7">
        <f>TableTOT[[#This Row],[ARIMAPP]]*$I$2+TableTOT[[#This Row],[LSTMPP]]*$I$3</f>
        <v>55.078495282059784</v>
      </c>
      <c r="E7">
        <v>72</v>
      </c>
      <c r="F7">
        <f>ABS(TableTOT[[#This Row],[PP]]-TableTOT[[#This Row],[AP]])</f>
        <v>16.921504717940216</v>
      </c>
      <c r="H7" t="s">
        <v>3</v>
      </c>
      <c r="I7">
        <f>AVERAGE(TableTOT[DIFF])/10</f>
        <v>1.0609271156028077</v>
      </c>
    </row>
    <row r="8" spans="1:9" x14ac:dyDescent="0.2">
      <c r="A8" t="s">
        <v>147</v>
      </c>
      <c r="B8">
        <v>21.6</v>
      </c>
      <c r="C8">
        <v>23.52864203882627</v>
      </c>
      <c r="D8">
        <f>TableTOT[[#This Row],[ARIMAPP]]*$I$2+TableTOT[[#This Row],[LSTMPP]]*$I$3</f>
        <v>27.474874060134184</v>
      </c>
      <c r="E8">
        <v>32</v>
      </c>
      <c r="F8">
        <f>ABS(TableTOT[[#This Row],[PP]]-TableTOT[[#This Row],[AP]])</f>
        <v>4.5251259398658163</v>
      </c>
    </row>
    <row r="9" spans="1:9" x14ac:dyDescent="0.2">
      <c r="A9" t="s">
        <v>148</v>
      </c>
      <c r="B9">
        <v>39.666666666666657</v>
      </c>
      <c r="C9">
        <v>44.476585281613389</v>
      </c>
      <c r="D9">
        <f>TableTOT[[#This Row],[ARIMAPP]]*$I$2+TableTOT[[#This Row],[LSTMPP]]*$I$3</f>
        <v>51.936213625106632</v>
      </c>
      <c r="E9">
        <v>35</v>
      </c>
      <c r="F9">
        <f>ABS(TableTOT[[#This Row],[PP]]-TableTOT[[#This Row],[AP]])</f>
        <v>16.936213625106632</v>
      </c>
    </row>
    <row r="10" spans="1:9" x14ac:dyDescent="0.2">
      <c r="A10" t="s">
        <v>149</v>
      </c>
      <c r="B10">
        <v>36.66666666666665</v>
      </c>
      <c r="C10">
        <v>32.851733143068898</v>
      </c>
      <c r="D10">
        <f>TableTOT[[#This Row],[ARIMAPP]]*$I$2+TableTOT[[#This Row],[LSTMPP]]*$I$3</f>
        <v>38.361637245086854</v>
      </c>
      <c r="E10">
        <v>23</v>
      </c>
      <c r="F10">
        <f>ABS(TableTOT[[#This Row],[PP]]-TableTOT[[#This Row],[AP]])</f>
        <v>15.361637245086854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150</v>
      </c>
      <c r="B2">
        <v>38.972633070370847</v>
      </c>
      <c r="C2">
        <v>34.816459881290243</v>
      </c>
      <c r="D2">
        <f>TableWHU[[#This Row],[ARIMAPP]]*$I$2+TableWHU[[#This Row],[LSTMPP]]*$I$3</f>
        <v>30.513773764606462</v>
      </c>
      <c r="E2">
        <v>37</v>
      </c>
      <c r="F2">
        <f>ABS(TableWHU[[#This Row],[PP]]-TableWHU[[#This Row],[AP]])</f>
        <v>6.4862262353935378</v>
      </c>
      <c r="H2" t="s">
        <v>0</v>
      </c>
      <c r="I2">
        <v>0</v>
      </c>
    </row>
    <row r="3" spans="1:9" x14ac:dyDescent="0.2">
      <c r="A3" t="s">
        <v>151</v>
      </c>
      <c r="B3">
        <v>31.009709804279399</v>
      </c>
      <c r="C3">
        <v>33.463817605431068</v>
      </c>
      <c r="D3">
        <f>TableWHU[[#This Row],[ARIMAPP]]*$I$2+TableWHU[[#This Row],[LSTMPP]]*$I$3</f>
        <v>29.328293663219437</v>
      </c>
      <c r="E3">
        <v>26</v>
      </c>
      <c r="F3">
        <f>ABS(TableWHU[[#This Row],[PP]]-TableWHU[[#This Row],[AP]])</f>
        <v>3.3282936632194371</v>
      </c>
      <c r="H3" t="s">
        <v>1</v>
      </c>
      <c r="I3">
        <v>0.87641804677000001</v>
      </c>
    </row>
    <row r="4" spans="1:9" x14ac:dyDescent="0.2">
      <c r="A4" t="s">
        <v>152</v>
      </c>
      <c r="B4">
        <v>20.43420751895626</v>
      </c>
      <c r="C4">
        <v>16.706643485119539</v>
      </c>
      <c r="D4">
        <f>TableWHU[[#This Row],[ARIMAPP]]*$I$2+TableWHU[[#This Row],[LSTMPP]]*$I$3</f>
        <v>14.642003851311213</v>
      </c>
      <c r="E4">
        <v>33</v>
      </c>
      <c r="F4">
        <f>ABS(TableWHU[[#This Row],[PP]]-TableWHU[[#This Row],[AP]])</f>
        <v>18.357996148688787</v>
      </c>
    </row>
    <row r="5" spans="1:9" x14ac:dyDescent="0.2">
      <c r="A5" t="s">
        <v>153</v>
      </c>
      <c r="B5">
        <v>44.602244080716723</v>
      </c>
      <c r="C5">
        <v>45.126972555911671</v>
      </c>
      <c r="D5">
        <f>TableWHU[[#This Row],[ARIMAPP]]*$I$2+TableWHU[[#This Row],[LSTMPP]]*$I$3</f>
        <v>39.550093144095499</v>
      </c>
      <c r="E5">
        <v>41</v>
      </c>
      <c r="F5">
        <f>ABS(TableWHU[[#This Row],[PP]]-TableWHU[[#This Row],[AP]])</f>
        <v>1.4499068559045014</v>
      </c>
      <c r="H5" t="s">
        <v>2</v>
      </c>
      <c r="I5">
        <f>SUM(ABS(TableWHU[[#This Row],[PP]]-TableWHU[[#This Row],[AP]]))</f>
        <v>1.4499068559045014</v>
      </c>
    </row>
    <row r="6" spans="1:9" x14ac:dyDescent="0.2">
      <c r="A6" t="s">
        <v>154</v>
      </c>
      <c r="B6">
        <v>36.463831967008574</v>
      </c>
      <c r="C6">
        <v>30.138035073143289</v>
      </c>
      <c r="D6">
        <f>TableWHU[[#This Row],[ARIMAPP]]*$I$2+TableWHU[[#This Row],[LSTMPP]]*$I$3</f>
        <v>26.413517832289998</v>
      </c>
      <c r="E6">
        <v>41</v>
      </c>
      <c r="F6">
        <f>ABS(TableWHU[[#This Row],[PP]]-TableWHU[[#This Row],[AP]])</f>
        <v>14.586482167710002</v>
      </c>
    </row>
    <row r="7" spans="1:9" x14ac:dyDescent="0.2">
      <c r="A7" t="s">
        <v>155</v>
      </c>
      <c r="B7">
        <v>34.21052631578948</v>
      </c>
      <c r="C7">
        <v>45.027207222387602</v>
      </c>
      <c r="D7">
        <f>TableWHU[[#This Row],[ARIMAPP]]*$I$2+TableWHU[[#This Row],[LSTMPP]]*$I$3</f>
        <v>39.46265700535298</v>
      </c>
      <c r="E7">
        <v>38</v>
      </c>
      <c r="F7">
        <f>ABS(TableWHU[[#This Row],[PP]]-TableWHU[[#This Row],[AP]])</f>
        <v>1.4626570053529804</v>
      </c>
      <c r="H7" t="s">
        <v>3</v>
      </c>
      <c r="I7">
        <f>AVERAGE(TableWHU[DIFF])/10</f>
        <v>0.77433637173359049</v>
      </c>
    </row>
    <row r="8" spans="1:9" x14ac:dyDescent="0.2">
      <c r="A8" t="s">
        <v>156</v>
      </c>
      <c r="B8">
        <v>28.82352941176471</v>
      </c>
      <c r="C8">
        <v>30.244587076924152</v>
      </c>
      <c r="D8">
        <f>TableWHU[[#This Row],[ARIMAPP]]*$I$2+TableWHU[[#This Row],[LSTMPP]]*$I$3</f>
        <v>26.50690193132305</v>
      </c>
      <c r="E8">
        <v>27</v>
      </c>
      <c r="F8">
        <f>ABS(TableWHU[[#This Row],[PP]]-TableWHU[[#This Row],[AP]])</f>
        <v>0.49309806867695016</v>
      </c>
    </row>
    <row r="9" spans="1:9" x14ac:dyDescent="0.2">
      <c r="A9" t="s">
        <v>157</v>
      </c>
      <c r="B9">
        <v>45.728228737458103</v>
      </c>
      <c r="C9">
        <v>44.271699870158677</v>
      </c>
      <c r="D9">
        <f>TableWHU[[#This Row],[ARIMAPP]]*$I$2+TableWHU[[#This Row],[LSTMPP]]*$I$3</f>
        <v>38.800516727392129</v>
      </c>
      <c r="E9">
        <v>23</v>
      </c>
      <c r="F9">
        <f>ABS(TableWHU[[#This Row],[PP]]-TableWHU[[#This Row],[AP]])</f>
        <v>15.800516727392129</v>
      </c>
    </row>
    <row r="10" spans="1:9" x14ac:dyDescent="0.2">
      <c r="A10" t="s">
        <v>158</v>
      </c>
      <c r="B10">
        <v>18.666666666666671</v>
      </c>
      <c r="C10">
        <v>19.004596299090309</v>
      </c>
      <c r="D10">
        <f>TableWHU[[#This Row],[ARIMAPP]]*$I$2+TableWHU[[#This Row],[LSTMPP]]*$I$3</f>
        <v>16.6559711681011</v>
      </c>
      <c r="E10">
        <v>25</v>
      </c>
      <c r="F10">
        <f>ABS(TableWHU[[#This Row],[PP]]-TableWHU[[#This Row],[AP]])</f>
        <v>8.3440288318988998</v>
      </c>
    </row>
    <row r="11" spans="1:9" x14ac:dyDescent="0.2">
      <c r="A11" t="s">
        <v>159</v>
      </c>
      <c r="B11">
        <v>160</v>
      </c>
      <c r="C11">
        <v>46.923305174607123</v>
      </c>
      <c r="D11">
        <f>TableWHU[[#This Row],[ARIMAPP]]*$I$2+TableWHU[[#This Row],[LSTMPP]]*$I$3</f>
        <v>41.124431469121809</v>
      </c>
      <c r="E11">
        <v>34</v>
      </c>
      <c r="F11">
        <f>ABS(TableWHU[[#This Row],[PP]]-TableWHU[[#This Row],[AP]])</f>
        <v>7.1244314691218094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24.42386537395598</v>
      </c>
      <c r="C2">
        <v>33.885013801474592</v>
      </c>
      <c r="D2">
        <f>TableAVL[[#This Row],[ARIMAPP]]*$I$2+TableAVL[[#This Row],[LSTMPP]]*$I$3</f>
        <v>29.938875400105285</v>
      </c>
      <c r="E2">
        <v>29</v>
      </c>
      <c r="F2">
        <f>ABS(TableAVL[[#This Row],[PP]]-TableAVL[[#This Row],[AP]])</f>
        <v>0.93887540010528525</v>
      </c>
      <c r="H2" t="s">
        <v>0</v>
      </c>
      <c r="I2">
        <v>1.2258041445000001</v>
      </c>
    </row>
    <row r="3" spans="1:9" x14ac:dyDescent="0.2">
      <c r="A3" t="s">
        <v>23</v>
      </c>
      <c r="B3">
        <v>24.269714957709741</v>
      </c>
      <c r="C3">
        <v>36.032690532115517</v>
      </c>
      <c r="D3">
        <f>TableAVL[[#This Row],[ARIMAPP]]*$I$2+TableAVL[[#This Row],[LSTMPP]]*$I$3</f>
        <v>29.749917180994245</v>
      </c>
      <c r="E3">
        <v>23</v>
      </c>
      <c r="F3">
        <f>ABS(TableAVL[[#This Row],[PP]]-TableAVL[[#This Row],[AP]])</f>
        <v>6.7499171809942453</v>
      </c>
      <c r="H3" t="s">
        <v>1</v>
      </c>
      <c r="I3">
        <v>0</v>
      </c>
    </row>
    <row r="4" spans="1:9" x14ac:dyDescent="0.2">
      <c r="A4" t="s">
        <v>24</v>
      </c>
      <c r="B4">
        <v>44.844030757592293</v>
      </c>
      <c r="C4">
        <v>23.509240893440889</v>
      </c>
      <c r="D4">
        <f>TableAVL[[#This Row],[ARIMAPP]]*$I$2+TableAVL[[#This Row],[LSTMPP]]*$I$3</f>
        <v>54.969998758742108</v>
      </c>
      <c r="E4">
        <v>53</v>
      </c>
      <c r="F4">
        <f>ABS(TableAVL[[#This Row],[PP]]-TableAVL[[#This Row],[AP]])</f>
        <v>1.9699987587421077</v>
      </c>
    </row>
    <row r="5" spans="1:9" x14ac:dyDescent="0.2">
      <c r="A5" t="s">
        <v>25</v>
      </c>
      <c r="B5">
        <v>30.48275862068969</v>
      </c>
      <c r="C5">
        <v>29.82435761917564</v>
      </c>
      <c r="D5">
        <f>TableAVL[[#This Row],[ARIMAPP]]*$I$2+TableAVL[[#This Row],[LSTMPP]]*$I$3</f>
        <v>37.365891853034526</v>
      </c>
      <c r="E5">
        <v>30</v>
      </c>
      <c r="F5">
        <f>ABS(TableAVL[[#This Row],[PP]]-TableAVL[[#This Row],[AP]])</f>
        <v>7.3658918530345261</v>
      </c>
      <c r="H5" t="s">
        <v>2</v>
      </c>
      <c r="I5">
        <f>SUM(ABS(TableAVL[[#This Row],[PP]]-TableAVL[[#This Row],[AP]]))</f>
        <v>7.3658918530345261</v>
      </c>
    </row>
    <row r="6" spans="1:9" x14ac:dyDescent="0.2">
      <c r="A6" t="s">
        <v>26</v>
      </c>
      <c r="B6">
        <v>45.327868852458977</v>
      </c>
      <c r="C6">
        <v>41.8567423227571</v>
      </c>
      <c r="D6">
        <f>TableAVL[[#This Row],[ARIMAPP]]*$I$2+TableAVL[[#This Row],[LSTMPP]]*$I$3</f>
        <v>55.563089500696677</v>
      </c>
      <c r="E6">
        <v>75</v>
      </c>
      <c r="F6">
        <f>ABS(TableAVL[[#This Row],[PP]]-TableAVL[[#This Row],[AP]])</f>
        <v>19.436910499303323</v>
      </c>
    </row>
    <row r="7" spans="1:9" x14ac:dyDescent="0.2">
      <c r="A7" t="s">
        <v>27</v>
      </c>
      <c r="B7">
        <v>30.14925373134329</v>
      </c>
      <c r="C7">
        <v>28.359899747127329</v>
      </c>
      <c r="D7">
        <f>TableAVL[[#This Row],[ARIMAPP]]*$I$2+TableAVL[[#This Row],[LSTMPP]]*$I$3</f>
        <v>36.9570801774627</v>
      </c>
      <c r="E7">
        <v>49</v>
      </c>
      <c r="F7">
        <f>ABS(TableAVL[[#This Row],[PP]]-TableAVL[[#This Row],[AP]])</f>
        <v>12.0429198225373</v>
      </c>
      <c r="H7" t="s">
        <v>3</v>
      </c>
      <c r="I7">
        <f>AVERAGE(TableAVL[DIFF])/10</f>
        <v>0.78795927060327986</v>
      </c>
    </row>
    <row r="8" spans="1:9" x14ac:dyDescent="0.2">
      <c r="A8" t="s">
        <v>28</v>
      </c>
      <c r="B8">
        <v>34.716981132075468</v>
      </c>
      <c r="C8">
        <v>47.254105113566659</v>
      </c>
      <c r="D8">
        <f>TableAVL[[#This Row],[ARIMAPP]]*$I$2+TableAVL[[#This Row],[LSTMPP]]*$I$3</f>
        <v>42.556219356226414</v>
      </c>
      <c r="E8">
        <v>31</v>
      </c>
      <c r="F8">
        <f>ABS(TableAVL[[#This Row],[PP]]-TableAVL[[#This Row],[AP]])</f>
        <v>11.556219356226414</v>
      </c>
    </row>
    <row r="9" spans="1:9" x14ac:dyDescent="0.2">
      <c r="A9" t="s">
        <v>29</v>
      </c>
      <c r="B9">
        <v>19.610367894992841</v>
      </c>
      <c r="C9">
        <v>51.97036721521836</v>
      </c>
      <c r="D9">
        <f>TableAVL[[#This Row],[ARIMAPP]]*$I$2+TableAVL[[#This Row],[LSTMPP]]*$I$3</f>
        <v>24.038470240851968</v>
      </c>
      <c r="E9">
        <v>24</v>
      </c>
      <c r="F9">
        <f>ABS(TableAVL[[#This Row],[PP]]-TableAVL[[#This Row],[AP]])</f>
        <v>3.847024085196793E-2</v>
      </c>
    </row>
    <row r="10" spans="1:9" x14ac:dyDescent="0.2">
      <c r="A10" t="s">
        <v>30</v>
      </c>
      <c r="B10">
        <v>31.666666666666671</v>
      </c>
      <c r="C10">
        <v>27.56337891349078</v>
      </c>
      <c r="D10">
        <f>TableAVL[[#This Row],[ARIMAPP]]*$I$2+TableAVL[[#This Row],[LSTMPP]]*$I$3</f>
        <v>38.817131242500011</v>
      </c>
      <c r="E10">
        <v>28</v>
      </c>
      <c r="F10">
        <f>ABS(TableAVL[[#This Row],[PP]]-TableAVL[[#This Row],[AP]])</f>
        <v>10.817131242500011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160</v>
      </c>
      <c r="B2">
        <v>20.783424660372891</v>
      </c>
      <c r="C2">
        <v>18.090547926989331</v>
      </c>
      <c r="D2">
        <f>TableWOL[[#This Row],[ARIMAPP]]*$I$2+TableWOL[[#This Row],[LSTMPP]]*$I$3</f>
        <v>24.601113444995327</v>
      </c>
      <c r="E2">
        <v>35</v>
      </c>
      <c r="F2">
        <f>ABS(TableWOL[[#This Row],[PP]]-TableWOL[[#This Row],[AP]])</f>
        <v>10.398886555004673</v>
      </c>
      <c r="H2" t="s">
        <v>0</v>
      </c>
      <c r="I2">
        <v>1.0779203359</v>
      </c>
    </row>
    <row r="3" spans="1:9" x14ac:dyDescent="0.2">
      <c r="A3" t="s">
        <v>161</v>
      </c>
      <c r="B3">
        <v>29.428571428571431</v>
      </c>
      <c r="C3">
        <v>30.931514320099868</v>
      </c>
      <c r="D3">
        <f>TableWOL[[#This Row],[ARIMAPP]]*$I$2+TableWOL[[#This Row],[LSTMPP]]*$I$3</f>
        <v>35.480237731105788</v>
      </c>
      <c r="E3">
        <v>38</v>
      </c>
      <c r="F3">
        <f>ABS(TableWOL[[#This Row],[PP]]-TableWOL[[#This Row],[AP]])</f>
        <v>2.5197622688942118</v>
      </c>
      <c r="H3" t="s">
        <v>1</v>
      </c>
      <c r="I3">
        <v>0.12151303337</v>
      </c>
    </row>
    <row r="4" spans="1:9" x14ac:dyDescent="0.2">
      <c r="A4" t="s">
        <v>162</v>
      </c>
      <c r="B4">
        <v>26.598450343323549</v>
      </c>
      <c r="C4">
        <v>22.898305800974551</v>
      </c>
      <c r="D4">
        <f>TableWOL[[#This Row],[ARIMAPP]]*$I$2+TableWOL[[#This Row],[LSTMPP]]*$I$3</f>
        <v>31.453453125405076</v>
      </c>
      <c r="E4">
        <v>41</v>
      </c>
      <c r="F4">
        <f>ABS(TableWOL[[#This Row],[PP]]-TableWOL[[#This Row],[AP]])</f>
        <v>9.5465468745949238</v>
      </c>
    </row>
    <row r="5" spans="1:9" x14ac:dyDescent="0.2">
      <c r="A5" t="s">
        <v>163</v>
      </c>
      <c r="B5">
        <v>27.889908256880709</v>
      </c>
      <c r="C5">
        <v>27.367886309767449</v>
      </c>
      <c r="D5">
        <f>TableWOL[[#This Row],[ARIMAPP]]*$I$2+TableWOL[[#This Row],[LSTMPP]]*$I$3</f>
        <v>33.388654158902177</v>
      </c>
      <c r="E5">
        <v>27</v>
      </c>
      <c r="F5">
        <f>ABS(TableWOL[[#This Row],[PP]]-TableWOL[[#This Row],[AP]])</f>
        <v>6.3886541589021775</v>
      </c>
      <c r="H5" t="s">
        <v>2</v>
      </c>
      <c r="I5">
        <f>SUM(ABS(TableWOL[[#This Row],[PP]]-TableWOL[[#This Row],[AP]]))</f>
        <v>6.3886541589021775</v>
      </c>
    </row>
    <row r="6" spans="1:9" x14ac:dyDescent="0.2">
      <c r="A6" t="s">
        <v>164</v>
      </c>
      <c r="B6">
        <v>38.596953535286389</v>
      </c>
      <c r="C6">
        <v>43.180960855331961</v>
      </c>
      <c r="D6">
        <f>TableWOL[[#This Row],[ARIMAPP]]*$I$2+TableWOL[[#This Row],[LSTMPP]]*$I$3</f>
        <v>46.85149065683521</v>
      </c>
      <c r="E6">
        <v>34</v>
      </c>
      <c r="F6">
        <f>ABS(TableWOL[[#This Row],[PP]]-TableWOL[[#This Row],[AP]])</f>
        <v>12.85149065683521</v>
      </c>
    </row>
    <row r="7" spans="1:9" x14ac:dyDescent="0.2">
      <c r="A7" t="s">
        <v>165</v>
      </c>
      <c r="B7">
        <v>22.5</v>
      </c>
      <c r="C7">
        <v>22.070558953892839</v>
      </c>
      <c r="D7">
        <f>TableWOL[[#This Row],[ARIMAPP]]*$I$2+TableWOL[[#This Row],[LSTMPP]]*$I$3</f>
        <v>26.935068124408936</v>
      </c>
      <c r="E7">
        <v>30</v>
      </c>
      <c r="F7">
        <f>ABS(TableWOL[[#This Row],[PP]]-TableWOL[[#This Row],[AP]])</f>
        <v>3.0649318755910642</v>
      </c>
      <c r="H7" t="s">
        <v>3</v>
      </c>
      <c r="I7">
        <f>AVERAGE(TableWOL[DIFF])/10</f>
        <v>0.90650320551135533</v>
      </c>
    </row>
    <row r="8" spans="1:9" x14ac:dyDescent="0.2">
      <c r="A8" t="s">
        <v>166</v>
      </c>
      <c r="B8">
        <v>41.020070406774572</v>
      </c>
      <c r="C8">
        <v>26.007094556425791</v>
      </c>
      <c r="D8">
        <f>TableWOL[[#This Row],[ARIMAPP]]*$I$2+TableWOL[[#This Row],[LSTMPP]]*$I$3</f>
        <v>47.37656902020381</v>
      </c>
      <c r="E8">
        <v>57</v>
      </c>
      <c r="F8">
        <f>ABS(TableWOL[[#This Row],[PP]]-TableWOL[[#This Row],[AP]])</f>
        <v>9.6234309797961899</v>
      </c>
    </row>
    <row r="9" spans="1:9" x14ac:dyDescent="0.2">
      <c r="A9" t="s">
        <v>167</v>
      </c>
      <c r="B9">
        <v>46.501825597225462</v>
      </c>
      <c r="C9">
        <v>22.429110204538031</v>
      </c>
      <c r="D9">
        <f>TableWOL[[#This Row],[ARIMAPP]]*$I$2+TableWOL[[#This Row],[LSTMPP]]*$I$3</f>
        <v>52.850692684467923</v>
      </c>
      <c r="E9">
        <v>40</v>
      </c>
      <c r="F9">
        <f>ABS(TableWOL[[#This Row],[PP]]-TableWOL[[#This Row],[AP]])</f>
        <v>12.850692684467923</v>
      </c>
    </row>
    <row r="10" spans="1:9" x14ac:dyDescent="0.2">
      <c r="A10" t="s">
        <v>168</v>
      </c>
      <c r="B10">
        <v>18.399999999999999</v>
      </c>
      <c r="C10">
        <v>15.02203777553831</v>
      </c>
      <c r="D10">
        <f>TableWOL[[#This Row],[ARIMAPP]]*$I$2+TableWOL[[#This Row],[LSTMPP]]*$I$3</f>
        <v>21.659107558064388</v>
      </c>
      <c r="E10">
        <v>36</v>
      </c>
      <c r="F10">
        <f>ABS(TableWOL[[#This Row],[PP]]-TableWOL[[#This Row],[AP]])</f>
        <v>14.340892441935612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22.903225806451601</v>
      </c>
      <c r="C2">
        <v>21.812890047555541</v>
      </c>
      <c r="D2">
        <f>TableBOU[[#This Row],[ARIMAPP]]*$I$2+TableBOU[[#This Row],[LSTMPP]]*$I$3</f>
        <v>23.983331340715818</v>
      </c>
      <c r="E2">
        <v>23</v>
      </c>
      <c r="F2">
        <f>ABS(TableBOU[[#This Row],[PP]]-TableBOU[[#This Row],[AP]])</f>
        <v>0.98333134071581796</v>
      </c>
      <c r="H2" t="s">
        <v>0</v>
      </c>
      <c r="I2">
        <v>1.0105770392</v>
      </c>
    </row>
    <row r="3" spans="1:9" x14ac:dyDescent="0.2">
      <c r="A3" t="s">
        <v>32</v>
      </c>
      <c r="B3">
        <v>20.649685131735151</v>
      </c>
      <c r="C3">
        <v>15.50901701055122</v>
      </c>
      <c r="D3">
        <f>TableBOU[[#This Row],[ARIMAPP]]*$I$2+TableBOU[[#This Row],[LSTMPP]]*$I$3</f>
        <v>21.463816146751686</v>
      </c>
      <c r="E3">
        <v>26</v>
      </c>
      <c r="F3">
        <f>ABS(TableBOU[[#This Row],[PP]]-TableBOU[[#This Row],[AP]])</f>
        <v>4.5361838532483141</v>
      </c>
      <c r="H3" t="s">
        <v>1</v>
      </c>
      <c r="I3">
        <v>3.8411105326999997E-2</v>
      </c>
    </row>
    <row r="4" spans="1:9" x14ac:dyDescent="0.2">
      <c r="A4" t="s">
        <v>33</v>
      </c>
      <c r="B4">
        <v>54.756121008826312</v>
      </c>
      <c r="C4">
        <v>26.298938510351981</v>
      </c>
      <c r="D4">
        <f>TableBOU[[#This Row],[ARIMAPP]]*$I$2+TableBOU[[#This Row],[LSTMPP]]*$I$3</f>
        <v>56.345449944286031</v>
      </c>
      <c r="E4">
        <v>48</v>
      </c>
      <c r="F4">
        <f>ABS(TableBOU[[#This Row],[PP]]-TableBOU[[#This Row],[AP]])</f>
        <v>8.345449944286031</v>
      </c>
    </row>
    <row r="5" spans="1:9" x14ac:dyDescent="0.2">
      <c r="A5" t="s">
        <v>34</v>
      </c>
      <c r="B5">
        <v>21.25</v>
      </c>
      <c r="C5">
        <v>18.3102075401649</v>
      </c>
      <c r="D5">
        <f>TableBOU[[#This Row],[ARIMAPP]]*$I$2+TableBOU[[#This Row],[LSTMPP]]*$I$3</f>
        <v>22.178077393384502</v>
      </c>
      <c r="E5">
        <v>20</v>
      </c>
      <c r="F5">
        <f>ABS(TableBOU[[#This Row],[PP]]-TableBOU[[#This Row],[AP]])</f>
        <v>2.1780773933845019</v>
      </c>
      <c r="H5" t="s">
        <v>2</v>
      </c>
      <c r="I5">
        <f>SUM(ABS(TableBOU[[#This Row],[PP]]-TableBOU[[#This Row],[AP]]))</f>
        <v>2.1780773933845019</v>
      </c>
    </row>
    <row r="6" spans="1:9" x14ac:dyDescent="0.2">
      <c r="A6" t="s">
        <v>35</v>
      </c>
      <c r="B6">
        <v>38.333333333333329</v>
      </c>
      <c r="C6">
        <v>40.369058848806588</v>
      </c>
      <c r="D6">
        <f>TableBOU[[#This Row],[ARIMAPP]]*$I$2+TableBOU[[#This Row],[LSTMPP]]*$I$3</f>
        <v>40.289406674060032</v>
      </c>
      <c r="E6">
        <v>23</v>
      </c>
      <c r="F6">
        <f>ABS(TableBOU[[#This Row],[PP]]-TableBOU[[#This Row],[AP]])</f>
        <v>17.289406674060032</v>
      </c>
    </row>
    <row r="7" spans="1:9" x14ac:dyDescent="0.2">
      <c r="A7" t="s">
        <v>36</v>
      </c>
      <c r="B7">
        <v>22.558139534883729</v>
      </c>
      <c r="C7">
        <v>20.173644797326229</v>
      </c>
      <c r="D7">
        <f>TableBOU[[#This Row],[ARIMAPP]]*$I$2+TableBOU[[#This Row],[LSTMPP]]*$I$3</f>
        <v>23.571629856162847</v>
      </c>
      <c r="E7">
        <v>39</v>
      </c>
      <c r="F7">
        <f>ABS(TableBOU[[#This Row],[PP]]-TableBOU[[#This Row],[AP]])</f>
        <v>15.428370143837153</v>
      </c>
      <c r="H7" t="s">
        <v>3</v>
      </c>
      <c r="I7">
        <f>AVERAGE(TableBOU[DIFF])/10</f>
        <v>0.94503110365689358</v>
      </c>
    </row>
    <row r="8" spans="1:9" x14ac:dyDescent="0.2">
      <c r="A8" t="s">
        <v>37</v>
      </c>
      <c r="B8">
        <v>36.666074919698247</v>
      </c>
      <c r="C8">
        <v>33.368400488423823</v>
      </c>
      <c r="D8">
        <f>TableBOU[[#This Row],[ARIMAPP]]*$I$2+TableBOU[[#This Row],[LSTMPP]]*$I$3</f>
        <v>38.335610577188397</v>
      </c>
      <c r="E8">
        <v>33</v>
      </c>
      <c r="F8">
        <f>ABS(TableBOU[[#This Row],[PP]]-TableBOU[[#This Row],[AP]])</f>
        <v>5.3356105771883975</v>
      </c>
    </row>
    <row r="9" spans="1:9" x14ac:dyDescent="0.2">
      <c r="A9" t="s">
        <v>38</v>
      </c>
      <c r="B9">
        <v>24.782608695652179</v>
      </c>
      <c r="C9">
        <v>22.785849838620411</v>
      </c>
      <c r="D9">
        <f>TableBOU[[#This Row],[ARIMAPP]]*$I$2+TableBOU[[#This Row],[LSTMPP]]*$I$3</f>
        <v>25.919964997420806</v>
      </c>
      <c r="E9">
        <v>41</v>
      </c>
      <c r="F9">
        <f>ABS(TableBOU[[#This Row],[PP]]-TableBOU[[#This Row],[AP]])</f>
        <v>15.080035002579194</v>
      </c>
    </row>
    <row r="10" spans="1:9" x14ac:dyDescent="0.2">
      <c r="A10" t="s">
        <v>39</v>
      </c>
      <c r="B10">
        <v>18.63636363636364</v>
      </c>
      <c r="C10">
        <v>15.42839396796721</v>
      </c>
      <c r="D10">
        <f>TableBOU[[#This Row],[ARIMAPP]]*$I$2+TableBOU[[#This Row],[LSTMPP]]*$I$3</f>
        <v>19.426102850820953</v>
      </c>
      <c r="E10">
        <v>28</v>
      </c>
      <c r="F10">
        <f>ABS(TableBOU[[#This Row],[PP]]-TableBOU[[#This Row],[AP]])</f>
        <v>8.5738971491790466</v>
      </c>
    </row>
    <row r="11" spans="1:9" x14ac:dyDescent="0.2">
      <c r="A11" t="s">
        <v>40</v>
      </c>
      <c r="B11">
        <v>22.5</v>
      </c>
      <c r="C11">
        <v>25.195984920571821</v>
      </c>
      <c r="D11">
        <f>TableBOU[[#This Row],[ARIMAPP]]*$I$2+TableBOU[[#This Row],[LSTMPP]]*$I$3</f>
        <v>23.705789012601588</v>
      </c>
      <c r="E11">
        <v>33</v>
      </c>
      <c r="F11">
        <f>ABS(TableBOU[[#This Row],[PP]]-TableBOU[[#This Row],[AP]])</f>
        <v>9.2942109873984116</v>
      </c>
    </row>
    <row r="12" spans="1:9" x14ac:dyDescent="0.2">
      <c r="A12" t="s">
        <v>41</v>
      </c>
      <c r="B12">
        <v>11.81818181818182</v>
      </c>
      <c r="C12">
        <v>3.852231582857629</v>
      </c>
      <c r="D12">
        <f>TableBOU[[#This Row],[ARIMAPP]]*$I$2+TableBOU[[#This Row],[LSTMPP]]*$I$3</f>
        <v>12.091151663618597</v>
      </c>
      <c r="E12">
        <v>29</v>
      </c>
      <c r="F12">
        <f>ABS(TableBOU[[#This Row],[PP]]-TableBOU[[#This Row],[AP]])</f>
        <v>16.908848336381403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2" width="0" hidden="1" customWidth="1"/>
    <col min="3" max="3" width="12.1640625" bestFit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42</v>
      </c>
      <c r="B2">
        <v>22.764483929601031</v>
      </c>
      <c r="C2">
        <v>31.87660278735439</v>
      </c>
      <c r="D2">
        <f>TableBRE[[#This Row],[ARIMAPP]]*$I$2+TableBRE[[#This Row],[LSTMPP]]*$I$3</f>
        <v>24.813514424975356</v>
      </c>
      <c r="E2">
        <v>31</v>
      </c>
      <c r="F2">
        <f>ABS(TableBRE[[#This Row],[PP]]-TableBRE[[#This Row],[AP]])</f>
        <v>6.1864855750246441</v>
      </c>
      <c r="H2" t="s">
        <v>0</v>
      </c>
      <c r="I2">
        <v>1.0661274484000001</v>
      </c>
    </row>
    <row r="3" spans="1:9" x14ac:dyDescent="0.2">
      <c r="A3" t="s">
        <v>43</v>
      </c>
      <c r="B3">
        <v>29.85294117647058</v>
      </c>
      <c r="C3">
        <v>30.608879537649059</v>
      </c>
      <c r="D3">
        <f>TableBRE[[#This Row],[ARIMAPP]]*$I$2+TableBRE[[#This Row],[LSTMPP]]*$I$3</f>
        <v>32.349091534810803</v>
      </c>
      <c r="E3">
        <v>23</v>
      </c>
      <c r="F3">
        <f>ABS(TableBRE[[#This Row],[PP]]-TableBRE[[#This Row],[AP]])</f>
        <v>9.3490915348108032</v>
      </c>
      <c r="H3" t="s">
        <v>1</v>
      </c>
      <c r="I3">
        <v>1.7055558354000001E-2</v>
      </c>
    </row>
    <row r="4" spans="1:9" x14ac:dyDescent="0.2">
      <c r="A4" t="s">
        <v>44</v>
      </c>
      <c r="B4">
        <v>26.296296296296301</v>
      </c>
      <c r="C4">
        <v>32.659527278945959</v>
      </c>
      <c r="D4">
        <f>TableBRE[[#This Row],[ARIMAPP]]*$I$2+TableBRE[[#This Row],[LSTMPP]]*$I$3</f>
        <v>28.592229746060866</v>
      </c>
      <c r="E4">
        <v>20</v>
      </c>
      <c r="F4">
        <f>ABS(TableBRE[[#This Row],[PP]]-TableBRE[[#This Row],[AP]])</f>
        <v>8.5922297460608661</v>
      </c>
    </row>
    <row r="5" spans="1:9" x14ac:dyDescent="0.2">
      <c r="A5" t="s">
        <v>45</v>
      </c>
      <c r="B5">
        <v>31.46033951360382</v>
      </c>
      <c r="C5">
        <v>33.603441882303727</v>
      </c>
      <c r="D5">
        <f>TableBRE[[#This Row],[ARIMAPP]]*$I$2+TableBRE[[#This Row],[LSTMPP]]*$I$3</f>
        <v>34.113856955355018</v>
      </c>
      <c r="E5">
        <v>32</v>
      </c>
      <c r="F5">
        <f>ABS(TableBRE[[#This Row],[PP]]-TableBRE[[#This Row],[AP]])</f>
        <v>2.1138569553550184</v>
      </c>
      <c r="H5" t="s">
        <v>2</v>
      </c>
      <c r="I5">
        <f>SUM(ABS(TableBRE[[#This Row],[PP]]-TableBRE[[#This Row],[AP]]))</f>
        <v>2.1138569553550184</v>
      </c>
    </row>
    <row r="6" spans="1:9" x14ac:dyDescent="0.2">
      <c r="A6" t="s">
        <v>46</v>
      </c>
      <c r="B6">
        <v>17.735849056603769</v>
      </c>
      <c r="C6">
        <v>18.778938415662822</v>
      </c>
      <c r="D6">
        <f>TableBRE[[#This Row],[ARIMAPP]]*$I$2+TableBRE[[#This Row],[LSTMPP]]*$I$3</f>
        <v>19.228960779899033</v>
      </c>
      <c r="E6">
        <v>31</v>
      </c>
      <c r="F6">
        <f>ABS(TableBRE[[#This Row],[PP]]-TableBRE[[#This Row],[AP]])</f>
        <v>11.771039220100967</v>
      </c>
    </row>
    <row r="7" spans="1:9" x14ac:dyDescent="0.2">
      <c r="A7" t="s">
        <v>47</v>
      </c>
      <c r="B7">
        <v>18.571428571428569</v>
      </c>
      <c r="C7">
        <v>14.57220176809899</v>
      </c>
      <c r="D7">
        <f>TableBRE[[#This Row],[ARIMAPP]]*$I$2+TableBRE[[#This Row],[LSTMPP]]*$I$3</f>
        <v>20.048046793602072</v>
      </c>
      <c r="E7">
        <v>24</v>
      </c>
      <c r="F7">
        <f>ABS(TableBRE[[#This Row],[PP]]-TableBRE[[#This Row],[AP]])</f>
        <v>3.9519532063979277</v>
      </c>
      <c r="H7" t="s">
        <v>3</v>
      </c>
      <c r="I7">
        <f>AVERAGE(TableBRE[DIFF])/10</f>
        <v>0.68892570132675246</v>
      </c>
    </row>
    <row r="8" spans="1:9" x14ac:dyDescent="0.2">
      <c r="A8" t="s">
        <v>48</v>
      </c>
      <c r="B8">
        <v>23.729396699200429</v>
      </c>
      <c r="C8">
        <v>25.874027735018629</v>
      </c>
      <c r="D8">
        <f>TableBRE[[#This Row],[ARIMAPP]]*$I$2+TableBRE[[#This Row],[LSTMPP]]*$I$3</f>
        <v>25.739857144877561</v>
      </c>
      <c r="E8">
        <v>32</v>
      </c>
      <c r="F8">
        <f>ABS(TableBRE[[#This Row],[PP]]-TableBRE[[#This Row],[AP]])</f>
        <v>6.2601428551224387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49</v>
      </c>
      <c r="B2">
        <v>31.091954022988521</v>
      </c>
      <c r="C2">
        <v>37.24265968399817</v>
      </c>
      <c r="D2">
        <f>TableBHA[[#This Row],[ARIMAPP]]*$I$2+TableBHA[[#This Row],[LSTMPP]]*$I$3</f>
        <v>47.201130129734864</v>
      </c>
      <c r="E2">
        <v>46</v>
      </c>
      <c r="F2">
        <f>ABS(TableBHA[[#This Row],[PP]]-TableBHA[[#This Row],[AP]])</f>
        <v>1.2011301297348638</v>
      </c>
      <c r="H2" t="s">
        <v>0</v>
      </c>
      <c r="I2">
        <v>0.84500314115999997</v>
      </c>
    </row>
    <row r="3" spans="1:9" x14ac:dyDescent="0.2">
      <c r="A3" t="s">
        <v>50</v>
      </c>
      <c r="B3">
        <v>40.829913578244579</v>
      </c>
      <c r="C3">
        <v>32.030662073133463</v>
      </c>
      <c r="D3">
        <f>TableBHA[[#This Row],[ARIMAPP]]*$I$2+TableBHA[[#This Row],[LSTMPP]]*$I$3</f>
        <v>52.500879856525145</v>
      </c>
      <c r="E3">
        <v>55</v>
      </c>
      <c r="F3">
        <f>ABS(TableBHA[[#This Row],[PP]]-TableBHA[[#This Row],[AP]])</f>
        <v>2.4991201434748547</v>
      </c>
      <c r="H3" t="s">
        <v>1</v>
      </c>
      <c r="I3">
        <v>0.56194513208999997</v>
      </c>
    </row>
    <row r="4" spans="1:9" x14ac:dyDescent="0.2">
      <c r="A4" t="s">
        <v>51</v>
      </c>
      <c r="B4">
        <v>29.3322483810371</v>
      </c>
      <c r="C4">
        <v>35.161047692692883</v>
      </c>
      <c r="D4">
        <f>TableBHA[[#This Row],[ARIMAPP]]*$I$2+TableBHA[[#This Row],[LSTMPP]]*$I$3</f>
        <v>44.544421609354764</v>
      </c>
      <c r="E4">
        <v>36</v>
      </c>
      <c r="F4">
        <f>ABS(TableBHA[[#This Row],[PP]]-TableBHA[[#This Row],[AP]])</f>
        <v>8.5444216093547638</v>
      </c>
    </row>
    <row r="5" spans="1:9" x14ac:dyDescent="0.2">
      <c r="A5" t="s">
        <v>52</v>
      </c>
      <c r="B5">
        <v>19.920099083028251</v>
      </c>
      <c r="C5">
        <v>21.443790149075841</v>
      </c>
      <c r="D5">
        <f>TableBHA[[#This Row],[ARIMAPP]]*$I$2+TableBHA[[#This Row],[LSTMPP]]*$I$3</f>
        <v>28.882779785209973</v>
      </c>
      <c r="E5">
        <v>41</v>
      </c>
      <c r="F5">
        <f>ABS(TableBHA[[#This Row],[PP]]-TableBHA[[#This Row],[AP]])</f>
        <v>12.117220214790027</v>
      </c>
      <c r="H5" t="s">
        <v>2</v>
      </c>
      <c r="I5">
        <f>SUM(ABS(TableBHA[[#This Row],[PP]]-TableBHA[[#This Row],[AP]]))</f>
        <v>12.117220214790027</v>
      </c>
    </row>
    <row r="6" spans="1:9" x14ac:dyDescent="0.2">
      <c r="A6" t="s">
        <v>53</v>
      </c>
      <c r="B6">
        <v>15.086647067872811</v>
      </c>
      <c r="C6">
        <v>28.648558462810868</v>
      </c>
      <c r="D6">
        <f>TableBHA[[#This Row],[ARIMAPP]]*$I$2+TableBHA[[#This Row],[LSTMPP]]*$I$3</f>
        <v>28.847182131497171</v>
      </c>
      <c r="E6">
        <v>30</v>
      </c>
      <c r="F6">
        <f>ABS(TableBHA[[#This Row],[PP]]-TableBHA[[#This Row],[AP]])</f>
        <v>1.1528178685028294</v>
      </c>
    </row>
    <row r="7" spans="1:9" x14ac:dyDescent="0.2">
      <c r="A7" t="s">
        <v>54</v>
      </c>
      <c r="B7">
        <v>12.49999996755928</v>
      </c>
      <c r="C7">
        <v>13.30679038043939</v>
      </c>
      <c r="D7">
        <f>TableBHA[[#This Row],[ARIMAPP]]*$I$2+TableBHA[[#This Row],[LSTMPP]]*$I$3</f>
        <v>18.040225315117443</v>
      </c>
      <c r="E7">
        <v>32</v>
      </c>
      <c r="F7">
        <f>ABS(TableBHA[[#This Row],[PP]]-TableBHA[[#This Row],[AP]])</f>
        <v>13.959774684882557</v>
      </c>
      <c r="H7" t="s">
        <v>3</v>
      </c>
      <c r="I7">
        <f>AVERAGE(TableBHA[DIFF])/10</f>
        <v>0.58437295229089947</v>
      </c>
    </row>
    <row r="8" spans="1:9" x14ac:dyDescent="0.2">
      <c r="A8" t="s">
        <v>55</v>
      </c>
      <c r="B8">
        <v>21.052631578947381</v>
      </c>
      <c r="C8">
        <v>16.917668346663071</v>
      </c>
      <c r="D8">
        <f>TableBHA[[#This Row],[ARIMAPP]]*$I$2+TableBHA[[#This Row],[LSTMPP]]*$I$3</f>
        <v>27.296341187615134</v>
      </c>
      <c r="E8">
        <v>27</v>
      </c>
      <c r="F8">
        <f>ABS(TableBHA[[#This Row],[PP]]-TableBHA[[#This Row],[AP]])</f>
        <v>0.29634118761513406</v>
      </c>
    </row>
    <row r="9" spans="1:9" x14ac:dyDescent="0.2">
      <c r="A9" t="s">
        <v>56</v>
      </c>
      <c r="B9">
        <v>34.54545454545454</v>
      </c>
      <c r="C9">
        <v>29.874789872757749</v>
      </c>
      <c r="D9">
        <f>TableBHA[[#This Row],[ARIMAPP]]*$I$2+TableBHA[[#This Row],[LSTMPP]]*$I$3</f>
        <v>45.979010344916929</v>
      </c>
      <c r="E9">
        <v>39</v>
      </c>
      <c r="F9">
        <f>ABS(TableBHA[[#This Row],[PP]]-TableBHA[[#This Row],[AP]])</f>
        <v>6.9790103449169294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57</v>
      </c>
      <c r="B2">
        <v>28.125</v>
      </c>
      <c r="C2">
        <v>23.715922682661869</v>
      </c>
      <c r="D2">
        <f>TableBUR[[#This Row],[ARIMAPP]]*$I$2+TableBUR[[#This Row],[LSTMPP]]*$I$3</f>
        <v>27.310894802803482</v>
      </c>
      <c r="E2">
        <v>26</v>
      </c>
      <c r="F2">
        <f>ABS(TableBUR[[#This Row],[PP]]-TableBUR[[#This Row],[AP]])</f>
        <v>1.3108948028034817</v>
      </c>
      <c r="H2" t="s">
        <v>0</v>
      </c>
      <c r="I2">
        <v>0.97105359053999996</v>
      </c>
    </row>
    <row r="3" spans="1:9" x14ac:dyDescent="0.2">
      <c r="A3" t="s">
        <v>58</v>
      </c>
      <c r="B3">
        <v>20.833333333333339</v>
      </c>
      <c r="C3">
        <v>16.754177641099041</v>
      </c>
      <c r="D3">
        <f>TableBUR[[#This Row],[ARIMAPP]]*$I$2+TableBUR[[#This Row],[LSTMPP]]*$I$3</f>
        <v>20.230292015559332</v>
      </c>
      <c r="E3">
        <v>22</v>
      </c>
      <c r="F3">
        <f>ABS(TableBUR[[#This Row],[PP]]-TableBUR[[#This Row],[AP]])</f>
        <v>1.769707984440668</v>
      </c>
      <c r="H3" t="s">
        <v>1</v>
      </c>
      <c r="I3">
        <v>5.2997583746999997E-7</v>
      </c>
    </row>
    <row r="5" spans="1:9" x14ac:dyDescent="0.2">
      <c r="H5" t="s">
        <v>2</v>
      </c>
      <c r="I5" t="e">
        <f>SUM(ABS(TableBUR[[#This Row],[PP]]-TableBUR[[#This Row],[AP]]))</f>
        <v>#VALUE!</v>
      </c>
    </row>
    <row r="7" spans="1:9" x14ac:dyDescent="0.2">
      <c r="H7" t="s">
        <v>3</v>
      </c>
      <c r="I7">
        <f>AVERAGE(TableBUR[DIFF])/10</f>
        <v>0.1540301393622075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59</v>
      </c>
      <c r="B2">
        <v>44.363318347283048</v>
      </c>
      <c r="C2">
        <v>59.458885363114213</v>
      </c>
      <c r="D2">
        <f>TableCHE[[#This Row],[ARIMAPP]]*$I$2+TableCHE[[#This Row],[LSTMPP]]*$I$3</f>
        <v>60.592334049749866</v>
      </c>
      <c r="E2">
        <v>32</v>
      </c>
      <c r="F2">
        <f>ABS(TableCHE[[#This Row],[PP]]-TableCHE[[#This Row],[AP]])</f>
        <v>28.592334049749866</v>
      </c>
      <c r="H2" t="s">
        <v>0</v>
      </c>
      <c r="I2">
        <v>0.23606259954</v>
      </c>
    </row>
    <row r="3" spans="1:9" x14ac:dyDescent="0.2">
      <c r="A3" t="s">
        <v>60</v>
      </c>
      <c r="B3">
        <v>28.141303826209111</v>
      </c>
      <c r="C3">
        <v>27.659053832816479</v>
      </c>
      <c r="D3">
        <f>TableCHE[[#This Row],[ARIMAPP]]*$I$2+TableCHE[[#This Row],[LSTMPP]]*$I$3</f>
        <v>29.957818641449748</v>
      </c>
      <c r="E3">
        <v>34</v>
      </c>
      <c r="F3">
        <f>ABS(TableCHE[[#This Row],[PP]]-TableCHE[[#This Row],[AP]])</f>
        <v>4.042181358550252</v>
      </c>
      <c r="H3" t="s">
        <v>1</v>
      </c>
      <c r="I3">
        <v>0.84293227984999997</v>
      </c>
    </row>
    <row r="4" spans="1:9" x14ac:dyDescent="0.2">
      <c r="A4" t="s">
        <v>61</v>
      </c>
      <c r="B4">
        <v>20.057254789280019</v>
      </c>
      <c r="C4">
        <v>28.968124862056591</v>
      </c>
      <c r="D4">
        <f>TableCHE[[#This Row],[ARIMAPP]]*$I$2+TableCHE[[#This Row],[LSTMPP]]*$I$3</f>
        <v>29.152935238146384</v>
      </c>
      <c r="E4">
        <v>83</v>
      </c>
      <c r="F4">
        <f>ABS(TableCHE[[#This Row],[PP]]-TableCHE[[#This Row],[AP]])</f>
        <v>53.847064761853616</v>
      </c>
    </row>
    <row r="5" spans="1:9" x14ac:dyDescent="0.2">
      <c r="A5" t="s">
        <v>62</v>
      </c>
      <c r="B5">
        <v>27.998750921758528</v>
      </c>
      <c r="C5">
        <v>33.729910827382113</v>
      </c>
      <c r="D5">
        <f>TableCHE[[#This Row],[ARIMAPP]]*$I$2+TableCHE[[#This Row],[LSTMPP]]*$I$3</f>
        <v>35.041488559325693</v>
      </c>
      <c r="E5">
        <v>29</v>
      </c>
      <c r="F5">
        <f>ABS(TableCHE[[#This Row],[PP]]-TableCHE[[#This Row],[AP]])</f>
        <v>6.0414885593256926</v>
      </c>
      <c r="H5" t="s">
        <v>2</v>
      </c>
      <c r="I5">
        <f>SUM(ABS(TableCHE[[#This Row],[PP]]-TableCHE[[#This Row],[AP]]))</f>
        <v>6.0414885593256926</v>
      </c>
    </row>
    <row r="6" spans="1:9" x14ac:dyDescent="0.2">
      <c r="A6" t="s">
        <v>63</v>
      </c>
      <c r="B6">
        <v>28.275862068965509</v>
      </c>
      <c r="C6">
        <v>18.295147519469989</v>
      </c>
      <c r="D6">
        <f>TableCHE[[#This Row],[ARIMAPP]]*$I$2+TableCHE[[#This Row],[LSTMPP]]*$I$3</f>
        <v>22.096443913013388</v>
      </c>
      <c r="E6">
        <v>23</v>
      </c>
      <c r="F6">
        <f>ABS(TableCHE[[#This Row],[PP]]-TableCHE[[#This Row],[AP]])</f>
        <v>0.90355608698661172</v>
      </c>
    </row>
    <row r="7" spans="1:9" x14ac:dyDescent="0.2">
      <c r="A7" t="s">
        <v>64</v>
      </c>
      <c r="B7">
        <v>22.5</v>
      </c>
      <c r="C7">
        <v>20.563231363905569</v>
      </c>
      <c r="D7">
        <f>TableCHE[[#This Row],[ARIMAPP]]*$I$2+TableCHE[[#This Row],[LSTMPP]]*$I$3</f>
        <v>22.644819984309944</v>
      </c>
      <c r="E7">
        <v>36</v>
      </c>
      <c r="F7">
        <f>ABS(TableCHE[[#This Row],[PP]]-TableCHE[[#This Row],[AP]])</f>
        <v>13.355180015690056</v>
      </c>
      <c r="H7" t="s">
        <v>3</v>
      </c>
      <c r="I7">
        <f>AVERAGE(TableCHE[DIFF])/10</f>
        <v>1.3649576954585656</v>
      </c>
    </row>
    <row r="8" spans="1:9" x14ac:dyDescent="0.2">
      <c r="A8" t="s">
        <v>65</v>
      </c>
      <c r="B8">
        <v>34.081766413368612</v>
      </c>
      <c r="C8">
        <v>24.056203837430509</v>
      </c>
      <c r="D8">
        <f>TableCHE[[#This Row],[ARIMAPP]]*$I$2+TableCHE[[#This Row],[LSTMPP]]*$I$3</f>
        <v>28.323181121676473</v>
      </c>
      <c r="E8">
        <v>26</v>
      </c>
      <c r="F8">
        <f>ABS(TableCHE[[#This Row],[PP]]-TableCHE[[#This Row],[AP]])</f>
        <v>2.3231811216764733</v>
      </c>
    </row>
    <row r="9" spans="1:9" x14ac:dyDescent="0.2">
      <c r="A9" t="s">
        <v>66</v>
      </c>
      <c r="B9">
        <v>33.110080147233177</v>
      </c>
      <c r="C9">
        <v>33.544305714986642</v>
      </c>
      <c r="D9">
        <f>TableCHE[[#This Row],[ARIMAPP]]*$I$2+TableCHE[[#This Row],[LSTMPP]]*$I$3</f>
        <v>36.091629682852684</v>
      </c>
      <c r="E9">
        <v>36</v>
      </c>
      <c r="F9">
        <f>ABS(TableCHE[[#This Row],[PP]]-TableCHE[[#This Row],[AP]])</f>
        <v>9.1629682852683914E-2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67</v>
      </c>
      <c r="B2">
        <v>24.156119032442628</v>
      </c>
      <c r="C2">
        <v>24.192666376116069</v>
      </c>
      <c r="D2">
        <f>TableCRY[[#This Row],[ARIMAPP]]*$I$2+TableCRY[[#This Row],[LSTMPP]]*$I$3</f>
        <v>25.759946905596131</v>
      </c>
      <c r="E2">
        <v>21</v>
      </c>
      <c r="F2">
        <f>ABS(TableCRY[[#This Row],[PP]]-TableCRY[[#This Row],[AP]])</f>
        <v>4.7599469055961308</v>
      </c>
      <c r="H2" t="s">
        <v>0</v>
      </c>
      <c r="I2">
        <v>1.0663939120999999</v>
      </c>
    </row>
    <row r="3" spans="1:9" x14ac:dyDescent="0.2">
      <c r="A3" t="s">
        <v>68</v>
      </c>
      <c r="B3">
        <v>27.176470588235269</v>
      </c>
      <c r="C3">
        <v>26.109984943066632</v>
      </c>
      <c r="D3">
        <f>TableCRY[[#This Row],[ARIMAPP]]*$I$2+TableCRY[[#This Row],[LSTMPP]]*$I$3</f>
        <v>28.980832100995748</v>
      </c>
      <c r="E3">
        <v>49</v>
      </c>
      <c r="F3">
        <f>ABS(TableCRY[[#This Row],[PP]]-TableCRY[[#This Row],[AP]])</f>
        <v>20.019167899004252</v>
      </c>
      <c r="H3" t="s">
        <v>1</v>
      </c>
      <c r="I3">
        <v>3.5669637399999999E-7</v>
      </c>
    </row>
    <row r="4" spans="1:9" x14ac:dyDescent="0.2">
      <c r="A4" t="s">
        <v>69</v>
      </c>
      <c r="B4">
        <v>36.70454545454546</v>
      </c>
      <c r="C4">
        <v>31.10960396383857</v>
      </c>
      <c r="D4">
        <f>TableCRY[[#This Row],[ARIMAPP]]*$I$2+TableCRY[[#This Row],[LSTMPP]]*$I$3</f>
        <v>39.141514915807932</v>
      </c>
      <c r="E4">
        <v>45</v>
      </c>
      <c r="F4">
        <f>ABS(TableCRY[[#This Row],[PP]]-TableCRY[[#This Row],[AP]])</f>
        <v>5.8584850841920684</v>
      </c>
    </row>
    <row r="5" spans="1:9" x14ac:dyDescent="0.2">
      <c r="A5" t="s">
        <v>70</v>
      </c>
      <c r="B5">
        <v>37.454545454545453</v>
      </c>
      <c r="C5">
        <v>41.472683160218182</v>
      </c>
      <c r="D5">
        <f>TableCRY[[#This Row],[ARIMAPP]]*$I$2+TableCRY[[#This Row],[LSTMPP]]*$I$3</f>
        <v>39.9413140463557</v>
      </c>
      <c r="E5">
        <v>28</v>
      </c>
      <c r="F5">
        <f>ABS(TableCRY[[#This Row],[PP]]-TableCRY[[#This Row],[AP]])</f>
        <v>11.9413140463557</v>
      </c>
      <c r="H5" t="s">
        <v>2</v>
      </c>
      <c r="I5">
        <f>SUM(ABS(TableCRY[[#This Row],[PP]]-TableCRY[[#This Row],[AP]]))</f>
        <v>11.9413140463557</v>
      </c>
    </row>
    <row r="6" spans="1:9" x14ac:dyDescent="0.2">
      <c r="A6" t="s">
        <v>71</v>
      </c>
      <c r="B6">
        <v>22.428571428571409</v>
      </c>
      <c r="C6">
        <v>21.13612216716631</v>
      </c>
      <c r="D6">
        <f>TableCRY[[#This Row],[ARIMAPP]]*$I$2+TableCRY[[#This Row],[LSTMPP]]*$I$3</f>
        <v>23.917699567706688</v>
      </c>
      <c r="E6">
        <v>37</v>
      </c>
      <c r="F6">
        <f>ABS(TableCRY[[#This Row],[PP]]-TableCRY[[#This Row],[AP]])</f>
        <v>13.082300432293312</v>
      </c>
    </row>
    <row r="7" spans="1:9" x14ac:dyDescent="0.2">
      <c r="A7" t="s">
        <v>72</v>
      </c>
      <c r="B7">
        <v>29.452054794520571</v>
      </c>
      <c r="C7">
        <v>25.37453444037396</v>
      </c>
      <c r="D7">
        <f>TableCRY[[#This Row],[ARIMAPP]]*$I$2+TableCRY[[#This Row],[LSTMPP]]*$I$3</f>
        <v>31.407500982716776</v>
      </c>
      <c r="E7">
        <v>20</v>
      </c>
      <c r="F7">
        <f>ABS(TableCRY[[#This Row],[PP]]-TableCRY[[#This Row],[AP]])</f>
        <v>11.407500982716776</v>
      </c>
      <c r="H7" t="s">
        <v>3</v>
      </c>
      <c r="I7">
        <f>AVERAGE(TableCRY[DIFF])/10</f>
        <v>1.0399438937063874</v>
      </c>
    </row>
    <row r="8" spans="1:9" x14ac:dyDescent="0.2">
      <c r="A8" t="s">
        <v>73</v>
      </c>
      <c r="B8">
        <v>26.938775510204099</v>
      </c>
      <c r="C8">
        <v>30.854753368037681</v>
      </c>
      <c r="D8">
        <f>TableCRY[[#This Row],[ARIMAPP]]*$I$2+TableCRY[[#This Row],[LSTMPP]]*$I$3</f>
        <v>28.727357209288865</v>
      </c>
      <c r="E8">
        <v>23</v>
      </c>
      <c r="F8">
        <f>ABS(TableCRY[[#This Row],[PP]]-TableCRY[[#This Row],[AP]])</f>
        <v>5.7273572092888649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74</v>
      </c>
      <c r="B2">
        <v>31.823899371069189</v>
      </c>
      <c r="C2">
        <v>27.572018162795001</v>
      </c>
      <c r="D2">
        <f>TableEVE[[#This Row],[ARIMAPP]]*$I$2+TableEVE[[#This Row],[LSTMPP]]*$I$3</f>
        <v>28.799677631708342</v>
      </c>
      <c r="E2">
        <v>35</v>
      </c>
      <c r="F2">
        <f>ABS(TableEVE[[#This Row],[PP]]-TableEVE[[#This Row],[AP]])</f>
        <v>6.2003223682916584</v>
      </c>
      <c r="H2" t="s">
        <v>0</v>
      </c>
      <c r="I2">
        <v>0.47717679658000001</v>
      </c>
    </row>
    <row r="3" spans="1:9" x14ac:dyDescent="0.2">
      <c r="A3" t="s">
        <v>75</v>
      </c>
      <c r="B3">
        <v>35.315789473684241</v>
      </c>
      <c r="C3">
        <v>35.561780898411783</v>
      </c>
      <c r="D3">
        <f>TableEVE[[#This Row],[ARIMAPP]]*$I$2+TableEVE[[#This Row],[LSTMPP]]*$I$3</f>
        <v>34.410978353136215</v>
      </c>
      <c r="E3">
        <v>36</v>
      </c>
      <c r="F3">
        <f>ABS(TableEVE[[#This Row],[PP]]-TableEVE[[#This Row],[AP]])</f>
        <v>1.5890216468637846</v>
      </c>
      <c r="H3" t="s">
        <v>1</v>
      </c>
      <c r="I3">
        <v>0.49376332173999998</v>
      </c>
    </row>
    <row r="4" spans="1:9" x14ac:dyDescent="0.2">
      <c r="A4" t="s">
        <v>76</v>
      </c>
      <c r="B4">
        <v>34.272473901720851</v>
      </c>
      <c r="C4">
        <v>33.998538307277713</v>
      </c>
      <c r="D4">
        <f>TableEVE[[#This Row],[ARIMAPP]]*$I$2+TableEVE[[#This Row],[LSTMPP]]*$I$3</f>
        <v>33.141260516200887</v>
      </c>
      <c r="E4">
        <v>20</v>
      </c>
      <c r="F4">
        <f>ABS(TableEVE[[#This Row],[PP]]-TableEVE[[#This Row],[AP]])</f>
        <v>13.141260516200887</v>
      </c>
    </row>
    <row r="5" spans="1:9" x14ac:dyDescent="0.2">
      <c r="A5" t="s">
        <v>77</v>
      </c>
      <c r="B5">
        <v>31.781609195402321</v>
      </c>
      <c r="C5">
        <v>27.801032456296319</v>
      </c>
      <c r="D5">
        <f>TableEVE[[#This Row],[ARIMAPP]]*$I$2+TableEVE[[#This Row],[LSTMPP]]*$I$3</f>
        <v>28.892576599441973</v>
      </c>
      <c r="E5">
        <v>28</v>
      </c>
      <c r="F5">
        <f>ABS(TableEVE[[#This Row],[PP]]-TableEVE[[#This Row],[AP]])</f>
        <v>0.89257659944197343</v>
      </c>
      <c r="H5" t="s">
        <v>2</v>
      </c>
      <c r="I5">
        <f>SUM(ABS(TableEVE[[#This Row],[PP]]-TableEVE[[#This Row],[AP]]))</f>
        <v>0.89257659944197343</v>
      </c>
    </row>
    <row r="6" spans="1:9" x14ac:dyDescent="0.2">
      <c r="A6" t="s">
        <v>78</v>
      </c>
      <c r="B6">
        <v>20.143902080393119</v>
      </c>
      <c r="C6">
        <v>24.4180631347744</v>
      </c>
      <c r="D6">
        <f>TableEVE[[#This Row],[ARIMAPP]]*$I$2+TableEVE[[#This Row],[LSTMPP]]*$I$3</f>
        <v>21.668946629226433</v>
      </c>
      <c r="E6">
        <v>24</v>
      </c>
      <c r="F6">
        <f>ABS(TableEVE[[#This Row],[PP]]-TableEVE[[#This Row],[AP]])</f>
        <v>2.3310533707735672</v>
      </c>
    </row>
    <row r="7" spans="1:9" x14ac:dyDescent="0.2">
      <c r="A7" t="s">
        <v>79</v>
      </c>
      <c r="B7">
        <v>24.8</v>
      </c>
      <c r="C7">
        <v>23.276168516397149</v>
      </c>
      <c r="D7">
        <f>TableEVE[[#This Row],[ARIMAPP]]*$I$2+TableEVE[[#This Row],[LSTMPP]]*$I$3</f>
        <v>23.326902839220267</v>
      </c>
      <c r="E7">
        <v>34</v>
      </c>
      <c r="F7">
        <f>ABS(TableEVE[[#This Row],[PP]]-TableEVE[[#This Row],[AP]])</f>
        <v>10.673097160779733</v>
      </c>
      <c r="H7" t="s">
        <v>3</v>
      </c>
      <c r="I7">
        <f>AVERAGE(TableEVE[DIFF])/10</f>
        <v>0.57437595100309069</v>
      </c>
    </row>
    <row r="8" spans="1:9" x14ac:dyDescent="0.2">
      <c r="A8" t="s">
        <v>80</v>
      </c>
      <c r="B8">
        <v>39.380530973451343</v>
      </c>
      <c r="C8">
        <v>38.350460923266297</v>
      </c>
      <c r="D8">
        <f>TableEVE[[#This Row],[ARIMAPP]]*$I$2+TableEVE[[#This Row],[LSTMPP]]*$I$3</f>
        <v>37.727526593263015</v>
      </c>
      <c r="E8">
        <v>33</v>
      </c>
      <c r="F8">
        <f>ABS(TableEVE[[#This Row],[PP]]-TableEVE[[#This Row],[AP]])</f>
        <v>4.7275265932630148</v>
      </c>
    </row>
    <row r="9" spans="1:9" x14ac:dyDescent="0.2">
      <c r="A9" t="s">
        <v>81</v>
      </c>
      <c r="B9">
        <v>29.241727531316879</v>
      </c>
      <c r="C9">
        <v>23.241600382495189</v>
      </c>
      <c r="D9">
        <f>TableEVE[[#This Row],[ARIMAPP]]*$I$2+TableEVE[[#This Row],[LSTMPP]]*$I$3</f>
        <v>25.429323677273459</v>
      </c>
      <c r="E9">
        <v>22</v>
      </c>
      <c r="F9">
        <f>ABS(TableEVE[[#This Row],[PP]]-TableEVE[[#This Row],[AP]])</f>
        <v>3.4293236772734588</v>
      </c>
    </row>
    <row r="10" spans="1:9" x14ac:dyDescent="0.2">
      <c r="A10" t="s">
        <v>82</v>
      </c>
      <c r="B10">
        <v>22.976524994178661</v>
      </c>
      <c r="C10">
        <v>22.939090958464512</v>
      </c>
      <c r="D10">
        <f>TableEVE[[#This Row],[ARIMAPP]]*$I$2+TableEVE[[#This Row],[LSTMPP]]*$I$3</f>
        <v>22.290346342609915</v>
      </c>
      <c r="E10">
        <v>31</v>
      </c>
      <c r="F10">
        <f>ABS(TableEVE[[#This Row],[PP]]-TableEVE[[#This Row],[AP]])</f>
        <v>8.7096536573900849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2024-03-29T15:22:07Z</dcterms:created>
  <dcterms:modified xsi:type="dcterms:W3CDTF">2024-03-29T15:29:41Z</dcterms:modified>
</cp:coreProperties>
</file>