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2C143F1C-D64E-7343-86DC-20C8C1ECEA8B}" xr6:coauthVersionLast="47" xr6:coauthVersionMax="47" xr10:uidLastSave="{00000000-0000-0000-0000-000000000000}"/>
  <bookViews>
    <workbookView xWindow="240" yWindow="760" windowWidth="24440" windowHeight="20200" xr2:uid="{00000000-000D-0000-FFFF-FFFF00000000}"/>
  </bookViews>
  <sheets>
    <sheet name="Sheet1" sheetId="1" r:id="rId1"/>
  </sheets>
  <definedNames>
    <definedName name="solver_adj" localSheetId="0" hidden="1">Sheet1!$AJ$2:$AJ$158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Sheet1!$AJ$2:$AJ$158</definedName>
    <definedName name="solver_lhs2" localSheetId="0" hidden="1">Sheet1!$AM$4:$AM$7</definedName>
    <definedName name="solver_lhs3" localSheetId="0" hidden="1">Sheet1!$AM$9:$AM$28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"binary"</definedName>
    <definedName name="solver_rhs2" localSheetId="0" hidden="1">Sheet1!$AN$4:$AN$7</definedName>
    <definedName name="solver_rhs3" localSheetId="0" hidden="1">Sheet1!$AN$9:$AN$28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8" i="1" l="1"/>
  <c r="AG158" i="1"/>
  <c r="AH157" i="1"/>
  <c r="AG157" i="1"/>
  <c r="AH156" i="1"/>
  <c r="AG156" i="1"/>
  <c r="AH91" i="1"/>
  <c r="AG91" i="1"/>
  <c r="AH154" i="1"/>
  <c r="AG154" i="1"/>
  <c r="AH153" i="1"/>
  <c r="AG153" i="1"/>
  <c r="AH152" i="1"/>
  <c r="AG152" i="1"/>
  <c r="AH151" i="1"/>
  <c r="AG151" i="1"/>
  <c r="AH150" i="1"/>
  <c r="AG150" i="1"/>
  <c r="AH149" i="1"/>
  <c r="AG149" i="1"/>
  <c r="AH148" i="1"/>
  <c r="AG148" i="1"/>
  <c r="AH147" i="1"/>
  <c r="AG147" i="1"/>
  <c r="AH146" i="1"/>
  <c r="AG146" i="1"/>
  <c r="AH145" i="1"/>
  <c r="AG145" i="1"/>
  <c r="AH144" i="1"/>
  <c r="AG144" i="1"/>
  <c r="AH143" i="1"/>
  <c r="AG143" i="1"/>
  <c r="AH142" i="1"/>
  <c r="AG142" i="1"/>
  <c r="AH141" i="1"/>
  <c r="AG141" i="1"/>
  <c r="AH140" i="1"/>
  <c r="AG140" i="1"/>
  <c r="AH139" i="1"/>
  <c r="AG139" i="1"/>
  <c r="AH138" i="1"/>
  <c r="AG138" i="1"/>
  <c r="AH137" i="1"/>
  <c r="AG137" i="1"/>
  <c r="AH136" i="1"/>
  <c r="AG136" i="1"/>
  <c r="AH135" i="1"/>
  <c r="AG135" i="1"/>
  <c r="AH134" i="1"/>
  <c r="AG134" i="1"/>
  <c r="AH133" i="1"/>
  <c r="AG133" i="1"/>
  <c r="AH132" i="1"/>
  <c r="AG132" i="1"/>
  <c r="AH131" i="1"/>
  <c r="AG131" i="1"/>
  <c r="AH130" i="1"/>
  <c r="AG130" i="1"/>
  <c r="AH129" i="1"/>
  <c r="AG129" i="1"/>
  <c r="AH128" i="1"/>
  <c r="AG128" i="1"/>
  <c r="AH127" i="1"/>
  <c r="AG127" i="1"/>
  <c r="AH126" i="1"/>
  <c r="AG126" i="1"/>
  <c r="AH125" i="1"/>
  <c r="AG125" i="1"/>
  <c r="AH124" i="1"/>
  <c r="AG124" i="1"/>
  <c r="AH123" i="1"/>
  <c r="AG123" i="1"/>
  <c r="AH122" i="1"/>
  <c r="AG122" i="1"/>
  <c r="AH121" i="1"/>
  <c r="AG121" i="1"/>
  <c r="AH120" i="1"/>
  <c r="AG120" i="1"/>
  <c r="AH119" i="1"/>
  <c r="AG119" i="1"/>
  <c r="AH118" i="1"/>
  <c r="AG118" i="1"/>
  <c r="AH117" i="1"/>
  <c r="AG117" i="1"/>
  <c r="AH116" i="1"/>
  <c r="AG116" i="1"/>
  <c r="AH115" i="1"/>
  <c r="AG115" i="1"/>
  <c r="AH114" i="1"/>
  <c r="AG114" i="1"/>
  <c r="AH113" i="1"/>
  <c r="AG113" i="1"/>
  <c r="AH112" i="1"/>
  <c r="AG112" i="1"/>
  <c r="AH111" i="1"/>
  <c r="AG111" i="1"/>
  <c r="AH110" i="1"/>
  <c r="AG110" i="1"/>
  <c r="AH109" i="1"/>
  <c r="AG109" i="1"/>
  <c r="AH108" i="1"/>
  <c r="AG108" i="1"/>
  <c r="AH107" i="1"/>
  <c r="AG107" i="1"/>
  <c r="AH106" i="1"/>
  <c r="AG106" i="1"/>
  <c r="AH105" i="1"/>
  <c r="AG105" i="1"/>
  <c r="AH104" i="1"/>
  <c r="AG104" i="1"/>
  <c r="AH103" i="1"/>
  <c r="AG103" i="1"/>
  <c r="AH10" i="1"/>
  <c r="AG10" i="1"/>
  <c r="AH101" i="1"/>
  <c r="AG101" i="1"/>
  <c r="AH100" i="1"/>
  <c r="AG100" i="1"/>
  <c r="AH99" i="1"/>
  <c r="AG99" i="1"/>
  <c r="AH98" i="1"/>
  <c r="AG98" i="1"/>
  <c r="AH97" i="1"/>
  <c r="AG97" i="1"/>
  <c r="AH96" i="1"/>
  <c r="AG96" i="1"/>
  <c r="AH95" i="1"/>
  <c r="AG95" i="1"/>
  <c r="AH94" i="1"/>
  <c r="AG94" i="1"/>
  <c r="AH93" i="1"/>
  <c r="AG93" i="1"/>
  <c r="AH87" i="1"/>
  <c r="AG87" i="1"/>
  <c r="AH8" i="1"/>
  <c r="AG8" i="1"/>
  <c r="AH90" i="1"/>
  <c r="AG90" i="1"/>
  <c r="AH20" i="1"/>
  <c r="AG20" i="1"/>
  <c r="AH11" i="1"/>
  <c r="AG11" i="1"/>
  <c r="AH6" i="1"/>
  <c r="AG6" i="1"/>
  <c r="AH86" i="1"/>
  <c r="AG86" i="1"/>
  <c r="AH85" i="1"/>
  <c r="AG85" i="1"/>
  <c r="AH84" i="1"/>
  <c r="AG84" i="1"/>
  <c r="AH83" i="1"/>
  <c r="AG83" i="1"/>
  <c r="AH82" i="1"/>
  <c r="AG82" i="1"/>
  <c r="AH81" i="1"/>
  <c r="AG81" i="1"/>
  <c r="AH80" i="1"/>
  <c r="AG80" i="1"/>
  <c r="AH79" i="1"/>
  <c r="AG79" i="1"/>
  <c r="AH78" i="1"/>
  <c r="AG78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70" i="1"/>
  <c r="AG70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155" i="1"/>
  <c r="AG155" i="1"/>
  <c r="AH39" i="1"/>
  <c r="AG39" i="1"/>
  <c r="AH38" i="1"/>
  <c r="AG38" i="1"/>
  <c r="AM28" i="1"/>
  <c r="AH37" i="1"/>
  <c r="AG37" i="1"/>
  <c r="AM27" i="1"/>
  <c r="AH36" i="1"/>
  <c r="AG36" i="1"/>
  <c r="AM26" i="1"/>
  <c r="AH35" i="1"/>
  <c r="AG35" i="1"/>
  <c r="AM25" i="1"/>
  <c r="AH34" i="1"/>
  <c r="AG34" i="1"/>
  <c r="AM24" i="1"/>
  <c r="AH33" i="1"/>
  <c r="AG33" i="1"/>
  <c r="AM23" i="1"/>
  <c r="AH32" i="1"/>
  <c r="AG32" i="1"/>
  <c r="AM22" i="1"/>
  <c r="AH31" i="1"/>
  <c r="AG31" i="1"/>
  <c r="AM21" i="1"/>
  <c r="AH30" i="1"/>
  <c r="AG30" i="1"/>
  <c r="AM20" i="1"/>
  <c r="AH29" i="1"/>
  <c r="AG29" i="1"/>
  <c r="AM19" i="1"/>
  <c r="AH28" i="1"/>
  <c r="AG28" i="1"/>
  <c r="AM18" i="1"/>
  <c r="AH27" i="1"/>
  <c r="AG27" i="1"/>
  <c r="AM17" i="1"/>
  <c r="AH26" i="1"/>
  <c r="AG26" i="1"/>
  <c r="AM16" i="1"/>
  <c r="AH25" i="1"/>
  <c r="AG25" i="1"/>
  <c r="AM15" i="1"/>
  <c r="AH24" i="1"/>
  <c r="AG24" i="1"/>
  <c r="AM14" i="1"/>
  <c r="AH23" i="1"/>
  <c r="AG23" i="1"/>
  <c r="AM13" i="1"/>
  <c r="AH22" i="1"/>
  <c r="AG22" i="1"/>
  <c r="AM12" i="1"/>
  <c r="AH21" i="1"/>
  <c r="AG21" i="1"/>
  <c r="AM11" i="1"/>
  <c r="AH12" i="1"/>
  <c r="AG12" i="1"/>
  <c r="AM10" i="1"/>
  <c r="AH19" i="1"/>
  <c r="AG19" i="1"/>
  <c r="AM9" i="1"/>
  <c r="AH18" i="1"/>
  <c r="AG18" i="1"/>
  <c r="AH17" i="1"/>
  <c r="AG17" i="1"/>
  <c r="AH14" i="1"/>
  <c r="AG14" i="1"/>
  <c r="AH15" i="1"/>
  <c r="AG15" i="1"/>
  <c r="AH88" i="1"/>
  <c r="AG88" i="1"/>
  <c r="AH13" i="1"/>
  <c r="AG13" i="1"/>
  <c r="AH89" i="1"/>
  <c r="AG89" i="1"/>
  <c r="AH92" i="1"/>
  <c r="AG92" i="1"/>
  <c r="AH102" i="1"/>
  <c r="AG102" i="1"/>
  <c r="AM7" i="1"/>
  <c r="AH9" i="1"/>
  <c r="AG9" i="1"/>
  <c r="AM6" i="1"/>
  <c r="AH40" i="1"/>
  <c r="AG40" i="1"/>
  <c r="AM5" i="1"/>
  <c r="AH7" i="1"/>
  <c r="AG7" i="1"/>
  <c r="AM4" i="1"/>
  <c r="AH16" i="1"/>
  <c r="AG16" i="1"/>
  <c r="AH5" i="1"/>
  <c r="AG5" i="1"/>
  <c r="AH4" i="1"/>
  <c r="AG4" i="1"/>
  <c r="AH3" i="1"/>
  <c r="AG3" i="1"/>
  <c r="AH2" i="1"/>
  <c r="AG2" i="1"/>
  <c r="AM2" i="1" l="1"/>
</calcChain>
</file>

<file path=xl/sharedStrings.xml><?xml version="1.0" encoding="utf-8"?>
<sst xmlns="http://schemas.openxmlformats.org/spreadsheetml/2006/main" count="847" uniqueCount="374">
  <si>
    <t>Total Points</t>
  </si>
  <si>
    <t>MAX</t>
  </si>
  <si>
    <t>GKP</t>
  </si>
  <si>
    <t>DEF</t>
  </si>
  <si>
    <t>MID</t>
  </si>
  <si>
    <t>FWD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</si>
  <si>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</si>
  <si>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</si>
  <si>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</si>
  <si>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</si>
  <si>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</si>
  <si>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</si>
  <si>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</si>
  <si>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</si>
  <si>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</si>
  <si>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</si>
  <si>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</si>
  <si>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</si>
  <si>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</si>
  <si>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</si>
  <si>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</si>
  <si>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</si>
  <si>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</si>
  <si>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</si>
  <si>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</si>
  <si>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</si>
  <si>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</si>
  <si>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</si>
  <si>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</si>
  <si>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</si>
  <si>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</si>
  <si>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</si>
  <si>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</si>
  <si>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</si>
  <si>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</si>
  <si>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</si>
  <si>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</si>
  <si>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</si>
  <si>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</si>
  <si>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</si>
  <si>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</si>
  <si>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</si>
  <si>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</si>
  <si>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</si>
  <si>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</si>
  <si>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</si>
  <si>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</si>
  <si>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</si>
  <si>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</si>
  <si>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</si>
  <si>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</si>
  <si>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</si>
  <si>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</si>
  <si>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</si>
  <si>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</si>
  <si>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</si>
  <si>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</si>
  <si>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</si>
  <si>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</si>
  <si>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</si>
  <si>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</si>
  <si>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</si>
  <si>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</si>
  <si>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</si>
  <si>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</si>
  <si>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</si>
  <si>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</si>
  <si>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</si>
  <si>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</si>
  <si>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</si>
  <si>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</si>
  <si>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</si>
  <si>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</si>
  <si>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</si>
  <si>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</si>
  <si>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</si>
  <si>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</si>
  <si>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</si>
  <si>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</si>
  <si>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</si>
  <si>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</si>
  <si>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</si>
  <si>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</si>
  <si>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</si>
  <si>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</si>
  <si>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</si>
  <si>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</si>
  <si>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</si>
  <si>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</si>
  <si>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</si>
  <si>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</si>
  <si>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</si>
  <si>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</si>
  <si>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</si>
  <si>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</si>
  <si>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</si>
  <si>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Illia</t>
  </si>
  <si>
    <t>Zabarnyi</t>
  </si>
  <si>
    <t>Milos</t>
  </si>
  <si>
    <t>Kerkez</t>
  </si>
  <si>
    <t>Mark</t>
  </si>
  <si>
    <t>Flekken</t>
  </si>
  <si>
    <t>Keane</t>
  </si>
  <si>
    <t>Lewis-Potter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</si>
  <si>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</si>
  <si>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</si>
  <si>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</si>
  <si>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</si>
  <si>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</si>
  <si>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</si>
  <si>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</si>
  <si>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</si>
  <si>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</si>
  <si>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Neal</t>
  </si>
  <si>
    <t>Maupay</t>
  </si>
  <si>
    <t>Simon</t>
  </si>
  <si>
    <t>Adingra</t>
  </si>
  <si>
    <t>Facundo</t>
  </si>
  <si>
    <t>Buonanotte</t>
  </si>
  <si>
    <t>Dunk</t>
  </si>
  <si>
    <t>Pascal</t>
  </si>
  <si>
    <t>Groß</t>
  </si>
  <si>
    <t>Gross</t>
  </si>
  <si>
    <t>João Pedro</t>
  </si>
  <si>
    <t>Junqueira de Jesus</t>
  </si>
  <si>
    <t>Kaoru</t>
  </si>
  <si>
    <t>Mitoma</t>
  </si>
  <si>
    <t>Danny</t>
  </si>
  <si>
    <t>Welbeck</t>
  </si>
  <si>
    <t>Jacob</t>
  </si>
  <si>
    <t>Bruun Larsen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</si>
  <si>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</si>
  <si>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</si>
  <si>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</si>
  <si>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</si>
  <si>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</si>
  <si>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</si>
  <si>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</si>
  <si>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</si>
  <si>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</si>
  <si>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</si>
  <si>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</si>
  <si>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</si>
  <si>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</si>
  <si>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</si>
  <si>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</si>
  <si>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</si>
  <si>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</si>
  <si>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</si>
  <si>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</si>
  <si>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</si>
  <si>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</si>
  <si>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</si>
  <si>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</si>
  <si>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</si>
  <si>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</si>
  <si>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Eberechi</t>
  </si>
  <si>
    <t>Eze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</si>
  <si>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</si>
  <si>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</si>
  <si>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</si>
  <si>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</si>
  <si>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</si>
  <si>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</si>
  <si>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</si>
  <si>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</si>
  <si>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</si>
  <si>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Joel</t>
  </si>
  <si>
    <t>Ward</t>
  </si>
  <si>
    <t>Jarrad</t>
  </si>
  <si>
    <t>Branthwaite</t>
  </si>
  <si>
    <t>Abdoulaye</t>
  </si>
  <si>
    <t>Doucouré</t>
  </si>
  <si>
    <t>A.Doucoure</t>
  </si>
  <si>
    <t>James</t>
  </si>
  <si>
    <t>Garner</t>
  </si>
  <si>
    <t>Dwight</t>
  </si>
  <si>
    <t>McNeil</t>
  </si>
  <si>
    <t>Vitalii</t>
  </si>
  <si>
    <t>Mykolenko</t>
  </si>
  <si>
    <t>Pickford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</si>
  <si>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</si>
  <si>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</si>
  <si>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</si>
  <si>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</si>
  <si>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</si>
  <si>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</si>
  <si>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</si>
  <si>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</si>
  <si>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Antonee</t>
  </si>
  <si>
    <t>Robinson</t>
  </si>
  <si>
    <t>Harry</t>
  </si>
  <si>
    <t>Wilson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</si>
  <si>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</si>
  <si>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</si>
  <si>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</si>
  <si>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</si>
  <si>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</si>
  <si>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</si>
  <si>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</si>
  <si>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</si>
  <si>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</si>
  <si>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</si>
  <si>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</si>
  <si>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</si>
  <si>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</si>
  <si>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</si>
  <si>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</si>
  <si>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</si>
  <si>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</si>
  <si>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</si>
  <si>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</si>
  <si>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</si>
  <si>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</si>
  <si>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</si>
  <si>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</si>
  <si>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</si>
  <si>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</si>
  <si>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</si>
  <si>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</si>
  <si>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</si>
  <si>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</si>
  <si>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</si>
  <si>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</si>
  <si>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</si>
  <si>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</si>
  <si>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</si>
  <si>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</si>
  <si>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</si>
  <si>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</si>
  <si>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</si>
  <si>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</si>
  <si>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Tahith</t>
  </si>
  <si>
    <t>Chong</t>
  </si>
  <si>
    <t>Ross</t>
  </si>
  <si>
    <t>Barkley</t>
  </si>
  <si>
    <t>Manuel</t>
  </si>
  <si>
    <t>Akanji</t>
  </si>
  <si>
    <t>Nathan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</si>
  <si>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</si>
  <si>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</si>
  <si>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</si>
  <si>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</si>
  <si>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</si>
  <si>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</si>
  <si>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</si>
  <si>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</si>
  <si>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</si>
  <si>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</si>
  <si>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</si>
  <si>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</si>
  <si>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</si>
  <si>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</si>
  <si>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</si>
  <si>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</si>
  <si>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</si>
  <si>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</si>
  <si>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</si>
  <si>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</si>
  <si>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</si>
  <si>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</si>
  <si>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</si>
  <si>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</si>
  <si>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</si>
  <si>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</si>
  <si>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Victor</t>
  </si>
  <si>
    <t>Lindelöf</t>
  </si>
  <si>
    <t>Lindelof</t>
  </si>
  <si>
    <t>Scott</t>
  </si>
  <si>
    <t>McTominay</t>
  </si>
  <si>
    <t>Raphaël</t>
  </si>
  <si>
    <t>Varane</t>
  </si>
  <si>
    <t>R.Varane</t>
  </si>
  <si>
    <t>Marcus</t>
  </si>
  <si>
    <t>Rashford</t>
  </si>
  <si>
    <t>André</t>
  </si>
  <si>
    <t>Onana</t>
  </si>
  <si>
    <t>Jonny</t>
  </si>
  <si>
    <t>Evans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</si>
  <si>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</si>
  <si>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</si>
  <si>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</si>
  <si>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</si>
  <si>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</si>
  <si>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</si>
  <si>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</si>
  <si>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</si>
  <si>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</si>
  <si>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</si>
  <si>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</si>
  <si>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</si>
  <si>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</si>
  <si>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</si>
  <si>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Elanga</t>
  </si>
  <si>
    <t>Morgan</t>
  </si>
  <si>
    <t>Gibbs-White</t>
  </si>
  <si>
    <t>Chris</t>
  </si>
  <si>
    <t>Wood</t>
  </si>
  <si>
    <t>Murillo</t>
  </si>
  <si>
    <t>Santiago Costa dos Santos</t>
  </si>
  <si>
    <t>Cameron</t>
  </si>
  <si>
    <t>Archer</t>
  </si>
  <si>
    <t>McAtee</t>
  </si>
  <si>
    <t>Vini</t>
  </si>
  <si>
    <t>de Souza Costa</t>
  </si>
  <si>
    <t>Vini Souza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</si>
  <si>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</si>
  <si>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</si>
  <si>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</si>
  <si>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</si>
  <si>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</si>
  <si>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</si>
  <si>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</si>
  <si>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</si>
  <si>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</si>
  <si>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</si>
  <si>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</si>
  <si>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</si>
  <si>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</si>
  <si>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</si>
  <si>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</si>
  <si>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</si>
  <si>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</si>
  <si>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</si>
  <si>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</si>
  <si>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</si>
  <si>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</si>
  <si>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</si>
  <si>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</si>
  <si>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</si>
  <si>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</si>
  <si>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</si>
  <si>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</si>
  <si>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</si>
  <si>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</si>
  <si>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</si>
  <si>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</si>
  <si>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</si>
  <si>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</si>
  <si>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</si>
  <si>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</si>
  <si>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</si>
  <si>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</si>
  <si>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</si>
  <si>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</si>
  <si>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</si>
  <si>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</si>
  <si>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</si>
  <si>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</si>
  <si>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</si>
  <si>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</si>
  <si>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</si>
  <si>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</si>
  <si>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</si>
  <si>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</si>
  <si>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</si>
  <si>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</si>
  <si>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</si>
  <si>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</si>
  <si>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</si>
  <si>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</si>
  <si>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</si>
  <si>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</si>
  <si>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</si>
  <si>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</si>
  <si>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Nélson</t>
  </si>
  <si>
    <t>Cabral Semedo</t>
  </si>
  <si>
    <t>N.Semedo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</si>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</sst>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58" totalsRowShown="0">
  <autoFilter ref="A1:AJ158" xr:uid="{00000000-0009-0000-0100-000001000000}">
    <filterColumn colId="35">
      <filters>
        <filter val="1"/>
      </filters>
    </filterColumn>
  </autoFilter>
  <sortState xmlns:xlrd2="http://schemas.microsoft.com/office/spreadsheetml/2017/richdata2" ref="A6:AJ158">
    <sortCondition descending="1" ref="AH1:AH158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8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5" max="8" width="0" hidden="1" customWidth="1"/>
    <col min="10" max="32" width="0" hidden="1" customWidth="1"/>
  </cols>
  <sheetData>
    <row r="1" spans="1:40" x14ac:dyDescent="0.2">
      <c r="A1" t="s">
        <v>26</v>
      </c>
      <c r="B1" t="s">
        <v>27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40" hidden="1" x14ac:dyDescent="0.2">
      <c r="A2" t="s">
        <v>38</v>
      </c>
      <c r="B2" t="s">
        <v>39</v>
      </c>
      <c r="C2" t="s">
        <v>38</v>
      </c>
      <c r="D2" t="s">
        <v>3</v>
      </c>
      <c r="E2">
        <v>0</v>
      </c>
      <c r="F2">
        <v>1</v>
      </c>
      <c r="G2">
        <v>0</v>
      </c>
      <c r="H2">
        <v>0</v>
      </c>
      <c r="I2" t="s">
        <v>6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</v>
      </c>
      <c r="AE2">
        <v>19.116220632064401</v>
      </c>
      <c r="AF2">
        <v>16.889365470559781</v>
      </c>
      <c r="AG2">
        <f>17.3920867570494*0.75</f>
        <v>13.044065067787052</v>
      </c>
      <c r="AH2">
        <f>3.72024335087204*0.75</f>
        <v>2.7901825131540301</v>
      </c>
      <c r="AI2">
        <v>0.75</v>
      </c>
      <c r="AJ2">
        <v>0</v>
      </c>
      <c r="AL2" t="s">
        <v>0</v>
      </c>
      <c r="AM2">
        <f>SUMPRODUCT(Table1[Selected], Table1[PP])</f>
        <v>432.2784712735554</v>
      </c>
      <c r="AN2" t="s">
        <v>1</v>
      </c>
    </row>
    <row r="3" spans="1:40" hidden="1" x14ac:dyDescent="0.2">
      <c r="A3" t="s">
        <v>40</v>
      </c>
      <c r="B3" t="s">
        <v>41</v>
      </c>
      <c r="C3" t="s">
        <v>41</v>
      </c>
      <c r="D3" t="s">
        <v>4</v>
      </c>
      <c r="E3">
        <v>0</v>
      </c>
      <c r="F3">
        <v>0</v>
      </c>
      <c r="G3">
        <v>1</v>
      </c>
      <c r="H3">
        <v>0</v>
      </c>
      <c r="I3" t="s">
        <v>6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18.17221438349166</v>
      </c>
      <c r="AF3">
        <v>14.572146127279581</v>
      </c>
      <c r="AG3">
        <f>22.0442966705989*1</f>
        <v>22.0442966705989</v>
      </c>
      <c r="AH3">
        <f>4.98468449246269*1</f>
        <v>4.9846844924626899</v>
      </c>
      <c r="AI3">
        <v>1</v>
      </c>
      <c r="AJ3">
        <v>0</v>
      </c>
    </row>
    <row r="4" spans="1:40" hidden="1" x14ac:dyDescent="0.2">
      <c r="A4" t="s">
        <v>38</v>
      </c>
      <c r="B4" t="s">
        <v>42</v>
      </c>
      <c r="C4" t="s">
        <v>43</v>
      </c>
      <c r="D4" t="s">
        <v>5</v>
      </c>
      <c r="E4">
        <v>0</v>
      </c>
      <c r="F4">
        <v>0</v>
      </c>
      <c r="G4">
        <v>0</v>
      </c>
      <c r="H4">
        <v>1</v>
      </c>
      <c r="I4" t="s">
        <v>6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</v>
      </c>
      <c r="AE4">
        <v>20.157232704402521</v>
      </c>
      <c r="AF4">
        <v>19.659355682767409</v>
      </c>
      <c r="AG4">
        <f>24.4522768891509*1</f>
        <v>24.452276889150902</v>
      </c>
      <c r="AH4">
        <f>4.89045537783019*1</f>
        <v>4.8904553778301896</v>
      </c>
      <c r="AI4">
        <v>1</v>
      </c>
      <c r="AJ4">
        <v>0</v>
      </c>
      <c r="AL4" t="s">
        <v>2</v>
      </c>
      <c r="AM4">
        <f>SUMPRODUCT(Table1[Selected],Table1[GKP])</f>
        <v>2</v>
      </c>
      <c r="AN4">
        <v>2</v>
      </c>
    </row>
    <row r="5" spans="1:40" hidden="1" x14ac:dyDescent="0.2">
      <c r="A5" t="s">
        <v>38</v>
      </c>
      <c r="B5" t="s">
        <v>44</v>
      </c>
      <c r="C5" t="s">
        <v>45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6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10</v>
      </c>
      <c r="AE5">
        <v>24.745762711864401</v>
      </c>
      <c r="AF5">
        <v>19.035259591134579</v>
      </c>
      <c r="AG5">
        <f>22.5138880868643*0.75</f>
        <v>16.885416065148224</v>
      </c>
      <c r="AH5">
        <f>6.0037034898305*0.75</f>
        <v>4.5027776173728755</v>
      </c>
      <c r="AI5">
        <v>0.75</v>
      </c>
      <c r="AJ5">
        <v>0</v>
      </c>
      <c r="AL5" t="s">
        <v>3</v>
      </c>
      <c r="AM5">
        <f>SUMPRODUCT(Table1[Selected],Table1[DEF])</f>
        <v>5</v>
      </c>
      <c r="AN5">
        <v>5</v>
      </c>
    </row>
    <row r="6" spans="1:40" x14ac:dyDescent="0.2">
      <c r="A6" t="s">
        <v>220</v>
      </c>
      <c r="B6" t="s">
        <v>221</v>
      </c>
      <c r="C6" t="s">
        <v>221</v>
      </c>
      <c r="D6" t="s">
        <v>4</v>
      </c>
      <c r="E6">
        <v>0</v>
      </c>
      <c r="F6">
        <v>0</v>
      </c>
      <c r="G6">
        <v>1</v>
      </c>
      <c r="H6">
        <v>0</v>
      </c>
      <c r="I6" t="s">
        <v>16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430</v>
      </c>
      <c r="AE6">
        <v>34.639175257731942</v>
      </c>
      <c r="AF6">
        <v>34.735494269645628</v>
      </c>
      <c r="AG6">
        <f>39.7453473296753*1</f>
        <v>39.745347329675297</v>
      </c>
      <c r="AH6">
        <f>8.91269216707747*1</f>
        <v>8.9126921670774699</v>
      </c>
      <c r="AI6">
        <v>1</v>
      </c>
      <c r="AJ6">
        <v>1</v>
      </c>
      <c r="AL6" t="s">
        <v>4</v>
      </c>
      <c r="AM6">
        <f>SUMPRODUCT(Table1[Selected],Table1[MID])</f>
        <v>5</v>
      </c>
      <c r="AN6">
        <v>5</v>
      </c>
    </row>
    <row r="7" spans="1:40" hidden="1" x14ac:dyDescent="0.2">
      <c r="A7" t="s">
        <v>48</v>
      </c>
      <c r="B7" t="s">
        <v>49</v>
      </c>
      <c r="C7" t="s">
        <v>49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6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17</v>
      </c>
      <c r="AE7">
        <v>32.198822753569672</v>
      </c>
      <c r="AF7">
        <v>19.204195045582949</v>
      </c>
      <c r="AG7">
        <f>29.2947402932578*0.75</f>
        <v>21.971055219943349</v>
      </c>
      <c r="AH7">
        <f>7.92232932468647*0.75</f>
        <v>5.9417469935148528</v>
      </c>
      <c r="AI7">
        <v>0.75</v>
      </c>
      <c r="AJ7">
        <v>0</v>
      </c>
      <c r="AL7" t="s">
        <v>5</v>
      </c>
      <c r="AM7">
        <f>SUMPRODUCT(Table1[Selected],Table1[FWD])</f>
        <v>3</v>
      </c>
      <c r="AN7">
        <v>3</v>
      </c>
    </row>
    <row r="8" spans="1:40" x14ac:dyDescent="0.2">
      <c r="A8" t="s">
        <v>228</v>
      </c>
      <c r="B8" t="s">
        <v>229</v>
      </c>
      <c r="C8" t="s">
        <v>229</v>
      </c>
      <c r="D8" t="s">
        <v>3</v>
      </c>
      <c r="E8">
        <v>0</v>
      </c>
      <c r="F8">
        <v>1</v>
      </c>
      <c r="G8">
        <v>0</v>
      </c>
      <c r="H8">
        <v>0</v>
      </c>
      <c r="I8" t="s">
        <v>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462</v>
      </c>
      <c r="AE8">
        <v>13.55692051406267</v>
      </c>
      <c r="AF8">
        <v>8.2363488207339284</v>
      </c>
      <c r="AG8">
        <f>22.5217656340894*1</f>
        <v>22.521765634089402</v>
      </c>
      <c r="AH8">
        <f>8.20782676419584*1</f>
        <v>8.2078267641958398</v>
      </c>
      <c r="AI8">
        <v>1</v>
      </c>
      <c r="AJ8">
        <v>1</v>
      </c>
    </row>
    <row r="9" spans="1:40" hidden="1" x14ac:dyDescent="0.2">
      <c r="A9" t="s">
        <v>52</v>
      </c>
      <c r="B9" t="s">
        <v>53</v>
      </c>
      <c r="C9" t="s">
        <v>53</v>
      </c>
      <c r="D9" t="s">
        <v>4</v>
      </c>
      <c r="E9">
        <v>0</v>
      </c>
      <c r="F9">
        <v>0</v>
      </c>
      <c r="G9">
        <v>1</v>
      </c>
      <c r="H9">
        <v>0</v>
      </c>
      <c r="I9" t="s">
        <v>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22</v>
      </c>
      <c r="AE9">
        <v>19.068851410580521</v>
      </c>
      <c r="AF9">
        <v>18.415375092843181</v>
      </c>
      <c r="AG9">
        <f>23.1319864927566*1</f>
        <v>23.131986492756599</v>
      </c>
      <c r="AH9">
        <f>4.39795004636803*1</f>
        <v>4.3979500463680301</v>
      </c>
      <c r="AI9">
        <v>1</v>
      </c>
      <c r="AJ9">
        <v>0</v>
      </c>
      <c r="AL9" t="s">
        <v>6</v>
      </c>
      <c r="AM9">
        <f>SUMPRODUCT(Table1[Selected],Table1[ARS])</f>
        <v>5</v>
      </c>
      <c r="AN9">
        <v>5</v>
      </c>
    </row>
    <row r="10" spans="1:40" x14ac:dyDescent="0.2">
      <c r="A10" t="s">
        <v>252</v>
      </c>
      <c r="B10" t="s">
        <v>253</v>
      </c>
      <c r="C10" t="s">
        <v>253</v>
      </c>
      <c r="D10" t="s">
        <v>5</v>
      </c>
      <c r="E10">
        <v>0</v>
      </c>
      <c r="F10">
        <v>0</v>
      </c>
      <c r="G10">
        <v>0</v>
      </c>
      <c r="H10">
        <v>1</v>
      </c>
      <c r="I10" t="s">
        <v>18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513</v>
      </c>
      <c r="AE10">
        <v>30.867924528301899</v>
      </c>
      <c r="AF10">
        <v>26.282297286094771</v>
      </c>
      <c r="AG10">
        <f>31.2398987161806*1</f>
        <v>31.239898716180601</v>
      </c>
      <c r="AH10">
        <f>7.80997456020181*1</f>
        <v>7.8099745602018098</v>
      </c>
      <c r="AI10">
        <v>1</v>
      </c>
      <c r="AJ10">
        <v>1</v>
      </c>
      <c r="AL10" t="s">
        <v>7</v>
      </c>
      <c r="AM10">
        <f>SUMPRODUCT(Table1[Selected],Table1[AVL])</f>
        <v>3</v>
      </c>
      <c r="AN10">
        <v>5</v>
      </c>
    </row>
    <row r="11" spans="1:40" x14ac:dyDescent="0.2">
      <c r="A11" t="s">
        <v>222</v>
      </c>
      <c r="B11" t="s">
        <v>223</v>
      </c>
      <c r="C11" t="s">
        <v>223</v>
      </c>
      <c r="D11" t="s">
        <v>4</v>
      </c>
      <c r="E11">
        <v>0</v>
      </c>
      <c r="F11">
        <v>0</v>
      </c>
      <c r="G11">
        <v>1</v>
      </c>
      <c r="H11">
        <v>0</v>
      </c>
      <c r="I11" t="s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431</v>
      </c>
      <c r="AE11">
        <v>14.71341938128516</v>
      </c>
      <c r="AF11">
        <v>24.182903387040611</v>
      </c>
      <c r="AG11">
        <f>27.6707706272036*1</f>
        <v>27.670770627203598</v>
      </c>
      <c r="AH11">
        <f>7.33857220094756*1</f>
        <v>7.33857220094756</v>
      </c>
      <c r="AI11">
        <v>1</v>
      </c>
      <c r="AJ11">
        <v>1</v>
      </c>
      <c r="AL11" t="s">
        <v>8</v>
      </c>
      <c r="AM11">
        <f>SUMPRODUCT(Table1[Selected],Table1[BOU])</f>
        <v>0</v>
      </c>
      <c r="AN11">
        <v>5</v>
      </c>
    </row>
    <row r="12" spans="1:40" x14ac:dyDescent="0.2">
      <c r="A12" t="s">
        <v>76</v>
      </c>
      <c r="B12" t="s">
        <v>77</v>
      </c>
      <c r="C12" t="s">
        <v>77</v>
      </c>
      <c r="D12" t="s">
        <v>5</v>
      </c>
      <c r="E12">
        <v>0</v>
      </c>
      <c r="F12">
        <v>0</v>
      </c>
      <c r="G12">
        <v>0</v>
      </c>
      <c r="H12">
        <v>1</v>
      </c>
      <c r="I12" t="s">
        <v>7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64</v>
      </c>
      <c r="AE12">
        <v>29.871880182567612</v>
      </c>
      <c r="AF12">
        <v>19.220337653735751</v>
      </c>
      <c r="AG12">
        <f>36.6170745317988*1</f>
        <v>36.617074531798799</v>
      </c>
      <c r="AH12">
        <f>7.32341490635975*1</f>
        <v>7.3234149063597496</v>
      </c>
      <c r="AI12">
        <v>1</v>
      </c>
      <c r="AJ12">
        <v>1</v>
      </c>
      <c r="AL12" t="s">
        <v>9</v>
      </c>
      <c r="AM12">
        <f>SUMPRODUCT(Table1[Selected],Table1[BRE])</f>
        <v>0</v>
      </c>
      <c r="AN12">
        <v>5</v>
      </c>
    </row>
    <row r="13" spans="1:40" hidden="1" x14ac:dyDescent="0.2">
      <c r="A13" t="s">
        <v>61</v>
      </c>
      <c r="B13" t="s">
        <v>62</v>
      </c>
      <c r="C13" t="s">
        <v>62</v>
      </c>
      <c r="D13" t="s">
        <v>4</v>
      </c>
      <c r="E13">
        <v>0</v>
      </c>
      <c r="F13">
        <v>0</v>
      </c>
      <c r="G13">
        <v>1</v>
      </c>
      <c r="H13">
        <v>0</v>
      </c>
      <c r="I13" t="s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27</v>
      </c>
      <c r="AE13">
        <v>20.29396793011864</v>
      </c>
      <c r="AF13">
        <v>13.502030496996101</v>
      </c>
      <c r="AG13">
        <f>24.6181472568121*1</f>
        <v>24.618147256812101</v>
      </c>
      <c r="AH13">
        <f>4.24175804242493*1</f>
        <v>4.2417580424249302</v>
      </c>
      <c r="AI13">
        <v>1</v>
      </c>
      <c r="AJ13">
        <v>0</v>
      </c>
      <c r="AL13" t="s">
        <v>10</v>
      </c>
      <c r="AM13">
        <f>SUMPRODUCT(Table1[Selected],Table1[BHA])</f>
        <v>0</v>
      </c>
      <c r="AN13">
        <v>5</v>
      </c>
    </row>
    <row r="14" spans="1:40" x14ac:dyDescent="0.2">
      <c r="A14" t="s">
        <v>67</v>
      </c>
      <c r="B14" t="s">
        <v>68</v>
      </c>
      <c r="C14" t="s">
        <v>67</v>
      </c>
      <c r="D14" t="s">
        <v>4</v>
      </c>
      <c r="E14">
        <v>0</v>
      </c>
      <c r="F14">
        <v>0</v>
      </c>
      <c r="G14">
        <v>1</v>
      </c>
      <c r="H14">
        <v>0</v>
      </c>
      <c r="I14" t="s">
        <v>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48</v>
      </c>
      <c r="AE14">
        <v>25.37181138369613</v>
      </c>
      <c r="AF14">
        <v>11.974938042832081</v>
      </c>
      <c r="AG14">
        <f>31.100871547607*1</f>
        <v>31.100871547606999</v>
      </c>
      <c r="AH14">
        <f>6.623213554757*1</f>
        <v>6.6232135547570001</v>
      </c>
      <c r="AI14">
        <v>1</v>
      </c>
      <c r="AJ14">
        <v>1</v>
      </c>
      <c r="AL14" t="s">
        <v>11</v>
      </c>
      <c r="AM14">
        <f>SUMPRODUCT(Table1[Selected],Table1[BUR])</f>
        <v>0</v>
      </c>
      <c r="AN14">
        <v>5</v>
      </c>
    </row>
    <row r="15" spans="1:40" hidden="1" x14ac:dyDescent="0.2">
      <c r="A15" t="s">
        <v>65</v>
      </c>
      <c r="B15" t="s">
        <v>66</v>
      </c>
      <c r="C15" t="s">
        <v>66</v>
      </c>
      <c r="D15" t="s">
        <v>3</v>
      </c>
      <c r="E15">
        <v>0</v>
      </c>
      <c r="F15">
        <v>1</v>
      </c>
      <c r="G15">
        <v>0</v>
      </c>
      <c r="H15">
        <v>0</v>
      </c>
      <c r="I15" t="s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47</v>
      </c>
      <c r="AE15">
        <v>13.04343211346832</v>
      </c>
      <c r="AF15">
        <v>18.38426172820067</v>
      </c>
      <c r="AG15">
        <f>15.9886931431938*1</f>
        <v>15.9886931431938</v>
      </c>
      <c r="AH15">
        <f>3.9787478141994*1</f>
        <v>3.9787478141994002</v>
      </c>
      <c r="AI15">
        <v>1</v>
      </c>
      <c r="AJ15">
        <v>0</v>
      </c>
      <c r="AL15" t="s">
        <v>12</v>
      </c>
      <c r="AM15">
        <f>SUMPRODUCT(Table1[Selected],Table1[CHE])</f>
        <v>0</v>
      </c>
      <c r="AN15">
        <v>5</v>
      </c>
    </row>
    <row r="16" spans="1:40" x14ac:dyDescent="0.2">
      <c r="A16" t="s">
        <v>46</v>
      </c>
      <c r="B16" t="s">
        <v>47</v>
      </c>
      <c r="C16" t="s">
        <v>47</v>
      </c>
      <c r="D16" t="s">
        <v>4</v>
      </c>
      <c r="E16">
        <v>0</v>
      </c>
      <c r="F16">
        <v>0</v>
      </c>
      <c r="G16">
        <v>1</v>
      </c>
      <c r="H16">
        <v>0</v>
      </c>
      <c r="I16" t="s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12</v>
      </c>
      <c r="AE16">
        <v>26.278953740646941</v>
      </c>
      <c r="AF16">
        <v>22.18135778417437</v>
      </c>
      <c r="AG16">
        <f>31.8783963377643*1</f>
        <v>31.8783963377643</v>
      </c>
      <c r="AH16">
        <f>6.37567926755286*1</f>
        <v>6.3756792675528597</v>
      </c>
      <c r="AI16">
        <v>1</v>
      </c>
      <c r="AJ16">
        <v>1</v>
      </c>
      <c r="AL16" t="s">
        <v>13</v>
      </c>
      <c r="AM16">
        <f>SUMPRODUCT(Table1[Selected],Table1[CRY])</f>
        <v>0</v>
      </c>
      <c r="AN16">
        <v>5</v>
      </c>
    </row>
    <row r="17" spans="1:40" hidden="1" x14ac:dyDescent="0.2">
      <c r="A17" t="s">
        <v>69</v>
      </c>
      <c r="B17" t="s">
        <v>70</v>
      </c>
      <c r="C17" t="s">
        <v>71</v>
      </c>
      <c r="D17" t="s">
        <v>2</v>
      </c>
      <c r="E17">
        <v>1</v>
      </c>
      <c r="F17">
        <v>0</v>
      </c>
      <c r="G17">
        <v>0</v>
      </c>
      <c r="H17">
        <v>0</v>
      </c>
      <c r="I17" t="s">
        <v>7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</v>
      </c>
      <c r="AE17">
        <v>17.06349206349206</v>
      </c>
      <c r="AF17">
        <v>19.872845561683221</v>
      </c>
      <c r="AG17">
        <f>20.9164992910714*1</f>
        <v>20.9164992910714</v>
      </c>
      <c r="AH17">
        <f>4.18329985821428*1</f>
        <v>4.18329985821428</v>
      </c>
      <c r="AI17">
        <v>1</v>
      </c>
      <c r="AJ17">
        <v>0</v>
      </c>
      <c r="AL17" t="s">
        <v>14</v>
      </c>
      <c r="AM17">
        <f>SUMPRODUCT(Table1[Selected],Table1[EVE])</f>
        <v>0</v>
      </c>
      <c r="AN17">
        <v>5</v>
      </c>
    </row>
    <row r="18" spans="1:40" hidden="1" x14ac:dyDescent="0.2">
      <c r="A18" t="s">
        <v>72</v>
      </c>
      <c r="B18" t="s">
        <v>73</v>
      </c>
      <c r="C18" t="s">
        <v>73</v>
      </c>
      <c r="D18" t="s">
        <v>4</v>
      </c>
      <c r="E18">
        <v>0</v>
      </c>
      <c r="F18">
        <v>0</v>
      </c>
      <c r="G18">
        <v>1</v>
      </c>
      <c r="H18">
        <v>0</v>
      </c>
      <c r="I18" t="s">
        <v>7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55</v>
      </c>
      <c r="AE18">
        <v>15.22580645161289</v>
      </c>
      <c r="AF18">
        <v>13.64196285439796</v>
      </c>
      <c r="AG18">
        <f>18.6638566517419*1</f>
        <v>18.663856651741899</v>
      </c>
      <c r="AH18">
        <f>3.73277133034838*1</f>
        <v>3.7327713303483798</v>
      </c>
      <c r="AI18">
        <v>1</v>
      </c>
      <c r="AJ18">
        <v>0</v>
      </c>
      <c r="AL18" t="s">
        <v>15</v>
      </c>
      <c r="AM18">
        <f>SUMPRODUCT(Table1[Selected],Table1[FUL])</f>
        <v>0</v>
      </c>
      <c r="AN18">
        <v>5</v>
      </c>
    </row>
    <row r="19" spans="1:40" hidden="1" x14ac:dyDescent="0.2">
      <c r="A19" t="s">
        <v>74</v>
      </c>
      <c r="B19" t="s">
        <v>75</v>
      </c>
      <c r="C19" t="s">
        <v>75</v>
      </c>
      <c r="D19" t="s">
        <v>4</v>
      </c>
      <c r="E19">
        <v>0</v>
      </c>
      <c r="F19">
        <v>0</v>
      </c>
      <c r="G19">
        <v>1</v>
      </c>
      <c r="H19">
        <v>0</v>
      </c>
      <c r="I19" t="s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62</v>
      </c>
      <c r="AE19">
        <v>11.91136484474837</v>
      </c>
      <c r="AF19">
        <v>16.413789283936481</v>
      </c>
      <c r="AG19">
        <f>14.6010003933441*1</f>
        <v>14.601000393344099</v>
      </c>
      <c r="AH19">
        <f>2.92020007866882*1</f>
        <v>2.9202000786688198</v>
      </c>
      <c r="AI19">
        <v>1</v>
      </c>
      <c r="AJ19">
        <v>0</v>
      </c>
      <c r="AL19" t="s">
        <v>16</v>
      </c>
      <c r="AM19">
        <f>SUMPRODUCT(Table1[Selected],Table1[LIV])</f>
        <v>3</v>
      </c>
      <c r="AN19">
        <v>5</v>
      </c>
    </row>
    <row r="20" spans="1:40" x14ac:dyDescent="0.2">
      <c r="A20" t="s">
        <v>224</v>
      </c>
      <c r="B20" t="s">
        <v>225</v>
      </c>
      <c r="C20" t="s">
        <v>224</v>
      </c>
      <c r="D20" t="s">
        <v>3</v>
      </c>
      <c r="E20">
        <v>0</v>
      </c>
      <c r="F20">
        <v>1</v>
      </c>
      <c r="G20">
        <v>0</v>
      </c>
      <c r="H20">
        <v>0</v>
      </c>
      <c r="I20" t="s">
        <v>16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435</v>
      </c>
      <c r="AE20">
        <v>23.704819277108459</v>
      </c>
      <c r="AF20">
        <v>25.186711205464391</v>
      </c>
      <c r="AG20">
        <f>28.8193562809959*1</f>
        <v>28.819356280995901</v>
      </c>
      <c r="AH20">
        <f>6.29888812893671*1</f>
        <v>6.29888812893671</v>
      </c>
      <c r="AI20">
        <v>1</v>
      </c>
      <c r="AJ20">
        <v>1</v>
      </c>
      <c r="AL20" t="s">
        <v>17</v>
      </c>
      <c r="AM20">
        <f>SUMPRODUCT(Table1[Selected],Table1[LUT])</f>
        <v>1</v>
      </c>
      <c r="AN20">
        <v>5</v>
      </c>
    </row>
    <row r="21" spans="1:40" hidden="1" x14ac:dyDescent="0.2">
      <c r="A21" t="s">
        <v>78</v>
      </c>
      <c r="B21" t="s">
        <v>79</v>
      </c>
      <c r="C21" t="s">
        <v>79</v>
      </c>
      <c r="D21" t="s">
        <v>4</v>
      </c>
      <c r="E21">
        <v>0</v>
      </c>
      <c r="F21">
        <v>0</v>
      </c>
      <c r="G21">
        <v>1</v>
      </c>
      <c r="H21">
        <v>0</v>
      </c>
      <c r="I21" t="s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67</v>
      </c>
      <c r="AE21">
        <v>10.672194782453751</v>
      </c>
      <c r="AF21">
        <v>16.42721404808929</v>
      </c>
      <c r="AG21">
        <f>13.082020595243*1</f>
        <v>13.082020595243</v>
      </c>
      <c r="AH21">
        <f>1.865556065806*1</f>
        <v>1.865556065806</v>
      </c>
      <c r="AI21">
        <v>1</v>
      </c>
      <c r="AJ21">
        <v>0</v>
      </c>
      <c r="AL21" t="s">
        <v>18</v>
      </c>
      <c r="AM21">
        <f>SUMPRODUCT(Table1[Selected],Table1[MCI])</f>
        <v>1</v>
      </c>
      <c r="AN21">
        <v>5</v>
      </c>
    </row>
    <row r="22" spans="1:40" hidden="1" x14ac:dyDescent="0.2">
      <c r="A22" t="s">
        <v>80</v>
      </c>
      <c r="B22" t="s">
        <v>81</v>
      </c>
      <c r="C22" t="s">
        <v>81</v>
      </c>
      <c r="D22" t="s">
        <v>4</v>
      </c>
      <c r="E22">
        <v>0</v>
      </c>
      <c r="F22">
        <v>0</v>
      </c>
      <c r="G22">
        <v>1</v>
      </c>
      <c r="H22">
        <v>0</v>
      </c>
      <c r="I22" t="s">
        <v>8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82</v>
      </c>
      <c r="AE22">
        <v>10.517241379310351</v>
      </c>
      <c r="AF22">
        <v>12.088189473855181</v>
      </c>
      <c r="AG22">
        <f>11.0928033727481*1</f>
        <v>11.092803372748101</v>
      </c>
      <c r="AH22">
        <f>2.21211007628532*1</f>
        <v>2.2121100762853199</v>
      </c>
      <c r="AI22">
        <v>1</v>
      </c>
      <c r="AJ22">
        <v>0</v>
      </c>
      <c r="AL22" t="s">
        <v>19</v>
      </c>
      <c r="AM22">
        <f>SUMPRODUCT(Table1[Selected],Table1[MUN])</f>
        <v>0</v>
      </c>
      <c r="AN22">
        <v>5</v>
      </c>
    </row>
    <row r="23" spans="1:40" hidden="1" x14ac:dyDescent="0.2">
      <c r="A23" t="s">
        <v>82</v>
      </c>
      <c r="B23" t="s">
        <v>83</v>
      </c>
      <c r="C23" t="s">
        <v>84</v>
      </c>
      <c r="D23" t="s">
        <v>4</v>
      </c>
      <c r="E23">
        <v>0</v>
      </c>
      <c r="F23">
        <v>0</v>
      </c>
      <c r="G23">
        <v>1</v>
      </c>
      <c r="H23">
        <v>0</v>
      </c>
      <c r="I23" t="s">
        <v>8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83</v>
      </c>
      <c r="AE23">
        <v>9.2222222222222214</v>
      </c>
      <c r="AF23">
        <v>7.5957544192238</v>
      </c>
      <c r="AG23">
        <f>9.6115273512126*1</f>
        <v>9.6115273512125992</v>
      </c>
      <c r="AH23">
        <f>1.92030931242561*1</f>
        <v>1.9203093124256101</v>
      </c>
      <c r="AI23">
        <v>1</v>
      </c>
      <c r="AJ23">
        <v>0</v>
      </c>
      <c r="AL23" t="s">
        <v>20</v>
      </c>
      <c r="AM23">
        <f>SUMPRODUCT(Table1[Selected],Table1[NEW])</f>
        <v>0</v>
      </c>
      <c r="AN23">
        <v>5</v>
      </c>
    </row>
    <row r="24" spans="1:40" hidden="1" x14ac:dyDescent="0.2">
      <c r="A24" t="s">
        <v>85</v>
      </c>
      <c r="B24" t="s">
        <v>86</v>
      </c>
      <c r="C24" t="s">
        <v>86</v>
      </c>
      <c r="D24" t="s">
        <v>4</v>
      </c>
      <c r="E24">
        <v>0</v>
      </c>
      <c r="F24">
        <v>0</v>
      </c>
      <c r="G24">
        <v>1</v>
      </c>
      <c r="H24">
        <v>0</v>
      </c>
      <c r="I24" t="s">
        <v>8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89</v>
      </c>
      <c r="AE24">
        <v>13.63636363636363</v>
      </c>
      <c r="AF24">
        <v>15.485270682438721</v>
      </c>
      <c r="AG24">
        <f>14.3754023522911*1</f>
        <v>14.375402352291101</v>
      </c>
      <c r="AH24">
        <f>2.8933971210675*1</f>
        <v>2.8933971210674998</v>
      </c>
      <c r="AI24">
        <v>1</v>
      </c>
      <c r="AJ24">
        <v>0</v>
      </c>
      <c r="AL24" t="s">
        <v>21</v>
      </c>
      <c r="AM24">
        <f>SUMPRODUCT(Table1[Selected],Table1[NFO])</f>
        <v>0</v>
      </c>
      <c r="AN24">
        <v>5</v>
      </c>
    </row>
    <row r="25" spans="1:40" hidden="1" x14ac:dyDescent="0.2">
      <c r="A25" t="s">
        <v>87</v>
      </c>
      <c r="B25" t="s">
        <v>88</v>
      </c>
      <c r="C25" t="s">
        <v>89</v>
      </c>
      <c r="D25" t="s">
        <v>2</v>
      </c>
      <c r="E25">
        <v>1</v>
      </c>
      <c r="F25">
        <v>0</v>
      </c>
      <c r="G25">
        <v>0</v>
      </c>
      <c r="H25">
        <v>0</v>
      </c>
      <c r="I25" t="s">
        <v>8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94</v>
      </c>
      <c r="AE25">
        <v>18.058754490069859</v>
      </c>
      <c r="AF25">
        <v>18.335055468661121</v>
      </c>
      <c r="AG25">
        <f>18.9540323909976*1</f>
        <v>18.9540323909976</v>
      </c>
      <c r="AH25">
        <f>2.30666188411533*1</f>
        <v>2.3066618841153299</v>
      </c>
      <c r="AI25">
        <v>1</v>
      </c>
      <c r="AJ25">
        <v>0</v>
      </c>
      <c r="AL25" t="s">
        <v>22</v>
      </c>
      <c r="AM25">
        <f>SUMPRODUCT(Table1[Selected],Table1[SHU])</f>
        <v>0</v>
      </c>
      <c r="AN25">
        <v>5</v>
      </c>
    </row>
    <row r="26" spans="1:40" hidden="1" x14ac:dyDescent="0.2">
      <c r="A26" t="s">
        <v>90</v>
      </c>
      <c r="B26" t="s">
        <v>91</v>
      </c>
      <c r="C26" t="s">
        <v>91</v>
      </c>
      <c r="D26" t="s">
        <v>5</v>
      </c>
      <c r="E26">
        <v>0</v>
      </c>
      <c r="F26">
        <v>0</v>
      </c>
      <c r="G26">
        <v>0</v>
      </c>
      <c r="H26">
        <v>1</v>
      </c>
      <c r="I26" t="s">
        <v>8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99</v>
      </c>
      <c r="AE26">
        <v>14.848484848484841</v>
      </c>
      <c r="AF26">
        <v>13.05285802666185</v>
      </c>
      <c r="AG26">
        <f>15.5069125592683*1</f>
        <v>15.506912559268301</v>
      </c>
      <c r="AH26">
        <f>3.11098900859637*1</f>
        <v>3.1109890085963698</v>
      </c>
      <c r="AI26">
        <v>1</v>
      </c>
      <c r="AJ26">
        <v>0</v>
      </c>
      <c r="AL26" t="s">
        <v>23</v>
      </c>
      <c r="AM26">
        <f>SUMPRODUCT(Table1[Selected],Table1[TOT])</f>
        <v>0</v>
      </c>
      <c r="AN26">
        <v>5</v>
      </c>
    </row>
    <row r="27" spans="1:40" hidden="1" x14ac:dyDescent="0.2">
      <c r="A27" t="s">
        <v>92</v>
      </c>
      <c r="B27" t="s">
        <v>93</v>
      </c>
      <c r="C27" t="s">
        <v>93</v>
      </c>
      <c r="D27" t="s">
        <v>3</v>
      </c>
      <c r="E27">
        <v>0</v>
      </c>
      <c r="F27">
        <v>1</v>
      </c>
      <c r="G27">
        <v>0</v>
      </c>
      <c r="H27">
        <v>0</v>
      </c>
      <c r="I27" t="s">
        <v>8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100</v>
      </c>
      <c r="AE27">
        <v>12.20813607487422</v>
      </c>
      <c r="AF27">
        <v>9.6543843365891302</v>
      </c>
      <c r="AG27">
        <f>12.7080975823171*1</f>
        <v>12.7080975823171</v>
      </c>
      <c r="AH27">
        <f>2.100656365876*1</f>
        <v>2.100656365876</v>
      </c>
      <c r="AI27">
        <v>1</v>
      </c>
      <c r="AJ27">
        <v>0</v>
      </c>
      <c r="AL27" t="s">
        <v>24</v>
      </c>
      <c r="AM27">
        <f>SUMPRODUCT(Table1[Selected],Table1[WHU])</f>
        <v>0</v>
      </c>
      <c r="AN27">
        <v>5</v>
      </c>
    </row>
    <row r="28" spans="1:40" hidden="1" x14ac:dyDescent="0.2">
      <c r="A28" t="s">
        <v>94</v>
      </c>
      <c r="B28" t="s">
        <v>95</v>
      </c>
      <c r="C28" t="s">
        <v>95</v>
      </c>
      <c r="D28" t="s">
        <v>5</v>
      </c>
      <c r="E28">
        <v>0</v>
      </c>
      <c r="F28">
        <v>0</v>
      </c>
      <c r="G28">
        <v>0</v>
      </c>
      <c r="H28">
        <v>1</v>
      </c>
      <c r="I28" t="s">
        <v>8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102</v>
      </c>
      <c r="AE28">
        <v>26.127019315349749</v>
      </c>
      <c r="AF28">
        <v>13.80546625530522</v>
      </c>
      <c r="AG28">
        <f>26.9336490412482*1</f>
        <v>26.933649041248199</v>
      </c>
      <c r="AH28">
        <f>5.86600416368862*1</f>
        <v>5.8660041636886202</v>
      </c>
      <c r="AI28">
        <v>1</v>
      </c>
      <c r="AJ28">
        <v>0</v>
      </c>
      <c r="AL28" t="s">
        <v>25</v>
      </c>
      <c r="AM28">
        <f>SUMPRODUCT(Table1[Selected],Table1[WOL])</f>
        <v>2</v>
      </c>
      <c r="AN28">
        <v>5</v>
      </c>
    </row>
    <row r="29" spans="1:40" hidden="1" x14ac:dyDescent="0.2">
      <c r="A29" t="s">
        <v>96</v>
      </c>
      <c r="B29" t="s">
        <v>97</v>
      </c>
      <c r="C29" t="s">
        <v>97</v>
      </c>
      <c r="D29" t="s">
        <v>3</v>
      </c>
      <c r="E29">
        <v>0</v>
      </c>
      <c r="F29">
        <v>1</v>
      </c>
      <c r="G29">
        <v>0</v>
      </c>
      <c r="H29">
        <v>0</v>
      </c>
      <c r="I29" t="s">
        <v>8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106</v>
      </c>
      <c r="AE29">
        <v>10.78125</v>
      </c>
      <c r="AF29">
        <v>10.572187094162439</v>
      </c>
      <c r="AG29">
        <f>11.3013730958856*1</f>
        <v>11.3013730958856</v>
      </c>
      <c r="AH29">
        <f>2.29738042341221*1</f>
        <v>2.2973804234122102</v>
      </c>
      <c r="AI29">
        <v>1</v>
      </c>
      <c r="AJ29">
        <v>0</v>
      </c>
    </row>
    <row r="30" spans="1:40" hidden="1" x14ac:dyDescent="0.2">
      <c r="A30" t="s">
        <v>98</v>
      </c>
      <c r="B30" t="s">
        <v>99</v>
      </c>
      <c r="C30" t="s">
        <v>99</v>
      </c>
      <c r="D30" t="s">
        <v>3</v>
      </c>
      <c r="E30">
        <v>0</v>
      </c>
      <c r="F30">
        <v>1</v>
      </c>
      <c r="G30">
        <v>0</v>
      </c>
      <c r="H30">
        <v>0</v>
      </c>
      <c r="I30" t="s">
        <v>8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107</v>
      </c>
      <c r="AE30">
        <v>9.9999999999999964</v>
      </c>
      <c r="AF30">
        <v>7.677257050864621</v>
      </c>
      <c r="AG30">
        <f>10.4006623212032*1</f>
        <v>10.4006623212032</v>
      </c>
      <c r="AH30">
        <f>2.06858725402893*1</f>
        <v>2.0685872540289298</v>
      </c>
      <c r="AI30">
        <v>1</v>
      </c>
      <c r="AJ30">
        <v>0</v>
      </c>
    </row>
    <row r="31" spans="1:40" hidden="1" x14ac:dyDescent="0.2">
      <c r="A31" t="s">
        <v>100</v>
      </c>
      <c r="B31" t="s">
        <v>101</v>
      </c>
      <c r="C31" t="s">
        <v>101</v>
      </c>
      <c r="D31" t="s">
        <v>2</v>
      </c>
      <c r="E31">
        <v>1</v>
      </c>
      <c r="F31">
        <v>0</v>
      </c>
      <c r="G31">
        <v>0</v>
      </c>
      <c r="H31">
        <v>0</v>
      </c>
      <c r="I31" t="s">
        <v>9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129</v>
      </c>
      <c r="AE31">
        <v>14.12621749764744</v>
      </c>
      <c r="AF31">
        <v>12.339652437652109</v>
      </c>
      <c r="AG31">
        <f>15.2708078785287*1</f>
        <v>15.2708078785287</v>
      </c>
      <c r="AH31">
        <f>2.89671181454876*1</f>
        <v>2.8967118145487598</v>
      </c>
      <c r="AI31">
        <v>1</v>
      </c>
      <c r="AJ31">
        <v>0</v>
      </c>
    </row>
    <row r="32" spans="1:40" hidden="1" x14ac:dyDescent="0.2">
      <c r="A32" t="s">
        <v>102</v>
      </c>
      <c r="B32" t="s">
        <v>103</v>
      </c>
      <c r="C32" t="s">
        <v>103</v>
      </c>
      <c r="D32" t="s">
        <v>4</v>
      </c>
      <c r="E32">
        <v>0</v>
      </c>
      <c r="F32">
        <v>0</v>
      </c>
      <c r="G32">
        <v>1</v>
      </c>
      <c r="H32">
        <v>0</v>
      </c>
      <c r="I32" t="s">
        <v>9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135</v>
      </c>
      <c r="AE32">
        <v>10.161290322580641</v>
      </c>
      <c r="AF32">
        <v>12.50032740555713</v>
      </c>
      <c r="AG32">
        <f>11.0464305875741*1</f>
        <v>11.0464305875741</v>
      </c>
      <c r="AH32">
        <f>2.21140832335876*1</f>
        <v>2.2114083233587598</v>
      </c>
      <c r="AI32">
        <v>1</v>
      </c>
      <c r="AJ32">
        <v>0</v>
      </c>
    </row>
    <row r="33" spans="1:36" hidden="1" x14ac:dyDescent="0.2">
      <c r="A33" t="s">
        <v>104</v>
      </c>
      <c r="B33" t="s">
        <v>105</v>
      </c>
      <c r="C33" t="s">
        <v>105</v>
      </c>
      <c r="D33" t="s">
        <v>4</v>
      </c>
      <c r="E33">
        <v>0</v>
      </c>
      <c r="F33">
        <v>0</v>
      </c>
      <c r="G33">
        <v>1</v>
      </c>
      <c r="H33">
        <v>0</v>
      </c>
      <c r="I33" t="s">
        <v>9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138</v>
      </c>
      <c r="AE33">
        <v>14.48717948717948</v>
      </c>
      <c r="AF33">
        <v>4.1823043943399716</v>
      </c>
      <c r="AG33">
        <f>15.5165112378313*1</f>
        <v>15.516511237831301</v>
      </c>
      <c r="AH33">
        <f>3.10298540108008*1</f>
        <v>3.1029854010800801</v>
      </c>
      <c r="AI33">
        <v>1</v>
      </c>
      <c r="AJ33">
        <v>0</v>
      </c>
    </row>
    <row r="34" spans="1:36" hidden="1" x14ac:dyDescent="0.2">
      <c r="A34" t="s">
        <v>106</v>
      </c>
      <c r="B34" t="s">
        <v>107</v>
      </c>
      <c r="C34" t="s">
        <v>107</v>
      </c>
      <c r="D34" t="s">
        <v>3</v>
      </c>
      <c r="E34">
        <v>0</v>
      </c>
      <c r="F34">
        <v>1</v>
      </c>
      <c r="G34">
        <v>0</v>
      </c>
      <c r="H34">
        <v>0</v>
      </c>
      <c r="I34" t="s">
        <v>9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140</v>
      </c>
      <c r="AE34">
        <v>15.370370370370379</v>
      </c>
      <c r="AF34">
        <v>15.81423252326721</v>
      </c>
      <c r="AG34">
        <f>16.6564943095502*1</f>
        <v>16.656494309550201</v>
      </c>
      <c r="AH34">
        <f>3.33979783490369*1</f>
        <v>3.3397978349036901</v>
      </c>
      <c r="AI34">
        <v>1</v>
      </c>
      <c r="AJ34">
        <v>0</v>
      </c>
    </row>
    <row r="35" spans="1:36" hidden="1" x14ac:dyDescent="0.2">
      <c r="A35" t="s">
        <v>108</v>
      </c>
      <c r="B35" t="s">
        <v>109</v>
      </c>
      <c r="C35" t="s">
        <v>110</v>
      </c>
      <c r="D35" t="s">
        <v>3</v>
      </c>
      <c r="E35">
        <v>0</v>
      </c>
      <c r="F35">
        <v>1</v>
      </c>
      <c r="G35">
        <v>0</v>
      </c>
      <c r="H35">
        <v>0</v>
      </c>
      <c r="I35" t="s">
        <v>9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141</v>
      </c>
      <c r="AE35">
        <v>13.83596847720367</v>
      </c>
      <c r="AF35">
        <v>8.6355404791000243</v>
      </c>
      <c r="AG35">
        <f>14.8981897333036*1</f>
        <v>14.8981897333036</v>
      </c>
      <c r="AH35">
        <f>3.43908233915595*1</f>
        <v>3.43908233915595</v>
      </c>
      <c r="AI35">
        <v>1</v>
      </c>
      <c r="AJ35">
        <v>0</v>
      </c>
    </row>
    <row r="36" spans="1:36" hidden="1" x14ac:dyDescent="0.2">
      <c r="A36" t="s">
        <v>111</v>
      </c>
      <c r="B36" t="s">
        <v>112</v>
      </c>
      <c r="C36" t="s">
        <v>112</v>
      </c>
      <c r="D36" t="s">
        <v>5</v>
      </c>
      <c r="E36">
        <v>0</v>
      </c>
      <c r="F36">
        <v>0</v>
      </c>
      <c r="G36">
        <v>0</v>
      </c>
      <c r="H36">
        <v>1</v>
      </c>
      <c r="I36" t="s">
        <v>9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146</v>
      </c>
      <c r="AE36">
        <v>15.255701273996729</v>
      </c>
      <c r="AF36">
        <v>16.110353581022359</v>
      </c>
      <c r="AG36">
        <f>16.5392929484034*1</f>
        <v>16.5392929484034</v>
      </c>
      <c r="AH36">
        <f>2.74486425320612*1</f>
        <v>2.7448642532061198</v>
      </c>
      <c r="AI36">
        <v>1</v>
      </c>
      <c r="AJ36">
        <v>0</v>
      </c>
    </row>
    <row r="37" spans="1:36" hidden="1" x14ac:dyDescent="0.2">
      <c r="A37" t="s">
        <v>113</v>
      </c>
      <c r="B37" t="s">
        <v>114</v>
      </c>
      <c r="C37" t="s">
        <v>114</v>
      </c>
      <c r="D37" t="s">
        <v>5</v>
      </c>
      <c r="E37">
        <v>0</v>
      </c>
      <c r="F37">
        <v>0</v>
      </c>
      <c r="G37">
        <v>0</v>
      </c>
      <c r="H37">
        <v>1</v>
      </c>
      <c r="I37" t="s">
        <v>9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149</v>
      </c>
      <c r="AE37">
        <v>12.49883220910869</v>
      </c>
      <c r="AF37">
        <v>15.275259567445771</v>
      </c>
      <c r="AG37">
        <f>13.5858761720018*1</f>
        <v>13.5858761720018</v>
      </c>
      <c r="AH37">
        <f>2.71326906750564*1</f>
        <v>2.7132690675056401</v>
      </c>
      <c r="AI37">
        <v>1</v>
      </c>
      <c r="AJ37">
        <v>0</v>
      </c>
    </row>
    <row r="38" spans="1:36" hidden="1" x14ac:dyDescent="0.2">
      <c r="A38" t="s">
        <v>115</v>
      </c>
      <c r="B38" t="s">
        <v>116</v>
      </c>
      <c r="C38" t="s">
        <v>116</v>
      </c>
      <c r="D38" t="s">
        <v>4</v>
      </c>
      <c r="E38">
        <v>0</v>
      </c>
      <c r="F38">
        <v>0</v>
      </c>
      <c r="G38">
        <v>1</v>
      </c>
      <c r="H38">
        <v>0</v>
      </c>
      <c r="I38" t="s">
        <v>10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161</v>
      </c>
      <c r="AE38">
        <v>15.339980106640761</v>
      </c>
      <c r="AF38">
        <v>14.4224526965571</v>
      </c>
      <c r="AG38">
        <f>21.0669584610719*1</f>
        <v>21.066958461071899</v>
      </c>
      <c r="AH38">
        <f>6.19670960488969*1</f>
        <v>6.1967096048896897</v>
      </c>
      <c r="AI38">
        <v>1</v>
      </c>
      <c r="AJ38">
        <v>0</v>
      </c>
    </row>
    <row r="39" spans="1:36" hidden="1" x14ac:dyDescent="0.2">
      <c r="A39" t="s">
        <v>117</v>
      </c>
      <c r="B39" t="s">
        <v>118</v>
      </c>
      <c r="C39" t="s">
        <v>118</v>
      </c>
      <c r="D39" t="s">
        <v>4</v>
      </c>
      <c r="E39">
        <v>0</v>
      </c>
      <c r="F39">
        <v>0</v>
      </c>
      <c r="G39">
        <v>1</v>
      </c>
      <c r="H39">
        <v>0</v>
      </c>
      <c r="I39" t="s">
        <v>10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164</v>
      </c>
      <c r="AE39">
        <v>9.2413793103448221</v>
      </c>
      <c r="AF39">
        <v>9.1972492505718684</v>
      </c>
      <c r="AG39">
        <f>12.9773439908696*1</f>
        <v>12.977343990869601</v>
      </c>
      <c r="AH39">
        <f>3.39861746912199*1</f>
        <v>3.3986174691219899</v>
      </c>
      <c r="AI39">
        <v>1</v>
      </c>
      <c r="AJ39">
        <v>0</v>
      </c>
    </row>
    <row r="40" spans="1:36" x14ac:dyDescent="0.2">
      <c r="A40" t="s">
        <v>50</v>
      </c>
      <c r="B40" t="s">
        <v>51</v>
      </c>
      <c r="C40" t="s">
        <v>51</v>
      </c>
      <c r="D40" t="s">
        <v>3</v>
      </c>
      <c r="E40">
        <v>0</v>
      </c>
      <c r="F40">
        <v>1</v>
      </c>
      <c r="G40">
        <v>0</v>
      </c>
      <c r="H40">
        <v>0</v>
      </c>
      <c r="I40" t="s">
        <v>6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18</v>
      </c>
      <c r="AE40">
        <v>21.342931404422711</v>
      </c>
      <c r="AF40">
        <v>20.181002415992889</v>
      </c>
      <c r="AG40">
        <f>25.8906208000027*1</f>
        <v>25.890620800002701</v>
      </c>
      <c r="AH40">
        <f>5.70740156665581*1</f>
        <v>5.7074015666558102</v>
      </c>
      <c r="AI40">
        <v>1</v>
      </c>
      <c r="AJ40">
        <v>1</v>
      </c>
    </row>
    <row r="41" spans="1:36" hidden="1" x14ac:dyDescent="0.2">
      <c r="A41" t="s">
        <v>120</v>
      </c>
      <c r="B41" t="s">
        <v>121</v>
      </c>
      <c r="C41" t="s">
        <v>122</v>
      </c>
      <c r="D41" t="s">
        <v>4</v>
      </c>
      <c r="E41">
        <v>0</v>
      </c>
      <c r="F41">
        <v>0</v>
      </c>
      <c r="G41">
        <v>1</v>
      </c>
      <c r="H41">
        <v>0</v>
      </c>
      <c r="I41" t="s">
        <v>10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172</v>
      </c>
      <c r="AE41">
        <v>18.966600352915069</v>
      </c>
      <c r="AF41">
        <v>11.69731425810804</v>
      </c>
      <c r="AG41">
        <f>22.6000856812103*1</f>
        <v>22.600085681210299</v>
      </c>
      <c r="AH41">
        <f>5.44304469794243*1</f>
        <v>5.4430446979424296</v>
      </c>
      <c r="AI41">
        <v>1</v>
      </c>
      <c r="AJ41">
        <v>0</v>
      </c>
    </row>
    <row r="42" spans="1:36" hidden="1" x14ac:dyDescent="0.2">
      <c r="A42" t="s">
        <v>123</v>
      </c>
      <c r="B42" t="s">
        <v>124</v>
      </c>
      <c r="C42" t="s">
        <v>123</v>
      </c>
      <c r="D42" t="s">
        <v>5</v>
      </c>
      <c r="E42">
        <v>0</v>
      </c>
      <c r="F42">
        <v>0</v>
      </c>
      <c r="G42">
        <v>0</v>
      </c>
      <c r="H42">
        <v>1</v>
      </c>
      <c r="I42" t="s">
        <v>10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173</v>
      </c>
      <c r="AE42">
        <v>20.639969709864619</v>
      </c>
      <c r="AF42">
        <v>8.9512763086428961</v>
      </c>
      <c r="AG42">
        <f>22.4709653859172*1</f>
        <v>22.4709653859172</v>
      </c>
      <c r="AH42">
        <f>3.56164921427014*1</f>
        <v>3.5616492142701399</v>
      </c>
      <c r="AI42">
        <v>1</v>
      </c>
      <c r="AJ42">
        <v>0</v>
      </c>
    </row>
    <row r="43" spans="1:36" hidden="1" x14ac:dyDescent="0.2">
      <c r="A43" t="s">
        <v>125</v>
      </c>
      <c r="B43" t="s">
        <v>126</v>
      </c>
      <c r="C43" t="s">
        <v>126</v>
      </c>
      <c r="D43" t="s">
        <v>4</v>
      </c>
      <c r="E43">
        <v>0</v>
      </c>
      <c r="F43">
        <v>0</v>
      </c>
      <c r="G43">
        <v>1</v>
      </c>
      <c r="H43">
        <v>0</v>
      </c>
      <c r="I43" t="s">
        <v>10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181</v>
      </c>
      <c r="AE43">
        <v>9.9203024090473733</v>
      </c>
      <c r="AF43">
        <v>18.015740792371869</v>
      </c>
      <c r="AG43">
        <f>18.5065445361707*1</f>
        <v>18.506544536170701</v>
      </c>
      <c r="AH43">
        <f>2.45747965587471*1</f>
        <v>2.4574796558747098</v>
      </c>
      <c r="AI43">
        <v>1</v>
      </c>
      <c r="AJ43">
        <v>0</v>
      </c>
    </row>
    <row r="44" spans="1:36" hidden="1" x14ac:dyDescent="0.2">
      <c r="A44" t="s">
        <v>127</v>
      </c>
      <c r="B44" t="s">
        <v>128</v>
      </c>
      <c r="C44" t="s">
        <v>128</v>
      </c>
      <c r="D44" t="s">
        <v>5</v>
      </c>
      <c r="E44">
        <v>0</v>
      </c>
      <c r="F44">
        <v>0</v>
      </c>
      <c r="G44">
        <v>0</v>
      </c>
      <c r="H44">
        <v>1</v>
      </c>
      <c r="I44" t="s">
        <v>10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191</v>
      </c>
      <c r="AE44">
        <v>11.74336784662095</v>
      </c>
      <c r="AF44">
        <v>13.200052863850271</v>
      </c>
      <c r="AG44">
        <f>17.3408881683633*1</f>
        <v>17.3408881683633</v>
      </c>
      <c r="AH44">
        <f>4.02228516494807*1</f>
        <v>4.0222851649480704</v>
      </c>
      <c r="AI44">
        <v>1</v>
      </c>
      <c r="AJ44">
        <v>0</v>
      </c>
    </row>
    <row r="45" spans="1:36" hidden="1" x14ac:dyDescent="0.2">
      <c r="A45" t="s">
        <v>129</v>
      </c>
      <c r="B45" t="s">
        <v>130</v>
      </c>
      <c r="C45" t="s">
        <v>130</v>
      </c>
      <c r="D45" t="s">
        <v>4</v>
      </c>
      <c r="E45">
        <v>0</v>
      </c>
      <c r="F45">
        <v>0</v>
      </c>
      <c r="G45">
        <v>1</v>
      </c>
      <c r="H45">
        <v>0</v>
      </c>
      <c r="I45" t="s">
        <v>11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240</v>
      </c>
      <c r="AE45">
        <v>10.68181818181818</v>
      </c>
      <c r="AF45">
        <v>10.66980132065618</v>
      </c>
      <c r="AG45">
        <f>10.3726235536868*1</f>
        <v>10.3726235536868</v>
      </c>
      <c r="AH45">
        <f>2.074524801436*1</f>
        <v>2.074524801436</v>
      </c>
      <c r="AI45">
        <v>1</v>
      </c>
      <c r="AJ45">
        <v>0</v>
      </c>
    </row>
    <row r="46" spans="1:36" hidden="1" x14ac:dyDescent="0.2">
      <c r="A46" t="s">
        <v>131</v>
      </c>
      <c r="B46" t="s">
        <v>132</v>
      </c>
      <c r="C46" t="s">
        <v>132</v>
      </c>
      <c r="D46" t="s">
        <v>3</v>
      </c>
      <c r="E46">
        <v>0</v>
      </c>
      <c r="F46">
        <v>1</v>
      </c>
      <c r="G46">
        <v>0</v>
      </c>
      <c r="H46">
        <v>0</v>
      </c>
      <c r="I46" t="s">
        <v>12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262</v>
      </c>
      <c r="AE46">
        <v>10.76923076923077</v>
      </c>
      <c r="AF46">
        <v>10.080814696876381</v>
      </c>
      <c r="AG46">
        <f>11.0396567256141*1</f>
        <v>11.039656725614099</v>
      </c>
      <c r="AH46">
        <f>2.83879493829181*1</f>
        <v>2.8387949382918101</v>
      </c>
      <c r="AI46">
        <v>1</v>
      </c>
      <c r="AJ46">
        <v>0</v>
      </c>
    </row>
    <row r="47" spans="1:36" hidden="1" x14ac:dyDescent="0.2">
      <c r="A47" t="s">
        <v>133</v>
      </c>
      <c r="B47" t="s">
        <v>134</v>
      </c>
      <c r="C47" t="s">
        <v>133</v>
      </c>
      <c r="D47" t="s">
        <v>4</v>
      </c>
      <c r="E47">
        <v>0</v>
      </c>
      <c r="F47">
        <v>0</v>
      </c>
      <c r="G47">
        <v>1</v>
      </c>
      <c r="H47">
        <v>0</v>
      </c>
      <c r="I47" t="s">
        <v>12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264</v>
      </c>
      <c r="AE47">
        <v>10.7</v>
      </c>
      <c r="AF47">
        <v>12.756415549662441</v>
      </c>
      <c r="AG47">
        <f>13.2786642570689*1</f>
        <v>13.2786642570689</v>
      </c>
      <c r="AH47">
        <f>3.44836096646685*1</f>
        <v>3.4483609664668502</v>
      </c>
      <c r="AI47">
        <v>1</v>
      </c>
      <c r="AJ47">
        <v>0</v>
      </c>
    </row>
    <row r="48" spans="1:36" hidden="1" x14ac:dyDescent="0.2">
      <c r="A48" t="s">
        <v>135</v>
      </c>
      <c r="B48" t="s">
        <v>136</v>
      </c>
      <c r="C48" t="s">
        <v>136</v>
      </c>
      <c r="D48" t="s">
        <v>4</v>
      </c>
      <c r="E48">
        <v>0</v>
      </c>
      <c r="F48">
        <v>0</v>
      </c>
      <c r="G48">
        <v>1</v>
      </c>
      <c r="H48">
        <v>0</v>
      </c>
      <c r="I48" t="s">
        <v>12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266</v>
      </c>
      <c r="AE48">
        <v>11.20829765347343</v>
      </c>
      <c r="AF48">
        <v>10.074593234337859</v>
      </c>
      <c r="AG48">
        <f>11.1380597240788*1</f>
        <v>11.138059724078801</v>
      </c>
      <c r="AH48">
        <f>2.42313409064423*1</f>
        <v>2.42313409064423</v>
      </c>
      <c r="AI48">
        <v>1</v>
      </c>
      <c r="AJ48">
        <v>0</v>
      </c>
    </row>
    <row r="49" spans="1:36" hidden="1" x14ac:dyDescent="0.2">
      <c r="A49" t="s">
        <v>137</v>
      </c>
      <c r="B49" t="s">
        <v>138</v>
      </c>
      <c r="C49" t="s">
        <v>138</v>
      </c>
      <c r="D49" t="s">
        <v>4</v>
      </c>
      <c r="E49">
        <v>0</v>
      </c>
      <c r="F49">
        <v>0</v>
      </c>
      <c r="G49">
        <v>1</v>
      </c>
      <c r="H49">
        <v>0</v>
      </c>
      <c r="I49" t="s">
        <v>12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271</v>
      </c>
      <c r="AE49">
        <v>9.5908167013866485</v>
      </c>
      <c r="AF49">
        <v>10.537944338399759</v>
      </c>
      <c r="AG49">
        <f>11.1468065683406*1</f>
        <v>11.146806568340599</v>
      </c>
      <c r="AH49">
        <f>2.7633729751121*1</f>
        <v>2.7633729751120999</v>
      </c>
      <c r="AI49">
        <v>1</v>
      </c>
      <c r="AJ49">
        <v>0</v>
      </c>
    </row>
    <row r="50" spans="1:36" hidden="1" x14ac:dyDescent="0.2">
      <c r="A50" t="s">
        <v>139</v>
      </c>
      <c r="B50" t="s">
        <v>140</v>
      </c>
      <c r="C50" t="s">
        <v>141</v>
      </c>
      <c r="D50" t="s">
        <v>5</v>
      </c>
      <c r="E50">
        <v>0</v>
      </c>
      <c r="F50">
        <v>0</v>
      </c>
      <c r="G50">
        <v>0</v>
      </c>
      <c r="H50">
        <v>1</v>
      </c>
      <c r="I50" t="s">
        <v>12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272</v>
      </c>
      <c r="AE50">
        <v>14.500000000000011</v>
      </c>
      <c r="AF50">
        <v>14.8373365956952</v>
      </c>
      <c r="AG50">
        <f>15.9297776568411*1</f>
        <v>15.9297776568411</v>
      </c>
      <c r="AH50">
        <f>4.47658724828392*1</f>
        <v>4.47658724828392</v>
      </c>
      <c r="AI50">
        <v>1</v>
      </c>
      <c r="AJ50">
        <v>0</v>
      </c>
    </row>
    <row r="51" spans="1:36" hidden="1" x14ac:dyDescent="0.2">
      <c r="A51" t="s">
        <v>142</v>
      </c>
      <c r="B51" t="s">
        <v>143</v>
      </c>
      <c r="C51" t="s">
        <v>143</v>
      </c>
      <c r="D51" t="s">
        <v>4</v>
      </c>
      <c r="E51">
        <v>0</v>
      </c>
      <c r="F51">
        <v>0</v>
      </c>
      <c r="G51">
        <v>1</v>
      </c>
      <c r="H51">
        <v>0</v>
      </c>
      <c r="I51" t="s">
        <v>12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277</v>
      </c>
      <c r="AE51">
        <v>16.433083567178102</v>
      </c>
      <c r="AF51">
        <v>24.27591473481192</v>
      </c>
      <c r="AG51">
        <f>24.3421885781853*1</f>
        <v>24.342188578185301</v>
      </c>
      <c r="AH51">
        <f>6.5599377428043*1</f>
        <v>6.5599377428043004</v>
      </c>
      <c r="AI51">
        <v>1</v>
      </c>
      <c r="AJ51">
        <v>0</v>
      </c>
    </row>
    <row r="52" spans="1:36" hidden="1" x14ac:dyDescent="0.2">
      <c r="A52" t="s">
        <v>144</v>
      </c>
      <c r="B52" t="s">
        <v>145</v>
      </c>
      <c r="C52" t="s">
        <v>146</v>
      </c>
      <c r="D52" t="s">
        <v>3</v>
      </c>
      <c r="E52">
        <v>0</v>
      </c>
      <c r="F52">
        <v>1</v>
      </c>
      <c r="G52">
        <v>0</v>
      </c>
      <c r="H52">
        <v>0</v>
      </c>
      <c r="I52" t="s">
        <v>12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278</v>
      </c>
      <c r="AE52">
        <v>13.28205128205127</v>
      </c>
      <c r="AF52">
        <v>12.790066145202809</v>
      </c>
      <c r="AG52">
        <f>13.9165551680727*1</f>
        <v>13.9165551680727</v>
      </c>
      <c r="AH52">
        <f>3.32440576827124*1</f>
        <v>3.32440576827124</v>
      </c>
      <c r="AI52">
        <v>1</v>
      </c>
      <c r="AJ52">
        <v>0</v>
      </c>
    </row>
    <row r="53" spans="1:36" hidden="1" x14ac:dyDescent="0.2">
      <c r="A53" t="s">
        <v>147</v>
      </c>
      <c r="B53" t="s">
        <v>148</v>
      </c>
      <c r="C53" t="s">
        <v>148</v>
      </c>
      <c r="D53" t="s">
        <v>4</v>
      </c>
      <c r="E53">
        <v>0</v>
      </c>
      <c r="F53">
        <v>0</v>
      </c>
      <c r="G53">
        <v>1</v>
      </c>
      <c r="H53">
        <v>0</v>
      </c>
      <c r="I53" t="s">
        <v>12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280</v>
      </c>
      <c r="AE53">
        <v>27.986250711077599</v>
      </c>
      <c r="AF53">
        <v>12.94553249185833</v>
      </c>
      <c r="AG53">
        <f>17.5187143114695*1</f>
        <v>17.518714311469498</v>
      </c>
      <c r="AH53">
        <f>4.04262733649699*1</f>
        <v>4.0426273364969898</v>
      </c>
      <c r="AI53">
        <v>1</v>
      </c>
      <c r="AJ53">
        <v>0</v>
      </c>
    </row>
    <row r="54" spans="1:36" hidden="1" x14ac:dyDescent="0.2">
      <c r="A54" t="s">
        <v>149</v>
      </c>
      <c r="B54" t="s">
        <v>150</v>
      </c>
      <c r="C54" t="s">
        <v>150</v>
      </c>
      <c r="D54" t="s">
        <v>3</v>
      </c>
      <c r="E54">
        <v>0</v>
      </c>
      <c r="F54">
        <v>1</v>
      </c>
      <c r="G54">
        <v>0</v>
      </c>
      <c r="H54">
        <v>0</v>
      </c>
      <c r="I54" t="s">
        <v>12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283</v>
      </c>
      <c r="AE54">
        <v>10.56</v>
      </c>
      <c r="AF54">
        <v>6.2082158892002068</v>
      </c>
      <c r="AG54">
        <f>7.72592662442692*1</f>
        <v>7.7259266244269202</v>
      </c>
      <c r="AH54">
        <f>2.07094969376042*1</f>
        <v>2.0709496937604199</v>
      </c>
      <c r="AI54">
        <v>1</v>
      </c>
      <c r="AJ54">
        <v>0</v>
      </c>
    </row>
    <row r="55" spans="1:36" hidden="1" x14ac:dyDescent="0.2">
      <c r="A55" t="s">
        <v>151</v>
      </c>
      <c r="B55" t="s">
        <v>152</v>
      </c>
      <c r="C55" t="s">
        <v>152</v>
      </c>
      <c r="D55" t="s">
        <v>3</v>
      </c>
      <c r="E55">
        <v>0</v>
      </c>
      <c r="F55">
        <v>1</v>
      </c>
      <c r="G55">
        <v>0</v>
      </c>
      <c r="H55">
        <v>0</v>
      </c>
      <c r="I55" t="s">
        <v>13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305</v>
      </c>
      <c r="AE55">
        <v>14.370833192318059</v>
      </c>
      <c r="AF55">
        <v>15.101874262545049</v>
      </c>
      <c r="AG55">
        <f>15.3249744148763*1</f>
        <v>15.3249744148763</v>
      </c>
      <c r="AH55">
        <f>2.59463164191334*1</f>
        <v>2.5946316419133399</v>
      </c>
      <c r="AI55">
        <v>1</v>
      </c>
      <c r="AJ55">
        <v>0</v>
      </c>
    </row>
    <row r="56" spans="1:36" hidden="1" x14ac:dyDescent="0.2">
      <c r="A56" t="s">
        <v>153</v>
      </c>
      <c r="B56" t="s">
        <v>154</v>
      </c>
      <c r="C56" t="s">
        <v>155</v>
      </c>
      <c r="D56" t="s">
        <v>4</v>
      </c>
      <c r="E56">
        <v>0</v>
      </c>
      <c r="F56">
        <v>0</v>
      </c>
      <c r="G56">
        <v>1</v>
      </c>
      <c r="H56">
        <v>0</v>
      </c>
      <c r="I56" t="s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306</v>
      </c>
      <c r="AE56">
        <v>14.19444444444443</v>
      </c>
      <c r="AF56">
        <v>12.8030071330483</v>
      </c>
      <c r="AG56">
        <f>15.1368737079834*1</f>
        <v>15.136873707983399</v>
      </c>
      <c r="AH56">
        <f>3.02737478620265*1</f>
        <v>3.0273747862026501</v>
      </c>
      <c r="AI56">
        <v>1</v>
      </c>
      <c r="AJ56">
        <v>0</v>
      </c>
    </row>
    <row r="57" spans="1:36" hidden="1" x14ac:dyDescent="0.2">
      <c r="A57" t="s">
        <v>156</v>
      </c>
      <c r="B57" t="s">
        <v>157</v>
      </c>
      <c r="C57" t="s">
        <v>157</v>
      </c>
      <c r="D57" t="s">
        <v>4</v>
      </c>
      <c r="E57">
        <v>0</v>
      </c>
      <c r="F57">
        <v>0</v>
      </c>
      <c r="G57">
        <v>1</v>
      </c>
      <c r="H57">
        <v>0</v>
      </c>
      <c r="I57" t="s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311</v>
      </c>
      <c r="AE57">
        <v>18.77551020408163</v>
      </c>
      <c r="AF57">
        <v>16.05376886588472</v>
      </c>
      <c r="AG57">
        <f>20.0220955045252*1</f>
        <v>20.0220955045252</v>
      </c>
      <c r="AH57">
        <f>4.00441936192605*1</f>
        <v>4.0044193619260504</v>
      </c>
      <c r="AI57">
        <v>1</v>
      </c>
      <c r="AJ57">
        <v>0</v>
      </c>
    </row>
    <row r="58" spans="1:36" hidden="1" x14ac:dyDescent="0.2">
      <c r="A58" t="s">
        <v>158</v>
      </c>
      <c r="B58" t="s">
        <v>159</v>
      </c>
      <c r="C58" t="s">
        <v>159</v>
      </c>
      <c r="D58" t="s">
        <v>2</v>
      </c>
      <c r="E58">
        <v>1</v>
      </c>
      <c r="F58">
        <v>0</v>
      </c>
      <c r="G58">
        <v>0</v>
      </c>
      <c r="H58">
        <v>0</v>
      </c>
      <c r="I58" t="s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315</v>
      </c>
      <c r="AE58">
        <v>18.348371113131371</v>
      </c>
      <c r="AF58">
        <v>19.842007128559821</v>
      </c>
      <c r="AG58">
        <f>19.5665983295667*1</f>
        <v>19.566598329566698</v>
      </c>
      <c r="AH58">
        <f>4.34929743190727*1</f>
        <v>4.3492974319072699</v>
      </c>
      <c r="AI58">
        <v>1</v>
      </c>
      <c r="AJ58">
        <v>0</v>
      </c>
    </row>
    <row r="59" spans="1:36" hidden="1" x14ac:dyDescent="0.2">
      <c r="A59" t="s">
        <v>160</v>
      </c>
      <c r="B59" t="s">
        <v>161</v>
      </c>
      <c r="C59" t="s">
        <v>162</v>
      </c>
      <c r="D59" t="s">
        <v>4</v>
      </c>
      <c r="E59">
        <v>0</v>
      </c>
      <c r="F59">
        <v>0</v>
      </c>
      <c r="G59">
        <v>1</v>
      </c>
      <c r="H59">
        <v>0</v>
      </c>
      <c r="I59" t="s">
        <v>13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316</v>
      </c>
      <c r="AE59">
        <v>14.402883948147119</v>
      </c>
      <c r="AF59">
        <v>14.79459258907373</v>
      </c>
      <c r="AG59">
        <f>15.3591530361644*1</f>
        <v>15.3591530361644</v>
      </c>
      <c r="AH59">
        <f>3.2490607904174*1</f>
        <v>3.2490607904174</v>
      </c>
      <c r="AI59">
        <v>1</v>
      </c>
      <c r="AJ59">
        <v>0</v>
      </c>
    </row>
    <row r="60" spans="1:36" hidden="1" x14ac:dyDescent="0.2">
      <c r="A60" t="s">
        <v>163</v>
      </c>
      <c r="B60" t="s">
        <v>164</v>
      </c>
      <c r="C60" t="s">
        <v>164</v>
      </c>
      <c r="D60" t="s">
        <v>5</v>
      </c>
      <c r="E60">
        <v>0</v>
      </c>
      <c r="F60">
        <v>0</v>
      </c>
      <c r="G60">
        <v>0</v>
      </c>
      <c r="H60">
        <v>1</v>
      </c>
      <c r="I60" t="s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317</v>
      </c>
      <c r="AE60">
        <v>12.124999999999989</v>
      </c>
      <c r="AF60">
        <v>11.139030282431589</v>
      </c>
      <c r="AG60">
        <f>12.9300301574642*1</f>
        <v>12.9300301574642</v>
      </c>
      <c r="AH60">
        <f>2.58600614934863*1</f>
        <v>2.5860061493486302</v>
      </c>
      <c r="AI60">
        <v>1</v>
      </c>
      <c r="AJ60">
        <v>0</v>
      </c>
    </row>
    <row r="61" spans="1:36" hidden="1" x14ac:dyDescent="0.2">
      <c r="A61" t="s">
        <v>165</v>
      </c>
      <c r="B61" t="s">
        <v>166</v>
      </c>
      <c r="C61" t="s">
        <v>166</v>
      </c>
      <c r="D61" t="s">
        <v>3</v>
      </c>
      <c r="E61">
        <v>0</v>
      </c>
      <c r="F61">
        <v>1</v>
      </c>
      <c r="G61">
        <v>0</v>
      </c>
      <c r="H61">
        <v>0</v>
      </c>
      <c r="I61" t="s">
        <v>13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319</v>
      </c>
      <c r="AE61">
        <v>14.358087990515051</v>
      </c>
      <c r="AF61">
        <v>14.441627094474519</v>
      </c>
      <c r="AG61">
        <f>15.3113827737573*1</f>
        <v>15.3113827737573</v>
      </c>
      <c r="AH61">
        <f>3.34595765161949*1</f>
        <v>3.3459576516194902</v>
      </c>
      <c r="AI61">
        <v>1</v>
      </c>
      <c r="AJ61">
        <v>0</v>
      </c>
    </row>
    <row r="62" spans="1:36" hidden="1" x14ac:dyDescent="0.2">
      <c r="A62" t="s">
        <v>167</v>
      </c>
      <c r="B62" t="s">
        <v>168</v>
      </c>
      <c r="C62" t="s">
        <v>168</v>
      </c>
      <c r="D62" t="s">
        <v>3</v>
      </c>
      <c r="E62">
        <v>0</v>
      </c>
      <c r="F62">
        <v>1</v>
      </c>
      <c r="G62">
        <v>0</v>
      </c>
      <c r="H62">
        <v>0</v>
      </c>
      <c r="I62" t="s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327</v>
      </c>
      <c r="AE62">
        <v>13.231493072777001</v>
      </c>
      <c r="AF62">
        <v>12.050418646166101</v>
      </c>
      <c r="AG62">
        <f>14.1099879591433*1</f>
        <v>14.1099879591433</v>
      </c>
      <c r="AH62">
        <f>2.89070205360655*1</f>
        <v>2.89070205360655</v>
      </c>
      <c r="AI62">
        <v>1</v>
      </c>
      <c r="AJ62">
        <v>0</v>
      </c>
    </row>
    <row r="63" spans="1:36" hidden="1" x14ac:dyDescent="0.2">
      <c r="A63" t="s">
        <v>169</v>
      </c>
      <c r="B63" t="s">
        <v>170</v>
      </c>
      <c r="C63" t="s">
        <v>170</v>
      </c>
      <c r="D63" t="s">
        <v>3</v>
      </c>
      <c r="E63">
        <v>0</v>
      </c>
      <c r="F63">
        <v>1</v>
      </c>
      <c r="G63">
        <v>0</v>
      </c>
      <c r="H63">
        <v>0</v>
      </c>
      <c r="I63" t="s">
        <v>14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342</v>
      </c>
      <c r="AE63">
        <v>13.71428571428571</v>
      </c>
      <c r="AF63">
        <v>12.07171058136273</v>
      </c>
      <c r="AG63">
        <f>12.5047068402632*1</f>
        <v>12.5047068402632</v>
      </c>
      <c r="AH63">
        <f>2.45072616129818*1</f>
        <v>2.4507261612981801</v>
      </c>
      <c r="AI63">
        <v>1</v>
      </c>
      <c r="AJ63">
        <v>0</v>
      </c>
    </row>
    <row r="64" spans="1:36" hidden="1" x14ac:dyDescent="0.2">
      <c r="A64" t="s">
        <v>171</v>
      </c>
      <c r="B64" t="s">
        <v>172</v>
      </c>
      <c r="C64" t="s">
        <v>173</v>
      </c>
      <c r="D64" t="s">
        <v>4</v>
      </c>
      <c r="E64">
        <v>0</v>
      </c>
      <c r="F64">
        <v>0</v>
      </c>
      <c r="G64">
        <v>1</v>
      </c>
      <c r="H64">
        <v>0</v>
      </c>
      <c r="I64" t="s">
        <v>14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346</v>
      </c>
      <c r="AE64">
        <v>14.737294403329949</v>
      </c>
      <c r="AF64">
        <v>12.35918034914109</v>
      </c>
      <c r="AG64">
        <f>13.1348048768129*1</f>
        <v>13.1348048768129</v>
      </c>
      <c r="AH64">
        <f>2.542757465207*1</f>
        <v>2.542757465207</v>
      </c>
      <c r="AI64">
        <v>1</v>
      </c>
      <c r="AJ64">
        <v>0</v>
      </c>
    </row>
    <row r="65" spans="1:36" hidden="1" x14ac:dyDescent="0.2">
      <c r="A65" t="s">
        <v>174</v>
      </c>
      <c r="B65" t="s">
        <v>175</v>
      </c>
      <c r="C65" t="s">
        <v>175</v>
      </c>
      <c r="D65" t="s">
        <v>4</v>
      </c>
      <c r="E65">
        <v>0</v>
      </c>
      <c r="F65">
        <v>0</v>
      </c>
      <c r="G65">
        <v>1</v>
      </c>
      <c r="H65">
        <v>0</v>
      </c>
      <c r="I65" t="s">
        <v>14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347</v>
      </c>
      <c r="AE65">
        <v>12.19023783274671</v>
      </c>
      <c r="AF65">
        <v>10.798023213075471</v>
      </c>
      <c r="AG65">
        <f>11.1485664484921*1</f>
        <v>11.148566448492099</v>
      </c>
      <c r="AH65">
        <f>2.67333441908037*1</f>
        <v>2.6733344190803701</v>
      </c>
      <c r="AI65">
        <v>1</v>
      </c>
      <c r="AJ65">
        <v>0</v>
      </c>
    </row>
    <row r="66" spans="1:36" hidden="1" x14ac:dyDescent="0.2">
      <c r="A66" t="s">
        <v>176</v>
      </c>
      <c r="B66" t="s">
        <v>177</v>
      </c>
      <c r="C66" t="s">
        <v>177</v>
      </c>
      <c r="D66" t="s">
        <v>4</v>
      </c>
      <c r="E66">
        <v>0</v>
      </c>
      <c r="F66">
        <v>0</v>
      </c>
      <c r="G66">
        <v>1</v>
      </c>
      <c r="H66">
        <v>0</v>
      </c>
      <c r="I66" t="s">
        <v>14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353</v>
      </c>
      <c r="AE66">
        <v>15.78804347826088</v>
      </c>
      <c r="AF66">
        <v>14.59530983496059</v>
      </c>
      <c r="AG66">
        <f>14.7403166771569*1</f>
        <v>14.740316677156899</v>
      </c>
      <c r="AH66">
        <f>3.07462710317441*1</f>
        <v>3.0746271031744099</v>
      </c>
      <c r="AI66">
        <v>1</v>
      </c>
      <c r="AJ66">
        <v>0</v>
      </c>
    </row>
    <row r="67" spans="1:36" hidden="1" x14ac:dyDescent="0.2">
      <c r="A67" t="s">
        <v>178</v>
      </c>
      <c r="B67" t="s">
        <v>179</v>
      </c>
      <c r="C67" t="s">
        <v>179</v>
      </c>
      <c r="D67" t="s">
        <v>3</v>
      </c>
      <c r="E67">
        <v>0</v>
      </c>
      <c r="F67">
        <v>1</v>
      </c>
      <c r="G67">
        <v>0</v>
      </c>
      <c r="H67">
        <v>0</v>
      </c>
      <c r="I67" t="s">
        <v>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354</v>
      </c>
      <c r="AE67">
        <v>14.01737422571339</v>
      </c>
      <c r="AF67">
        <v>15.01945552563221</v>
      </c>
      <c r="AG67">
        <f>14.1048219805513*1</f>
        <v>14.1048219805513</v>
      </c>
      <c r="AH67">
        <f>2.60633298576653*1</f>
        <v>2.6063329857665298</v>
      </c>
      <c r="AI67">
        <v>1</v>
      </c>
      <c r="AJ67">
        <v>0</v>
      </c>
    </row>
    <row r="68" spans="1:36" hidden="1" x14ac:dyDescent="0.2">
      <c r="A68" t="s">
        <v>153</v>
      </c>
      <c r="B68" t="s">
        <v>180</v>
      </c>
      <c r="C68" t="s">
        <v>180</v>
      </c>
      <c r="D68" t="s">
        <v>2</v>
      </c>
      <c r="E68">
        <v>1</v>
      </c>
      <c r="F68">
        <v>0</v>
      </c>
      <c r="G68">
        <v>0</v>
      </c>
      <c r="H68">
        <v>0</v>
      </c>
      <c r="I68" t="s">
        <v>14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357</v>
      </c>
      <c r="AE68">
        <v>17.67499999999999</v>
      </c>
      <c r="AF68">
        <v>16.844066678669439</v>
      </c>
      <c r="AG68">
        <f>16.7510821944213*1</f>
        <v>16.751082194421301</v>
      </c>
      <c r="AH68">
        <f>3.35253097153794*1</f>
        <v>3.3525309715379401</v>
      </c>
      <c r="AI68">
        <v>1</v>
      </c>
      <c r="AJ68">
        <v>0</v>
      </c>
    </row>
    <row r="69" spans="1:36" hidden="1" x14ac:dyDescent="0.2">
      <c r="A69" t="s">
        <v>181</v>
      </c>
      <c r="B69" t="s">
        <v>182</v>
      </c>
      <c r="C69" t="s">
        <v>182</v>
      </c>
      <c r="D69" t="s">
        <v>4</v>
      </c>
      <c r="E69">
        <v>0</v>
      </c>
      <c r="F69">
        <v>0</v>
      </c>
      <c r="G69">
        <v>1</v>
      </c>
      <c r="H69">
        <v>0</v>
      </c>
      <c r="I69" t="s">
        <v>15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374</v>
      </c>
      <c r="AE69">
        <v>17.283559468164629</v>
      </c>
      <c r="AF69">
        <v>13.099621460325221</v>
      </c>
      <c r="AG69">
        <f>12.2293715265821*1</f>
        <v>12.229371526582099</v>
      </c>
      <c r="AH69">
        <f>2.57113531234262*1</f>
        <v>2.5711353123426202</v>
      </c>
      <c r="AI69">
        <v>1</v>
      </c>
      <c r="AJ69">
        <v>0</v>
      </c>
    </row>
    <row r="70" spans="1:36" hidden="1" x14ac:dyDescent="0.2">
      <c r="A70" t="s">
        <v>183</v>
      </c>
      <c r="B70" t="s">
        <v>184</v>
      </c>
      <c r="C70" t="s">
        <v>183</v>
      </c>
      <c r="D70" t="s">
        <v>4</v>
      </c>
      <c r="E70">
        <v>0</v>
      </c>
      <c r="F70">
        <v>0</v>
      </c>
      <c r="G70">
        <v>1</v>
      </c>
      <c r="H70">
        <v>0</v>
      </c>
      <c r="I70" t="s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375</v>
      </c>
      <c r="AE70">
        <v>17.21311475409837</v>
      </c>
      <c r="AF70">
        <v>23.606248396218561</v>
      </c>
      <c r="AG70">
        <f>22.0379891886481*1</f>
        <v>22.037989188648101</v>
      </c>
      <c r="AH70">
        <f>5.30265246643051*1</f>
        <v>5.3026524664305104</v>
      </c>
      <c r="AI70">
        <v>1</v>
      </c>
      <c r="AJ70">
        <v>0</v>
      </c>
    </row>
    <row r="71" spans="1:36" hidden="1" x14ac:dyDescent="0.2">
      <c r="A71" t="s">
        <v>185</v>
      </c>
      <c r="B71" t="s">
        <v>186</v>
      </c>
      <c r="C71" t="s">
        <v>186</v>
      </c>
      <c r="D71" t="s">
        <v>4</v>
      </c>
      <c r="E71">
        <v>0</v>
      </c>
      <c r="F71">
        <v>0</v>
      </c>
      <c r="G71">
        <v>1</v>
      </c>
      <c r="H71">
        <v>0</v>
      </c>
      <c r="I71" t="s">
        <v>15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378</v>
      </c>
      <c r="AE71">
        <v>16.463596543452681</v>
      </c>
      <c r="AF71">
        <v>12.606040011025881</v>
      </c>
      <c r="AG71">
        <f>11.7685800327049*1</f>
        <v>11.7685800327049</v>
      </c>
      <c r="AH71">
        <f>2.38777985359483*1</f>
        <v>2.38777985359483</v>
      </c>
      <c r="AI71">
        <v>1</v>
      </c>
      <c r="AJ71">
        <v>0</v>
      </c>
    </row>
    <row r="72" spans="1:36" hidden="1" x14ac:dyDescent="0.2">
      <c r="A72" t="s">
        <v>187</v>
      </c>
      <c r="B72" t="s">
        <v>188</v>
      </c>
      <c r="C72" t="s">
        <v>188</v>
      </c>
      <c r="D72" t="s">
        <v>2</v>
      </c>
      <c r="E72">
        <v>1</v>
      </c>
      <c r="F72">
        <v>0</v>
      </c>
      <c r="G72">
        <v>0</v>
      </c>
      <c r="H72">
        <v>0</v>
      </c>
      <c r="I72" t="s">
        <v>15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383</v>
      </c>
      <c r="AE72">
        <v>17.796685352850901</v>
      </c>
      <c r="AF72">
        <v>16.840510314890071</v>
      </c>
      <c r="AG72">
        <f>15.7217346752722*1</f>
        <v>15.7217346752722</v>
      </c>
      <c r="AH72">
        <f>4.58997395266707*1</f>
        <v>4.5899739526670702</v>
      </c>
      <c r="AI72">
        <v>1</v>
      </c>
      <c r="AJ72">
        <v>0</v>
      </c>
    </row>
    <row r="73" spans="1:36" hidden="1" x14ac:dyDescent="0.2">
      <c r="A73" t="s">
        <v>189</v>
      </c>
      <c r="B73" t="s">
        <v>190</v>
      </c>
      <c r="C73" t="s">
        <v>190</v>
      </c>
      <c r="D73" t="s">
        <v>3</v>
      </c>
      <c r="E73">
        <v>0</v>
      </c>
      <c r="F73">
        <v>1</v>
      </c>
      <c r="G73">
        <v>0</v>
      </c>
      <c r="H73">
        <v>0</v>
      </c>
      <c r="I73" t="s">
        <v>15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391</v>
      </c>
      <c r="AE73">
        <v>12.89772727272727</v>
      </c>
      <c r="AF73">
        <v>11.35727313294124</v>
      </c>
      <c r="AG73">
        <f>10.6027699554569*1</f>
        <v>10.6027699554569</v>
      </c>
      <c r="AH73">
        <f>2.83835782168005*1</f>
        <v>2.83835782168005</v>
      </c>
      <c r="AI73">
        <v>1</v>
      </c>
      <c r="AJ73">
        <v>0</v>
      </c>
    </row>
    <row r="74" spans="1:36" hidden="1" x14ac:dyDescent="0.2">
      <c r="A74" t="s">
        <v>191</v>
      </c>
      <c r="B74" t="s">
        <v>192</v>
      </c>
      <c r="C74" t="s">
        <v>192</v>
      </c>
      <c r="D74" t="s">
        <v>4</v>
      </c>
      <c r="E74">
        <v>0</v>
      </c>
      <c r="F74">
        <v>0</v>
      </c>
      <c r="G74">
        <v>1</v>
      </c>
      <c r="H74">
        <v>0</v>
      </c>
      <c r="I74" t="s">
        <v>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396</v>
      </c>
      <c r="AE74">
        <v>13.23529411764706</v>
      </c>
      <c r="AF74">
        <v>10.432391275296339</v>
      </c>
      <c r="AG74">
        <f>9.73933323994022*1</f>
        <v>9.7393332399402208</v>
      </c>
      <c r="AH74">
        <f>1.73822905614549*1</f>
        <v>1.7382290561454901</v>
      </c>
      <c r="AI74">
        <v>1</v>
      </c>
      <c r="AJ74">
        <v>0</v>
      </c>
    </row>
    <row r="75" spans="1:36" hidden="1" x14ac:dyDescent="0.2">
      <c r="A75" t="s">
        <v>193</v>
      </c>
      <c r="B75" t="s">
        <v>194</v>
      </c>
      <c r="C75" t="s">
        <v>193</v>
      </c>
      <c r="D75" t="s">
        <v>4</v>
      </c>
      <c r="E75">
        <v>0</v>
      </c>
      <c r="F75">
        <v>0</v>
      </c>
      <c r="G75">
        <v>1</v>
      </c>
      <c r="H75">
        <v>0</v>
      </c>
      <c r="I75" t="s">
        <v>15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398</v>
      </c>
      <c r="AE75">
        <v>19.392588823308579</v>
      </c>
      <c r="AF75">
        <v>25.19835725271329</v>
      </c>
      <c r="AG75">
        <f>23.5243292543163*1</f>
        <v>23.524329254316299</v>
      </c>
      <c r="AH75">
        <f>6.64911169420538*1</f>
        <v>6.6491116942053798</v>
      </c>
      <c r="AI75">
        <v>1</v>
      </c>
      <c r="AJ75">
        <v>0</v>
      </c>
    </row>
    <row r="76" spans="1:36" hidden="1" x14ac:dyDescent="0.2">
      <c r="A76" t="s">
        <v>195</v>
      </c>
      <c r="B76" t="s">
        <v>196</v>
      </c>
      <c r="C76" t="s">
        <v>196</v>
      </c>
      <c r="D76" t="s">
        <v>3</v>
      </c>
      <c r="E76">
        <v>0</v>
      </c>
      <c r="F76">
        <v>1</v>
      </c>
      <c r="G76">
        <v>0</v>
      </c>
      <c r="H76">
        <v>0</v>
      </c>
      <c r="I76" t="s">
        <v>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405</v>
      </c>
      <c r="AE76">
        <v>17.425125353572358</v>
      </c>
      <c r="AF76">
        <v>14.95539827252334</v>
      </c>
      <c r="AG76">
        <f>13.9618597633048*1</f>
        <v>13.961859763304799</v>
      </c>
      <c r="AH76">
        <f>3.07154647694868*1</f>
        <v>3.0715464769486802</v>
      </c>
      <c r="AI76">
        <v>1</v>
      </c>
      <c r="AJ76">
        <v>0</v>
      </c>
    </row>
    <row r="77" spans="1:36" hidden="1" x14ac:dyDescent="0.2">
      <c r="A77" t="s">
        <v>197</v>
      </c>
      <c r="B77" t="s">
        <v>198</v>
      </c>
      <c r="C77" t="s">
        <v>198</v>
      </c>
      <c r="D77" t="s">
        <v>3</v>
      </c>
      <c r="E77">
        <v>0</v>
      </c>
      <c r="F77">
        <v>1</v>
      </c>
      <c r="G77">
        <v>0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412</v>
      </c>
      <c r="AE77">
        <v>26.294961512442839</v>
      </c>
      <c r="AF77">
        <v>25.250238678744779</v>
      </c>
      <c r="AG77">
        <f>0*0</f>
        <v>0</v>
      </c>
      <c r="AH77">
        <f>5.36743720159912*0</f>
        <v>0</v>
      </c>
      <c r="AI77">
        <v>0</v>
      </c>
      <c r="AJ77">
        <v>0</v>
      </c>
    </row>
    <row r="78" spans="1:36" hidden="1" x14ac:dyDescent="0.2">
      <c r="A78" t="s">
        <v>199</v>
      </c>
      <c r="B78" t="s">
        <v>200</v>
      </c>
      <c r="C78" t="s">
        <v>201</v>
      </c>
      <c r="D78" t="s">
        <v>2</v>
      </c>
      <c r="E78">
        <v>1</v>
      </c>
      <c r="F78">
        <v>0</v>
      </c>
      <c r="G78">
        <v>0</v>
      </c>
      <c r="H78">
        <v>0</v>
      </c>
      <c r="I78" t="s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413</v>
      </c>
      <c r="AE78">
        <v>21.722933004198811</v>
      </c>
      <c r="AF78">
        <v>21.31580749741957</v>
      </c>
      <c r="AG78">
        <f>0*0</f>
        <v>0</v>
      </c>
      <c r="AH78">
        <f>4.78914480378523*0</f>
        <v>0</v>
      </c>
      <c r="AI78">
        <v>0</v>
      </c>
      <c r="AJ78">
        <v>0</v>
      </c>
    </row>
    <row r="79" spans="1:36" hidden="1" x14ac:dyDescent="0.2">
      <c r="A79" t="s">
        <v>202</v>
      </c>
      <c r="B79" t="s">
        <v>203</v>
      </c>
      <c r="C79" t="s">
        <v>202</v>
      </c>
      <c r="D79" t="s">
        <v>5</v>
      </c>
      <c r="E79">
        <v>0</v>
      </c>
      <c r="F79">
        <v>0</v>
      </c>
      <c r="G79">
        <v>0</v>
      </c>
      <c r="H79">
        <v>1</v>
      </c>
      <c r="I79" t="s">
        <v>16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415</v>
      </c>
      <c r="AE79">
        <v>19.716981132075471</v>
      </c>
      <c r="AF79">
        <v>18.387789442517651</v>
      </c>
      <c r="AG79">
        <f>21.0398352861917*1</f>
        <v>21.0398352861917</v>
      </c>
      <c r="AH79">
        <f>4.61144887128702*1</f>
        <v>4.6114488712870196</v>
      </c>
      <c r="AI79">
        <v>1</v>
      </c>
      <c r="AJ79">
        <v>0</v>
      </c>
    </row>
    <row r="80" spans="1:36" hidden="1" x14ac:dyDescent="0.2">
      <c r="A80" t="s">
        <v>204</v>
      </c>
      <c r="B80" t="s">
        <v>205</v>
      </c>
      <c r="C80" t="s">
        <v>206</v>
      </c>
      <c r="D80" t="s">
        <v>4</v>
      </c>
      <c r="E80">
        <v>0</v>
      </c>
      <c r="F80">
        <v>0</v>
      </c>
      <c r="G80">
        <v>1</v>
      </c>
      <c r="H80">
        <v>0</v>
      </c>
      <c r="I80" t="s">
        <v>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416</v>
      </c>
      <c r="AE80">
        <v>21.842105263157901</v>
      </c>
      <c r="AF80">
        <v>21.93270834763744</v>
      </c>
      <c r="AG80">
        <f>25.0960330200078*1</f>
        <v>25.096033020007798</v>
      </c>
      <c r="AH80">
        <f>5.17734832720938*1</f>
        <v>5.1773483272093799</v>
      </c>
      <c r="AI80">
        <v>1</v>
      </c>
      <c r="AJ80">
        <v>0</v>
      </c>
    </row>
    <row r="81" spans="1:36" hidden="1" x14ac:dyDescent="0.2">
      <c r="A81" t="s">
        <v>207</v>
      </c>
      <c r="B81" t="s">
        <v>208</v>
      </c>
      <c r="C81" t="s">
        <v>208</v>
      </c>
      <c r="D81" t="s">
        <v>4</v>
      </c>
      <c r="E81">
        <v>0</v>
      </c>
      <c r="F81">
        <v>0</v>
      </c>
      <c r="G81">
        <v>1</v>
      </c>
      <c r="H81">
        <v>0</v>
      </c>
      <c r="I81" t="s">
        <v>16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417</v>
      </c>
      <c r="AE81">
        <v>10.54613987655333</v>
      </c>
      <c r="AF81">
        <v>8.216305337074628</v>
      </c>
      <c r="AG81">
        <f>9.4013318726277*1</f>
        <v>9.4013318726277006</v>
      </c>
      <c r="AH81">
        <f>1.86377995435022*1</f>
        <v>1.86377995435022</v>
      </c>
      <c r="AI81">
        <v>1</v>
      </c>
      <c r="AJ81">
        <v>0</v>
      </c>
    </row>
    <row r="82" spans="1:36" hidden="1" x14ac:dyDescent="0.2">
      <c r="A82" t="s">
        <v>209</v>
      </c>
      <c r="B82" t="s">
        <v>210</v>
      </c>
      <c r="C82" t="s">
        <v>210</v>
      </c>
      <c r="D82" t="s">
        <v>5</v>
      </c>
      <c r="E82">
        <v>0</v>
      </c>
      <c r="F82">
        <v>0</v>
      </c>
      <c r="G82">
        <v>0</v>
      </c>
      <c r="H82">
        <v>1</v>
      </c>
      <c r="I82" t="s">
        <v>16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419</v>
      </c>
      <c r="AE82">
        <v>12.821800964385121</v>
      </c>
      <c r="AF82">
        <v>16.826346482705748</v>
      </c>
      <c r="AG82">
        <f>19.2531875335662*1</f>
        <v>19.253187533566201</v>
      </c>
      <c r="AH82">
        <f>5.29687197449674*1</f>
        <v>5.2968719744967396</v>
      </c>
      <c r="AI82">
        <v>1</v>
      </c>
      <c r="AJ82">
        <v>0</v>
      </c>
    </row>
    <row r="83" spans="1:36" hidden="1" x14ac:dyDescent="0.2">
      <c r="A83" t="s">
        <v>211</v>
      </c>
      <c r="B83" t="s">
        <v>212</v>
      </c>
      <c r="C83" t="s">
        <v>212</v>
      </c>
      <c r="D83" t="s">
        <v>3</v>
      </c>
      <c r="E83">
        <v>0</v>
      </c>
      <c r="F83">
        <v>1</v>
      </c>
      <c r="G83">
        <v>0</v>
      </c>
      <c r="H83">
        <v>0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420</v>
      </c>
      <c r="AE83">
        <v>13.913043478260869</v>
      </c>
      <c r="AF83">
        <v>12.27408800725531</v>
      </c>
      <c r="AG83">
        <f>14.0443630142805*1</f>
        <v>14.044363014280499</v>
      </c>
      <c r="AH83">
        <f>5.73116556761397*1</f>
        <v>5.7311655676139699</v>
      </c>
      <c r="AI83">
        <v>1</v>
      </c>
      <c r="AJ83">
        <v>0</v>
      </c>
    </row>
    <row r="84" spans="1:36" hidden="1" x14ac:dyDescent="0.2">
      <c r="A84" t="s">
        <v>213</v>
      </c>
      <c r="B84" t="s">
        <v>214</v>
      </c>
      <c r="C84" t="s">
        <v>214</v>
      </c>
      <c r="D84" t="s">
        <v>3</v>
      </c>
      <c r="E84">
        <v>0</v>
      </c>
      <c r="F84">
        <v>1</v>
      </c>
      <c r="G84">
        <v>0</v>
      </c>
      <c r="H84">
        <v>0</v>
      </c>
      <c r="I84" t="s">
        <v>16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424</v>
      </c>
      <c r="AE84">
        <v>14.456521739130441</v>
      </c>
      <c r="AF84">
        <v>15.014138071936941</v>
      </c>
      <c r="AG84">
        <f>17.179606770309*1</f>
        <v>17.179606770309</v>
      </c>
      <c r="AH84">
        <f>3.92330219069937*1</f>
        <v>3.9233021906993701</v>
      </c>
      <c r="AI84">
        <v>1</v>
      </c>
      <c r="AJ84">
        <v>0</v>
      </c>
    </row>
    <row r="85" spans="1:36" hidden="1" x14ac:dyDescent="0.2">
      <c r="A85" t="s">
        <v>215</v>
      </c>
      <c r="B85" t="s">
        <v>216</v>
      </c>
      <c r="C85" t="s">
        <v>217</v>
      </c>
      <c r="D85" t="s">
        <v>4</v>
      </c>
      <c r="E85">
        <v>0</v>
      </c>
      <c r="F85">
        <v>0</v>
      </c>
      <c r="G85">
        <v>1</v>
      </c>
      <c r="H85">
        <v>0</v>
      </c>
      <c r="I85" t="s">
        <v>16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425</v>
      </c>
      <c r="AE85">
        <v>17.88461538461538</v>
      </c>
      <c r="AF85">
        <v>14.844757344089629</v>
      </c>
      <c r="AG85">
        <f>16.9857964906284*1</f>
        <v>16.985796490628399</v>
      </c>
      <c r="AH85">
        <f>3.64727143353241*1</f>
        <v>3.6472714335324099</v>
      </c>
      <c r="AI85">
        <v>1</v>
      </c>
      <c r="AJ85">
        <v>0</v>
      </c>
    </row>
    <row r="86" spans="1:36" hidden="1" x14ac:dyDescent="0.2">
      <c r="A86" t="s">
        <v>218</v>
      </c>
      <c r="B86" t="s">
        <v>219</v>
      </c>
      <c r="C86" t="s">
        <v>219</v>
      </c>
      <c r="D86" t="s">
        <v>4</v>
      </c>
      <c r="E86">
        <v>0</v>
      </c>
      <c r="F86">
        <v>0</v>
      </c>
      <c r="G86">
        <v>1</v>
      </c>
      <c r="H86">
        <v>0</v>
      </c>
      <c r="I86" t="s">
        <v>16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426</v>
      </c>
      <c r="AE86">
        <v>15.84043428415796</v>
      </c>
      <c r="AF86">
        <v>13.437137747167579</v>
      </c>
      <c r="AG86">
        <f>15.3751578351533*1</f>
        <v>15.375157835153299</v>
      </c>
      <c r="AH86">
        <f>2.84627195238978*1</f>
        <v>2.8462719523897801</v>
      </c>
      <c r="AI86">
        <v>1</v>
      </c>
      <c r="AJ86">
        <v>0</v>
      </c>
    </row>
    <row r="87" spans="1:36" hidden="1" x14ac:dyDescent="0.2">
      <c r="A87" t="s">
        <v>230</v>
      </c>
      <c r="B87" t="s">
        <v>231</v>
      </c>
      <c r="C87" t="s">
        <v>231</v>
      </c>
      <c r="D87" t="s">
        <v>5</v>
      </c>
      <c r="E87">
        <v>0</v>
      </c>
      <c r="F87">
        <v>0</v>
      </c>
      <c r="G87">
        <v>0</v>
      </c>
      <c r="H87">
        <v>1</v>
      </c>
      <c r="I87" t="s">
        <v>17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467</v>
      </c>
      <c r="AE87">
        <v>18.65384615384615</v>
      </c>
      <c r="AF87">
        <v>18.833260204922301</v>
      </c>
      <c r="AG87">
        <f>30.98915795925*1</f>
        <v>30.989157959250001</v>
      </c>
      <c r="AH87">
        <f>6.19783159185*1</f>
        <v>6.19783159185</v>
      </c>
      <c r="AI87">
        <v>1</v>
      </c>
      <c r="AJ87">
        <v>0</v>
      </c>
    </row>
    <row r="88" spans="1:36" x14ac:dyDescent="0.2">
      <c r="A88" t="s">
        <v>63</v>
      </c>
      <c r="B88" t="s">
        <v>64</v>
      </c>
      <c r="C88" t="s">
        <v>64</v>
      </c>
      <c r="D88" t="s">
        <v>4</v>
      </c>
      <c r="E88">
        <v>0</v>
      </c>
      <c r="F88">
        <v>0</v>
      </c>
      <c r="G88">
        <v>1</v>
      </c>
      <c r="H88">
        <v>0</v>
      </c>
      <c r="I88" t="s">
        <v>7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39</v>
      </c>
      <c r="AE88">
        <v>24.597596128874009</v>
      </c>
      <c r="AF88">
        <v>13.896771924206361</v>
      </c>
      <c r="AG88">
        <f>30.1518352795109*1</f>
        <v>30.151835279510902</v>
      </c>
      <c r="AH88">
        <f>5.39666997078208*1</f>
        <v>5.3966699707820798</v>
      </c>
      <c r="AI88">
        <v>1</v>
      </c>
      <c r="AJ88">
        <v>1</v>
      </c>
    </row>
    <row r="89" spans="1:36" x14ac:dyDescent="0.2">
      <c r="A89" t="s">
        <v>58</v>
      </c>
      <c r="B89" t="s">
        <v>59</v>
      </c>
      <c r="C89" t="s">
        <v>60</v>
      </c>
      <c r="D89" t="s">
        <v>2</v>
      </c>
      <c r="E89">
        <v>1</v>
      </c>
      <c r="F89">
        <v>0</v>
      </c>
      <c r="G89">
        <v>0</v>
      </c>
      <c r="H89">
        <v>0</v>
      </c>
      <c r="I89" t="s">
        <v>6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26</v>
      </c>
      <c r="AE89">
        <v>20.670731707317071</v>
      </c>
      <c r="AF89">
        <v>20.98670551666018</v>
      </c>
      <c r="AG89">
        <f>25.0751907576219*1</f>
        <v>25.0751907576219</v>
      </c>
      <c r="AH89">
        <f>5.01503815152439*1</f>
        <v>5.01503815152439</v>
      </c>
      <c r="AI89">
        <v>1</v>
      </c>
      <c r="AJ89">
        <v>1</v>
      </c>
    </row>
    <row r="90" spans="1:36" hidden="1" x14ac:dyDescent="0.2">
      <c r="A90" t="s">
        <v>226</v>
      </c>
      <c r="B90" t="s">
        <v>227</v>
      </c>
      <c r="C90" t="s">
        <v>227</v>
      </c>
      <c r="D90" t="s">
        <v>5</v>
      </c>
      <c r="E90">
        <v>0</v>
      </c>
      <c r="F90">
        <v>0</v>
      </c>
      <c r="G90">
        <v>0</v>
      </c>
      <c r="H90">
        <v>1</v>
      </c>
      <c r="I90" t="s">
        <v>17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455</v>
      </c>
      <c r="AE90">
        <v>17.95454545454545</v>
      </c>
      <c r="AF90">
        <v>14.84763871194113</v>
      </c>
      <c r="AG90">
        <f>0*0</f>
        <v>0</v>
      </c>
      <c r="AH90">
        <f>5.96548551530454*0</f>
        <v>0</v>
      </c>
      <c r="AI90">
        <v>0</v>
      </c>
      <c r="AJ90">
        <v>0</v>
      </c>
    </row>
    <row r="91" spans="1:36" x14ac:dyDescent="0.2">
      <c r="A91" t="s">
        <v>362</v>
      </c>
      <c r="B91" t="s">
        <v>363</v>
      </c>
      <c r="C91" t="s">
        <v>364</v>
      </c>
      <c r="D91" t="s">
        <v>2</v>
      </c>
      <c r="E91">
        <v>1</v>
      </c>
      <c r="F91">
        <v>0</v>
      </c>
      <c r="G91">
        <v>0</v>
      </c>
      <c r="H91">
        <v>0</v>
      </c>
      <c r="I91" t="s">
        <v>25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816</v>
      </c>
      <c r="AE91">
        <v>19.222910225034621</v>
      </c>
      <c r="AF91">
        <v>21.30929203711483</v>
      </c>
      <c r="AG91">
        <f>23.3101225611418*1</f>
        <v>23.310122561141799</v>
      </c>
      <c r="AH91">
        <f>4.93693056422982*1</f>
        <v>4.9369305642298196</v>
      </c>
      <c r="AI91">
        <v>1</v>
      </c>
      <c r="AJ91">
        <v>1</v>
      </c>
    </row>
    <row r="92" spans="1:36" x14ac:dyDescent="0.2">
      <c r="A92" t="s">
        <v>56</v>
      </c>
      <c r="B92" t="s">
        <v>57</v>
      </c>
      <c r="C92" t="s">
        <v>57</v>
      </c>
      <c r="D92" t="s">
        <v>3</v>
      </c>
      <c r="E92">
        <v>0</v>
      </c>
      <c r="F92">
        <v>1</v>
      </c>
      <c r="G92">
        <v>0</v>
      </c>
      <c r="H92">
        <v>0</v>
      </c>
      <c r="I92" t="s">
        <v>6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25</v>
      </c>
      <c r="AE92">
        <v>16.95454545454545</v>
      </c>
      <c r="AF92">
        <v>15.239434819418131</v>
      </c>
      <c r="AG92">
        <f>20.5671704079545*1</f>
        <v>20.567170407954499</v>
      </c>
      <c r="AH92">
        <f>4.1134340815909*1</f>
        <v>4.1134340815909001</v>
      </c>
      <c r="AI92">
        <v>1</v>
      </c>
      <c r="AJ92">
        <v>1</v>
      </c>
    </row>
    <row r="93" spans="1:36" hidden="1" x14ac:dyDescent="0.2">
      <c r="A93" t="s">
        <v>232</v>
      </c>
      <c r="B93" t="s">
        <v>233</v>
      </c>
      <c r="C93" t="s">
        <v>233</v>
      </c>
      <c r="D93" t="s">
        <v>4</v>
      </c>
      <c r="E93">
        <v>0</v>
      </c>
      <c r="F93">
        <v>0</v>
      </c>
      <c r="G93">
        <v>1</v>
      </c>
      <c r="H93">
        <v>0</v>
      </c>
      <c r="I93" t="s">
        <v>17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486</v>
      </c>
      <c r="AE93">
        <v>9.7323682198791346</v>
      </c>
      <c r="AF93">
        <v>8.2256491321720091</v>
      </c>
      <c r="AG93">
        <f>16.1681346353997*1</f>
        <v>16.168134635399699</v>
      </c>
      <c r="AH93">
        <f>3.26459609811808*1</f>
        <v>3.2645960981180799</v>
      </c>
      <c r="AI93">
        <v>1</v>
      </c>
      <c r="AJ93">
        <v>0</v>
      </c>
    </row>
    <row r="94" spans="1:36" hidden="1" x14ac:dyDescent="0.2">
      <c r="A94" t="s">
        <v>234</v>
      </c>
      <c r="B94" t="s">
        <v>235</v>
      </c>
      <c r="C94" t="s">
        <v>235</v>
      </c>
      <c r="D94" t="s">
        <v>4</v>
      </c>
      <c r="E94">
        <v>0</v>
      </c>
      <c r="F94">
        <v>0</v>
      </c>
      <c r="G94">
        <v>1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489</v>
      </c>
      <c r="AE94">
        <v>15.54560050447243</v>
      </c>
      <c r="AF94">
        <v>13.09083048510819</v>
      </c>
      <c r="AG94">
        <f>25.825508886014*1</f>
        <v>25.825508886013999</v>
      </c>
      <c r="AH94">
        <f>5.91671206131508*1</f>
        <v>5.9167120613150797</v>
      </c>
      <c r="AI94">
        <v>1</v>
      </c>
      <c r="AJ94">
        <v>0</v>
      </c>
    </row>
    <row r="95" spans="1:36" hidden="1" x14ac:dyDescent="0.2">
      <c r="A95" t="s">
        <v>236</v>
      </c>
      <c r="B95" t="s">
        <v>237</v>
      </c>
      <c r="C95" t="s">
        <v>237</v>
      </c>
      <c r="D95" t="s">
        <v>3</v>
      </c>
      <c r="E95">
        <v>0</v>
      </c>
      <c r="F95">
        <v>1</v>
      </c>
      <c r="G95">
        <v>0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500</v>
      </c>
      <c r="AE95">
        <v>12.84101165281831</v>
      </c>
      <c r="AF95">
        <v>13.077641020922989</v>
      </c>
      <c r="AG95">
        <f>12.9957525483995*1</f>
        <v>12.9957525483995</v>
      </c>
      <c r="AH95">
        <f>4.05976662750456*1</f>
        <v>4.0597666275045601</v>
      </c>
      <c r="AI95">
        <v>1</v>
      </c>
      <c r="AJ95">
        <v>0</v>
      </c>
    </row>
    <row r="96" spans="1:36" hidden="1" x14ac:dyDescent="0.2">
      <c r="A96" t="s">
        <v>238</v>
      </c>
      <c r="B96" t="s">
        <v>239</v>
      </c>
      <c r="C96" t="s">
        <v>239</v>
      </c>
      <c r="D96" t="s">
        <v>3</v>
      </c>
      <c r="E96">
        <v>0</v>
      </c>
      <c r="F96">
        <v>1</v>
      </c>
      <c r="G96">
        <v>0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501</v>
      </c>
      <c r="AE96">
        <v>13.159420289855071</v>
      </c>
      <c r="AF96">
        <v>11.36076705994131</v>
      </c>
      <c r="AG96">
        <f>13.3179980090887*1</f>
        <v>13.317998009088701</v>
      </c>
      <c r="AH96">
        <f>3.32949942102918*1</f>
        <v>3.3294994210291802</v>
      </c>
      <c r="AI96">
        <v>1</v>
      </c>
      <c r="AJ96">
        <v>0</v>
      </c>
    </row>
    <row r="97" spans="1:36" hidden="1" x14ac:dyDescent="0.2">
      <c r="A97" t="s">
        <v>240</v>
      </c>
      <c r="B97" t="s">
        <v>241</v>
      </c>
      <c r="C97" t="s">
        <v>242</v>
      </c>
      <c r="D97" t="s">
        <v>5</v>
      </c>
      <c r="E97">
        <v>0</v>
      </c>
      <c r="F97">
        <v>0</v>
      </c>
      <c r="G97">
        <v>0</v>
      </c>
      <c r="H97">
        <v>1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502</v>
      </c>
      <c r="AE97">
        <v>15.07142857142858</v>
      </c>
      <c r="AF97">
        <v>14.549899599351511</v>
      </c>
      <c r="AG97">
        <f>15.2530470902613*1</f>
        <v>15.253047090261299</v>
      </c>
      <c r="AH97">
        <f>3.81326175438253*1</f>
        <v>3.81326175438253</v>
      </c>
      <c r="AI97">
        <v>1</v>
      </c>
      <c r="AJ97">
        <v>0</v>
      </c>
    </row>
    <row r="98" spans="1:36" hidden="1" x14ac:dyDescent="0.2">
      <c r="A98" t="s">
        <v>243</v>
      </c>
      <c r="B98" t="s">
        <v>244</v>
      </c>
      <c r="C98" t="s">
        <v>243</v>
      </c>
      <c r="D98" t="s">
        <v>4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503</v>
      </c>
      <c r="AE98">
        <v>14.96296296296296</v>
      </c>
      <c r="AF98">
        <v>15.268035988451871</v>
      </c>
      <c r="AG98">
        <f>15.1432744822425*1</f>
        <v>15.1432744822425</v>
      </c>
      <c r="AH98">
        <f>3.78581852112338*1</f>
        <v>3.7858185211233799</v>
      </c>
      <c r="AI98">
        <v>1</v>
      </c>
      <c r="AJ98">
        <v>0</v>
      </c>
    </row>
    <row r="99" spans="1:36" hidden="1" x14ac:dyDescent="0.2">
      <c r="A99" t="s">
        <v>245</v>
      </c>
      <c r="B99" t="s">
        <v>246</v>
      </c>
      <c r="C99" t="s">
        <v>245</v>
      </c>
      <c r="D99" t="s">
        <v>3</v>
      </c>
      <c r="E99">
        <v>0</v>
      </c>
      <c r="F99">
        <v>1</v>
      </c>
      <c r="G99">
        <v>0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509</v>
      </c>
      <c r="AE99">
        <v>11.913043478260869</v>
      </c>
      <c r="AF99">
        <v>11.75425951384041</v>
      </c>
      <c r="AG99">
        <f>12.0566018418892*1</f>
        <v>12.056601841889201</v>
      </c>
      <c r="AH99">
        <f>3.01415042751882*1</f>
        <v>3.0141504275188198</v>
      </c>
      <c r="AI99">
        <v>1</v>
      </c>
      <c r="AJ99">
        <v>0</v>
      </c>
    </row>
    <row r="100" spans="1:36" hidden="1" x14ac:dyDescent="0.2">
      <c r="A100" t="s">
        <v>247</v>
      </c>
      <c r="B100" t="s">
        <v>248</v>
      </c>
      <c r="C100" t="s">
        <v>249</v>
      </c>
      <c r="D100" t="s">
        <v>2</v>
      </c>
      <c r="E100">
        <v>1</v>
      </c>
      <c r="F100">
        <v>0</v>
      </c>
      <c r="G100">
        <v>0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510</v>
      </c>
      <c r="AE100">
        <v>15.612244897959171</v>
      </c>
      <c r="AF100">
        <v>15.1887171428336</v>
      </c>
      <c r="AG100">
        <f>15.8003805431127*1</f>
        <v>15.8003805431127</v>
      </c>
      <c r="AH100">
        <f>3.95009501590754*1</f>
        <v>3.9500950159075399</v>
      </c>
      <c r="AI100">
        <v>1</v>
      </c>
      <c r="AJ100">
        <v>0</v>
      </c>
    </row>
    <row r="101" spans="1:36" hidden="1" x14ac:dyDescent="0.2">
      <c r="A101" t="s">
        <v>250</v>
      </c>
      <c r="B101" t="s">
        <v>251</v>
      </c>
      <c r="C101" t="s">
        <v>251</v>
      </c>
      <c r="D101" t="s">
        <v>4</v>
      </c>
      <c r="E101">
        <v>0</v>
      </c>
      <c r="F101">
        <v>0</v>
      </c>
      <c r="G101">
        <v>1</v>
      </c>
      <c r="H101">
        <v>0</v>
      </c>
      <c r="I101" t="s">
        <v>18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511</v>
      </c>
      <c r="AE101">
        <v>25.877880454205741</v>
      </c>
      <c r="AF101">
        <v>15.34008837659599</v>
      </c>
      <c r="AG101">
        <f>26.1897215267875*1</f>
        <v>26.189721526787501</v>
      </c>
      <c r="AH101">
        <f>5.07140427719751*1</f>
        <v>5.0714042771975096</v>
      </c>
      <c r="AI101">
        <v>1</v>
      </c>
      <c r="AJ101">
        <v>0</v>
      </c>
    </row>
    <row r="102" spans="1:36" x14ac:dyDescent="0.2">
      <c r="A102" t="s">
        <v>54</v>
      </c>
      <c r="B102" t="s">
        <v>55</v>
      </c>
      <c r="C102" t="s">
        <v>55</v>
      </c>
      <c r="D102" t="s">
        <v>3</v>
      </c>
      <c r="E102">
        <v>0</v>
      </c>
      <c r="F102">
        <v>1</v>
      </c>
      <c r="G102">
        <v>0</v>
      </c>
      <c r="H102">
        <v>0</v>
      </c>
      <c r="I102" t="s">
        <v>6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23</v>
      </c>
      <c r="AE102">
        <v>17.134050230188901</v>
      </c>
      <c r="AF102">
        <v>18.49383672842464</v>
      </c>
      <c r="AG102">
        <f>20.7849235361406*1</f>
        <v>20.7849235361406</v>
      </c>
      <c r="AH102">
        <f>4.03041325557156*1</f>
        <v>4.0304132555715597</v>
      </c>
      <c r="AI102">
        <v>1</v>
      </c>
      <c r="AJ102">
        <v>1</v>
      </c>
    </row>
    <row r="103" spans="1:36" hidden="1" x14ac:dyDescent="0.2">
      <c r="A103" t="s">
        <v>254</v>
      </c>
      <c r="B103" t="s">
        <v>255</v>
      </c>
      <c r="C103" t="s">
        <v>254</v>
      </c>
      <c r="D103" t="s">
        <v>4</v>
      </c>
      <c r="E103">
        <v>0</v>
      </c>
      <c r="F103">
        <v>0</v>
      </c>
      <c r="G103">
        <v>1</v>
      </c>
      <c r="H103">
        <v>0</v>
      </c>
      <c r="I103" t="s">
        <v>18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520</v>
      </c>
      <c r="AE103">
        <v>13.96350431997255</v>
      </c>
      <c r="AF103">
        <v>11.619905011724111</v>
      </c>
      <c r="AG103">
        <f>14.131771625924*1</f>
        <v>14.131771625923999</v>
      </c>
      <c r="AH103">
        <f>4.36131434744937*1</f>
        <v>4.3613143474493699</v>
      </c>
      <c r="AI103">
        <v>1</v>
      </c>
      <c r="AJ103">
        <v>0</v>
      </c>
    </row>
    <row r="104" spans="1:36" hidden="1" x14ac:dyDescent="0.2">
      <c r="A104" t="s">
        <v>256</v>
      </c>
      <c r="B104" t="s">
        <v>257</v>
      </c>
      <c r="C104" t="s">
        <v>257</v>
      </c>
      <c r="D104" t="s">
        <v>3</v>
      </c>
      <c r="E104">
        <v>0</v>
      </c>
      <c r="F104">
        <v>1</v>
      </c>
      <c r="G104">
        <v>0</v>
      </c>
      <c r="H104">
        <v>0</v>
      </c>
      <c r="I104" t="s">
        <v>18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524</v>
      </c>
      <c r="AE104">
        <v>12.70621746376302</v>
      </c>
      <c r="AF104">
        <v>15.40633391523159</v>
      </c>
      <c r="AG104">
        <f>0*0</f>
        <v>0</v>
      </c>
      <c r="AH104">
        <f>3.21483343764343*0</f>
        <v>0</v>
      </c>
      <c r="AI104">
        <v>0</v>
      </c>
      <c r="AJ104">
        <v>0</v>
      </c>
    </row>
    <row r="105" spans="1:36" hidden="1" x14ac:dyDescent="0.2">
      <c r="A105" t="s">
        <v>258</v>
      </c>
      <c r="B105" t="s">
        <v>259</v>
      </c>
      <c r="C105" t="s">
        <v>260</v>
      </c>
      <c r="D105" t="s">
        <v>4</v>
      </c>
      <c r="E105">
        <v>0</v>
      </c>
      <c r="F105">
        <v>0</v>
      </c>
      <c r="G105">
        <v>1</v>
      </c>
      <c r="H105">
        <v>0</v>
      </c>
      <c r="I105" t="s">
        <v>19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535</v>
      </c>
      <c r="AE105">
        <v>16.67796610169491</v>
      </c>
      <c r="AF105">
        <v>20.377606702346188</v>
      </c>
      <c r="AG105">
        <f>17.6746676454687*1</f>
        <v>17.674667645468698</v>
      </c>
      <c r="AH105">
        <f>4.41866713835971*1</f>
        <v>4.4186671383597096</v>
      </c>
      <c r="AI105">
        <v>1</v>
      </c>
      <c r="AJ105">
        <v>0</v>
      </c>
    </row>
    <row r="106" spans="1:36" hidden="1" x14ac:dyDescent="0.2">
      <c r="A106" t="s">
        <v>204</v>
      </c>
      <c r="B106" t="s">
        <v>261</v>
      </c>
      <c r="C106" t="s">
        <v>262</v>
      </c>
      <c r="D106" t="s">
        <v>3</v>
      </c>
      <c r="E106">
        <v>0</v>
      </c>
      <c r="F106">
        <v>1</v>
      </c>
      <c r="G106">
        <v>0</v>
      </c>
      <c r="H106">
        <v>0</v>
      </c>
      <c r="I106" t="s">
        <v>19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539</v>
      </c>
      <c r="AE106">
        <v>14</v>
      </c>
      <c r="AF106">
        <v>13.7612313620017</v>
      </c>
      <c r="AG106">
        <f>14.8366612462649*1</f>
        <v>14.836661246264899</v>
      </c>
      <c r="AH106">
        <f>3.70916534715935*1</f>
        <v>3.7091653471593502</v>
      </c>
      <c r="AI106">
        <v>1</v>
      </c>
      <c r="AJ106">
        <v>0</v>
      </c>
    </row>
    <row r="107" spans="1:36" hidden="1" x14ac:dyDescent="0.2">
      <c r="A107" t="s">
        <v>263</v>
      </c>
      <c r="B107" t="s">
        <v>264</v>
      </c>
      <c r="C107" t="s">
        <v>264</v>
      </c>
      <c r="D107" t="s">
        <v>4</v>
      </c>
      <c r="E107">
        <v>0</v>
      </c>
      <c r="F107">
        <v>0</v>
      </c>
      <c r="G107">
        <v>1</v>
      </c>
      <c r="H107">
        <v>0</v>
      </c>
      <c r="I107" t="s">
        <v>19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543</v>
      </c>
      <c r="AE107">
        <v>18.99126903098778</v>
      </c>
      <c r="AF107">
        <v>10.932380484937701</v>
      </c>
      <c r="AG107">
        <f>20.1262141881227*1</f>
        <v>20.126214188122699</v>
      </c>
      <c r="AH107">
        <f>9.28882298413319*1</f>
        <v>9.2888229841331906</v>
      </c>
      <c r="AI107">
        <v>1</v>
      </c>
      <c r="AJ107">
        <v>0</v>
      </c>
    </row>
    <row r="108" spans="1:36" hidden="1" x14ac:dyDescent="0.2">
      <c r="A108" t="s">
        <v>265</v>
      </c>
      <c r="B108" t="s">
        <v>266</v>
      </c>
      <c r="C108" t="s">
        <v>267</v>
      </c>
      <c r="D108" t="s">
        <v>3</v>
      </c>
      <c r="E108">
        <v>0</v>
      </c>
      <c r="F108">
        <v>1</v>
      </c>
      <c r="G108">
        <v>0</v>
      </c>
      <c r="H108">
        <v>0</v>
      </c>
      <c r="I108" t="s">
        <v>19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546</v>
      </c>
      <c r="AE108">
        <v>12.182306459642019</v>
      </c>
      <c r="AF108">
        <v>12.89049412966283</v>
      </c>
      <c r="AG108">
        <f>12.9103398065465*1</f>
        <v>12.910339806546499</v>
      </c>
      <c r="AH108">
        <f>2.46679150265146*1</f>
        <v>2.4667915026514602</v>
      </c>
      <c r="AI108">
        <v>1</v>
      </c>
      <c r="AJ108">
        <v>0</v>
      </c>
    </row>
    <row r="109" spans="1:36" hidden="1" x14ac:dyDescent="0.2">
      <c r="A109" t="s">
        <v>268</v>
      </c>
      <c r="B109" t="s">
        <v>269</v>
      </c>
      <c r="C109" t="s">
        <v>269</v>
      </c>
      <c r="D109" t="s">
        <v>4</v>
      </c>
      <c r="E109">
        <v>0</v>
      </c>
      <c r="F109">
        <v>0</v>
      </c>
      <c r="G109">
        <v>1</v>
      </c>
      <c r="H109">
        <v>0</v>
      </c>
      <c r="I109" t="s">
        <v>19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552</v>
      </c>
      <c r="AE109">
        <v>10.38356164383562</v>
      </c>
      <c r="AF109">
        <v>9.2737668221224361</v>
      </c>
      <c r="AG109">
        <f>11.0040988164221*1</f>
        <v>11.004098816422101</v>
      </c>
      <c r="AH109">
        <f>2.75102472352874*1</f>
        <v>2.7510247235287402</v>
      </c>
      <c r="AI109">
        <v>1</v>
      </c>
      <c r="AJ109">
        <v>0</v>
      </c>
    </row>
    <row r="110" spans="1:36" hidden="1" x14ac:dyDescent="0.2">
      <c r="A110" t="s">
        <v>270</v>
      </c>
      <c r="B110" t="s">
        <v>271</v>
      </c>
      <c r="C110" t="s">
        <v>272</v>
      </c>
      <c r="D110" t="s">
        <v>3</v>
      </c>
      <c r="E110">
        <v>0</v>
      </c>
      <c r="F110">
        <v>1</v>
      </c>
      <c r="G110">
        <v>0</v>
      </c>
      <c r="H110">
        <v>0</v>
      </c>
      <c r="I110" t="s">
        <v>19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554</v>
      </c>
      <c r="AE110">
        <v>12.20338983050847</v>
      </c>
      <c r="AF110">
        <v>9.8770339738830977</v>
      </c>
      <c r="AG110">
        <f>12.9326824059036*1</f>
        <v>12.9326824059036</v>
      </c>
      <c r="AH110">
        <f>3.23317069480377*1</f>
        <v>3.23317069480377</v>
      </c>
      <c r="AI110">
        <v>1</v>
      </c>
      <c r="AJ110">
        <v>0</v>
      </c>
    </row>
    <row r="111" spans="1:36" hidden="1" x14ac:dyDescent="0.2">
      <c r="A111" t="s">
        <v>273</v>
      </c>
      <c r="B111" t="s">
        <v>274</v>
      </c>
      <c r="C111" t="s">
        <v>274</v>
      </c>
      <c r="D111" t="s">
        <v>4</v>
      </c>
      <c r="E111">
        <v>0</v>
      </c>
      <c r="F111">
        <v>0</v>
      </c>
      <c r="G111">
        <v>1</v>
      </c>
      <c r="H111">
        <v>0</v>
      </c>
      <c r="I111" t="s">
        <v>19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555</v>
      </c>
      <c r="AE111">
        <v>18.795946697225009</v>
      </c>
      <c r="AF111">
        <v>17.233692369716191</v>
      </c>
      <c r="AG111">
        <f>19.9192206912129*1</f>
        <v>19.9192206912129</v>
      </c>
      <c r="AH111">
        <f>5.02892560395701*1</f>
        <v>5.0289256039570098</v>
      </c>
      <c r="AI111">
        <v>1</v>
      </c>
      <c r="AJ111">
        <v>0</v>
      </c>
    </row>
    <row r="112" spans="1:36" hidden="1" x14ac:dyDescent="0.2">
      <c r="A112" t="s">
        <v>275</v>
      </c>
      <c r="B112" t="s">
        <v>276</v>
      </c>
      <c r="C112" t="s">
        <v>276</v>
      </c>
      <c r="D112" t="s">
        <v>2</v>
      </c>
      <c r="E112">
        <v>1</v>
      </c>
      <c r="F112">
        <v>0</v>
      </c>
      <c r="G112">
        <v>0</v>
      </c>
      <c r="H112">
        <v>0</v>
      </c>
      <c r="I112" t="s">
        <v>19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561</v>
      </c>
      <c r="AE112">
        <v>15</v>
      </c>
      <c r="AF112">
        <v>10.747533753566129</v>
      </c>
      <c r="AG112">
        <f>15.8964217815518*1</f>
        <v>15.896421781551799</v>
      </c>
      <c r="AH112">
        <f>3.97410541435175*1</f>
        <v>3.97410541435175</v>
      </c>
      <c r="AI112">
        <v>1</v>
      </c>
      <c r="AJ112">
        <v>0</v>
      </c>
    </row>
    <row r="113" spans="1:36" hidden="1" x14ac:dyDescent="0.2">
      <c r="A113" t="s">
        <v>277</v>
      </c>
      <c r="B113" t="s">
        <v>278</v>
      </c>
      <c r="C113" t="s">
        <v>278</v>
      </c>
      <c r="D113" t="s">
        <v>3</v>
      </c>
      <c r="E113">
        <v>0</v>
      </c>
      <c r="F113">
        <v>1</v>
      </c>
      <c r="G113">
        <v>0</v>
      </c>
      <c r="H113">
        <v>0</v>
      </c>
      <c r="I113" t="s">
        <v>19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567</v>
      </c>
      <c r="AE113">
        <v>11.999999999999989</v>
      </c>
      <c r="AF113">
        <v>13.52480095646489</v>
      </c>
      <c r="AG113">
        <f>12.7171386361545*1</f>
        <v>12.7171386361545</v>
      </c>
      <c r="AH113">
        <f>3.1792849536706*1</f>
        <v>3.1792849536705998</v>
      </c>
      <c r="AI113">
        <v>1</v>
      </c>
      <c r="AJ113">
        <v>0</v>
      </c>
    </row>
    <row r="114" spans="1:36" hidden="1" x14ac:dyDescent="0.2">
      <c r="A114" t="s">
        <v>258</v>
      </c>
      <c r="B114" t="s">
        <v>279</v>
      </c>
      <c r="C114" t="s">
        <v>280</v>
      </c>
      <c r="D114" t="s">
        <v>4</v>
      </c>
      <c r="E114">
        <v>0</v>
      </c>
      <c r="F114">
        <v>0</v>
      </c>
      <c r="G114">
        <v>1</v>
      </c>
      <c r="H114">
        <v>0</v>
      </c>
      <c r="I114" t="s">
        <v>20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580</v>
      </c>
      <c r="AE114">
        <v>13.91549295774648</v>
      </c>
      <c r="AF114">
        <v>13.28870958889606</v>
      </c>
      <c r="AG114">
        <f>14.5558222416192*1</f>
        <v>14.5558222416192</v>
      </c>
      <c r="AH114">
        <f>4.08559979450437*1</f>
        <v>4.0855997945043701</v>
      </c>
      <c r="AI114">
        <v>1</v>
      </c>
      <c r="AJ114">
        <v>0</v>
      </c>
    </row>
    <row r="115" spans="1:36" hidden="1" x14ac:dyDescent="0.2">
      <c r="A115" t="s">
        <v>281</v>
      </c>
      <c r="B115" t="s">
        <v>282</v>
      </c>
      <c r="C115" t="s">
        <v>282</v>
      </c>
      <c r="D115" t="s">
        <v>3</v>
      </c>
      <c r="E115">
        <v>0</v>
      </c>
      <c r="F115">
        <v>1</v>
      </c>
      <c r="G115">
        <v>0</v>
      </c>
      <c r="H115">
        <v>0</v>
      </c>
      <c r="I115" t="s">
        <v>20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581</v>
      </c>
      <c r="AE115">
        <v>12.443353417924371</v>
      </c>
      <c r="AF115">
        <v>12.941520711980241</v>
      </c>
      <c r="AG115">
        <f>14.1755278295079*1</f>
        <v>14.175527829507899</v>
      </c>
      <c r="AH115">
        <f>4.50402786792854*1</f>
        <v>4.5040278679285404</v>
      </c>
      <c r="AI115">
        <v>1</v>
      </c>
      <c r="AJ115">
        <v>0</v>
      </c>
    </row>
    <row r="116" spans="1:36" hidden="1" x14ac:dyDescent="0.2">
      <c r="A116" t="s">
        <v>283</v>
      </c>
      <c r="B116" t="s">
        <v>284</v>
      </c>
      <c r="C116" t="s">
        <v>284</v>
      </c>
      <c r="D116" t="s">
        <v>4</v>
      </c>
      <c r="E116">
        <v>0</v>
      </c>
      <c r="F116">
        <v>0</v>
      </c>
      <c r="G116">
        <v>1</v>
      </c>
      <c r="H116">
        <v>0</v>
      </c>
      <c r="I116" t="s">
        <v>20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586</v>
      </c>
      <c r="AE116">
        <v>16.649272029121398</v>
      </c>
      <c r="AF116">
        <v>9.5923755217972086</v>
      </c>
      <c r="AG116">
        <f>10.5070342969253*1</f>
        <v>10.507034296925299</v>
      </c>
      <c r="AH116">
        <f>2.51637932733926*1</f>
        <v>2.5163793273392598</v>
      </c>
      <c r="AI116">
        <v>1</v>
      </c>
      <c r="AJ116">
        <v>0</v>
      </c>
    </row>
    <row r="117" spans="1:36" hidden="1" x14ac:dyDescent="0.2">
      <c r="A117" t="s">
        <v>285</v>
      </c>
      <c r="B117" t="s">
        <v>286</v>
      </c>
      <c r="C117" t="s">
        <v>286</v>
      </c>
      <c r="D117" t="s">
        <v>5</v>
      </c>
      <c r="E117">
        <v>0</v>
      </c>
      <c r="F117">
        <v>0</v>
      </c>
      <c r="G117">
        <v>0</v>
      </c>
      <c r="H117">
        <v>1</v>
      </c>
      <c r="I117" t="s">
        <v>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589</v>
      </c>
      <c r="AE117">
        <v>18.8</v>
      </c>
      <c r="AF117">
        <v>21.368051573388559</v>
      </c>
      <c r="AG117">
        <f>23.4055496849957*1</f>
        <v>23.405549684995702</v>
      </c>
      <c r="AH117">
        <f>6.2084424928961*1</f>
        <v>6.2084424928960997</v>
      </c>
      <c r="AI117">
        <v>1</v>
      </c>
      <c r="AJ117">
        <v>0</v>
      </c>
    </row>
    <row r="118" spans="1:36" hidden="1" x14ac:dyDescent="0.2">
      <c r="A118" t="s">
        <v>287</v>
      </c>
      <c r="B118" t="s">
        <v>288</v>
      </c>
      <c r="C118" t="s">
        <v>288</v>
      </c>
      <c r="D118" t="s">
        <v>4</v>
      </c>
      <c r="E118">
        <v>0</v>
      </c>
      <c r="F118">
        <v>0</v>
      </c>
      <c r="G118">
        <v>1</v>
      </c>
      <c r="H118">
        <v>0</v>
      </c>
      <c r="I118" t="s">
        <v>20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595</v>
      </c>
      <c r="AE118">
        <v>11.67179827886226</v>
      </c>
      <c r="AF118">
        <v>8.7336162943481224</v>
      </c>
      <c r="AG118">
        <f>9.5663894963531*1</f>
        <v>9.5663894963531</v>
      </c>
      <c r="AH118">
        <f>2.46784002786554*1</f>
        <v>2.4678400278655399</v>
      </c>
      <c r="AI118">
        <v>1</v>
      </c>
      <c r="AJ118">
        <v>0</v>
      </c>
    </row>
    <row r="119" spans="1:36" hidden="1" x14ac:dyDescent="0.2">
      <c r="A119" t="s">
        <v>289</v>
      </c>
      <c r="B119" t="s">
        <v>290</v>
      </c>
      <c r="C119" t="s">
        <v>290</v>
      </c>
      <c r="D119" t="s">
        <v>3</v>
      </c>
      <c r="E119">
        <v>0</v>
      </c>
      <c r="F119">
        <v>1</v>
      </c>
      <c r="G119">
        <v>0</v>
      </c>
      <c r="H119">
        <v>0</v>
      </c>
      <c r="I119" t="s">
        <v>20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601</v>
      </c>
      <c r="AE119">
        <v>16.101970858096578</v>
      </c>
      <c r="AF119">
        <v>14.07741997754073</v>
      </c>
      <c r="AG119">
        <f>15.4197384191566*1</f>
        <v>15.4197384191566</v>
      </c>
      <c r="AH119">
        <f>4.95212207553809*1</f>
        <v>4.9521220755380897</v>
      </c>
      <c r="AI119">
        <v>1</v>
      </c>
      <c r="AJ119">
        <v>0</v>
      </c>
    </row>
    <row r="120" spans="1:36" hidden="1" x14ac:dyDescent="0.2">
      <c r="A120" t="s">
        <v>291</v>
      </c>
      <c r="B120" t="s">
        <v>292</v>
      </c>
      <c r="C120" t="s">
        <v>292</v>
      </c>
      <c r="D120" t="s">
        <v>3</v>
      </c>
      <c r="E120">
        <v>0</v>
      </c>
      <c r="F120">
        <v>1</v>
      </c>
      <c r="G120">
        <v>0</v>
      </c>
      <c r="H120">
        <v>0</v>
      </c>
      <c r="I120" t="s">
        <v>20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604</v>
      </c>
      <c r="AE120">
        <v>17.97893539434866</v>
      </c>
      <c r="AF120">
        <v>11.46115795676549</v>
      </c>
      <c r="AG120">
        <f>12.5540098424458*1</f>
        <v>12.554009842445801</v>
      </c>
      <c r="AH120">
        <f>2.78740536899286*1</f>
        <v>2.78740536899286</v>
      </c>
      <c r="AI120">
        <v>1</v>
      </c>
      <c r="AJ120">
        <v>0</v>
      </c>
    </row>
    <row r="121" spans="1:36" hidden="1" x14ac:dyDescent="0.2">
      <c r="A121" t="s">
        <v>283</v>
      </c>
      <c r="B121" t="s">
        <v>293</v>
      </c>
      <c r="C121" t="s">
        <v>293</v>
      </c>
      <c r="D121" t="s">
        <v>4</v>
      </c>
      <c r="E121">
        <v>0</v>
      </c>
      <c r="F121">
        <v>0</v>
      </c>
      <c r="G121">
        <v>1</v>
      </c>
      <c r="H121">
        <v>0</v>
      </c>
      <c r="I121" t="s">
        <v>21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622</v>
      </c>
      <c r="AE121">
        <v>15.03004929304846</v>
      </c>
      <c r="AF121">
        <v>12.398559288519181</v>
      </c>
      <c r="AG121">
        <f>18.435245453496*1</f>
        <v>18.435245453496002</v>
      </c>
      <c r="AH121">
        <f>3.87063191558121*1</f>
        <v>3.8706319155812099</v>
      </c>
      <c r="AI121">
        <v>1</v>
      </c>
      <c r="AJ121">
        <v>0</v>
      </c>
    </row>
    <row r="122" spans="1:36" hidden="1" x14ac:dyDescent="0.2">
      <c r="A122" t="s">
        <v>294</v>
      </c>
      <c r="B122" t="s">
        <v>295</v>
      </c>
      <c r="C122" t="s">
        <v>295</v>
      </c>
      <c r="D122" t="s">
        <v>4</v>
      </c>
      <c r="E122">
        <v>0</v>
      </c>
      <c r="F122">
        <v>0</v>
      </c>
      <c r="G122">
        <v>1</v>
      </c>
      <c r="H122">
        <v>0</v>
      </c>
      <c r="I122" t="s">
        <v>21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636</v>
      </c>
      <c r="AE122">
        <v>18.128827507510941</v>
      </c>
      <c r="AF122">
        <v>11.734915754030551</v>
      </c>
      <c r="AG122">
        <f>17.7237745939822*1</f>
        <v>17.723774593982199</v>
      </c>
      <c r="AH122">
        <f>3.07915458988018*1</f>
        <v>3.0791545898801802</v>
      </c>
      <c r="AI122">
        <v>1</v>
      </c>
      <c r="AJ122">
        <v>0</v>
      </c>
    </row>
    <row r="123" spans="1:36" hidden="1" x14ac:dyDescent="0.2">
      <c r="A123" t="s">
        <v>296</v>
      </c>
      <c r="B123" t="s">
        <v>297</v>
      </c>
      <c r="C123" t="s">
        <v>297</v>
      </c>
      <c r="D123" t="s">
        <v>5</v>
      </c>
      <c r="E123">
        <v>0</v>
      </c>
      <c r="F123">
        <v>0</v>
      </c>
      <c r="G123">
        <v>0</v>
      </c>
      <c r="H123">
        <v>1</v>
      </c>
      <c r="I123" t="s">
        <v>21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656</v>
      </c>
      <c r="AE123">
        <v>18.722225613325119</v>
      </c>
      <c r="AF123">
        <v>17.467958198883331</v>
      </c>
      <c r="AG123">
        <f>25.7998469185528*1</f>
        <v>25.799846918552799</v>
      </c>
      <c r="AH123">
        <f>4.41986492013598*1</f>
        <v>4.4198649201359803</v>
      </c>
      <c r="AI123">
        <v>1</v>
      </c>
      <c r="AJ123">
        <v>0</v>
      </c>
    </row>
    <row r="124" spans="1:36" hidden="1" x14ac:dyDescent="0.2">
      <c r="A124" t="s">
        <v>298</v>
      </c>
      <c r="B124" t="s">
        <v>299</v>
      </c>
      <c r="C124" t="s">
        <v>298</v>
      </c>
      <c r="D124" t="s">
        <v>3</v>
      </c>
      <c r="E124">
        <v>0</v>
      </c>
      <c r="F124">
        <v>1</v>
      </c>
      <c r="G124">
        <v>0</v>
      </c>
      <c r="H124">
        <v>0</v>
      </c>
      <c r="I124" t="s">
        <v>21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663</v>
      </c>
      <c r="AE124">
        <v>9.7211101709599035</v>
      </c>
      <c r="AF124">
        <v>0</v>
      </c>
      <c r="AG124">
        <f>0.685613800012109*1</f>
        <v>0.68561380001210903</v>
      </c>
      <c r="AH124">
        <f>0.134747974886716*1</f>
        <v>0.134747974886716</v>
      </c>
      <c r="AI124">
        <v>1</v>
      </c>
      <c r="AJ124">
        <v>0</v>
      </c>
    </row>
    <row r="125" spans="1:36" hidden="1" x14ac:dyDescent="0.2">
      <c r="A125" t="s">
        <v>300</v>
      </c>
      <c r="B125" t="s">
        <v>301</v>
      </c>
      <c r="C125" t="s">
        <v>301</v>
      </c>
      <c r="D125" t="s">
        <v>5</v>
      </c>
      <c r="E125">
        <v>0</v>
      </c>
      <c r="F125">
        <v>0</v>
      </c>
      <c r="G125">
        <v>0</v>
      </c>
      <c r="H125">
        <v>1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676</v>
      </c>
      <c r="AE125">
        <v>12.32193145915922</v>
      </c>
      <c r="AF125">
        <v>12.689623900385349</v>
      </c>
      <c r="AG125">
        <f>15.2216401275825*1</f>
        <v>15.2216401275825</v>
      </c>
      <c r="AH125">
        <f>3.05802588944581*1</f>
        <v>3.0580258894458101</v>
      </c>
      <c r="AI125">
        <v>1</v>
      </c>
      <c r="AJ125">
        <v>0</v>
      </c>
    </row>
    <row r="126" spans="1:36" hidden="1" x14ac:dyDescent="0.2">
      <c r="A126" t="s">
        <v>174</v>
      </c>
      <c r="B126" t="s">
        <v>302</v>
      </c>
      <c r="C126" t="s">
        <v>302</v>
      </c>
      <c r="D126" t="s">
        <v>4</v>
      </c>
      <c r="E126">
        <v>0</v>
      </c>
      <c r="F126">
        <v>0</v>
      </c>
      <c r="G126">
        <v>1</v>
      </c>
      <c r="H126">
        <v>0</v>
      </c>
      <c r="I126" t="s">
        <v>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678</v>
      </c>
      <c r="AE126">
        <v>12.88461538461538</v>
      </c>
      <c r="AF126">
        <v>15.111651007722649</v>
      </c>
      <c r="AG126">
        <f>15.9167399378076*1</f>
        <v>15.9167399378076</v>
      </c>
      <c r="AH126">
        <f>3.18334798756153*1</f>
        <v>3.1833479875615298</v>
      </c>
      <c r="AI126">
        <v>1</v>
      </c>
      <c r="AJ126">
        <v>0</v>
      </c>
    </row>
    <row r="127" spans="1:36" hidden="1" x14ac:dyDescent="0.2">
      <c r="A127" t="s">
        <v>303</v>
      </c>
      <c r="B127" t="s">
        <v>304</v>
      </c>
      <c r="C127" t="s">
        <v>305</v>
      </c>
      <c r="D127" t="s">
        <v>4</v>
      </c>
      <c r="E127">
        <v>0</v>
      </c>
      <c r="F127">
        <v>0</v>
      </c>
      <c r="G127">
        <v>1</v>
      </c>
      <c r="H127">
        <v>0</v>
      </c>
      <c r="I127" t="s">
        <v>22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702</v>
      </c>
      <c r="AE127">
        <v>11.111111111111111</v>
      </c>
      <c r="AF127">
        <v>9.5437857548102194</v>
      </c>
      <c r="AG127">
        <f>13.7258785533333*1</f>
        <v>13.725878553333301</v>
      </c>
      <c r="AH127">
        <f>2.74517571066666*1</f>
        <v>2.7451757106666599</v>
      </c>
      <c r="AI127">
        <v>1</v>
      </c>
      <c r="AJ127">
        <v>0</v>
      </c>
    </row>
    <row r="128" spans="1:36" hidden="1" x14ac:dyDescent="0.2">
      <c r="A128" t="s">
        <v>306</v>
      </c>
      <c r="B128" t="s">
        <v>307</v>
      </c>
      <c r="C128" t="s">
        <v>307</v>
      </c>
      <c r="D128" t="s">
        <v>4</v>
      </c>
      <c r="E128">
        <v>0</v>
      </c>
      <c r="F128">
        <v>0</v>
      </c>
      <c r="G128">
        <v>1</v>
      </c>
      <c r="H128">
        <v>0</v>
      </c>
      <c r="I128" t="s">
        <v>22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707</v>
      </c>
      <c r="AE128">
        <v>13.65384615384615</v>
      </c>
      <c r="AF128">
        <v>15.188359100142289</v>
      </c>
      <c r="AG128">
        <f>16.866993068423*1</f>
        <v>16.866993068423</v>
      </c>
      <c r="AH128">
        <f>3.37339861368461*1</f>
        <v>3.3733986136846101</v>
      </c>
      <c r="AI128">
        <v>1</v>
      </c>
      <c r="AJ128">
        <v>0</v>
      </c>
    </row>
    <row r="129" spans="1:36" hidden="1" x14ac:dyDescent="0.2">
      <c r="A129" t="s">
        <v>308</v>
      </c>
      <c r="B129" t="s">
        <v>309</v>
      </c>
      <c r="C129" t="s">
        <v>309</v>
      </c>
      <c r="D129" t="s">
        <v>4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719</v>
      </c>
      <c r="AE129">
        <v>14.293816554094001</v>
      </c>
      <c r="AF129">
        <v>12.42323147879571</v>
      </c>
      <c r="AG129">
        <f>14.5068601807345*1</f>
        <v>14.506860180734501</v>
      </c>
      <c r="AH129">
        <f>3.98700956181969*1</f>
        <v>3.9870095618196899</v>
      </c>
      <c r="AI129">
        <v>1</v>
      </c>
      <c r="AJ129">
        <v>0</v>
      </c>
    </row>
    <row r="130" spans="1:36" hidden="1" x14ac:dyDescent="0.2">
      <c r="A130" t="s">
        <v>310</v>
      </c>
      <c r="B130" t="s">
        <v>311</v>
      </c>
      <c r="C130" t="s">
        <v>311</v>
      </c>
      <c r="D130" t="s">
        <v>4</v>
      </c>
      <c r="E130">
        <v>0</v>
      </c>
      <c r="F130">
        <v>0</v>
      </c>
      <c r="G130">
        <v>1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730</v>
      </c>
      <c r="AE130">
        <v>15.82857142857142</v>
      </c>
      <c r="AF130">
        <v>18.632180306577968</v>
      </c>
      <c r="AG130">
        <f>21.7571760641431*1</f>
        <v>21.757176064143099</v>
      </c>
      <c r="AH130">
        <f>5.15898474491054*1</f>
        <v>5.1589847449105397</v>
      </c>
      <c r="AI130">
        <v>1</v>
      </c>
      <c r="AJ130">
        <v>0</v>
      </c>
    </row>
    <row r="131" spans="1:36" hidden="1" x14ac:dyDescent="0.2">
      <c r="A131" t="s">
        <v>174</v>
      </c>
      <c r="B131" t="s">
        <v>312</v>
      </c>
      <c r="C131" t="s">
        <v>312</v>
      </c>
      <c r="D131" t="s">
        <v>4</v>
      </c>
      <c r="E131">
        <v>0</v>
      </c>
      <c r="F131">
        <v>0</v>
      </c>
      <c r="G131">
        <v>1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733</v>
      </c>
      <c r="AE131">
        <v>17.27698264928933</v>
      </c>
      <c r="AF131">
        <v>17.652539053484769</v>
      </c>
      <c r="AG131">
        <f>20.6132290395578*1</f>
        <v>20.613229039557801</v>
      </c>
      <c r="AH131">
        <f>5.06062550735244*1</f>
        <v>5.06062550735244</v>
      </c>
      <c r="AI131">
        <v>1</v>
      </c>
      <c r="AJ131">
        <v>0</v>
      </c>
    </row>
    <row r="132" spans="1:36" hidden="1" x14ac:dyDescent="0.2">
      <c r="A132" t="s">
        <v>313</v>
      </c>
      <c r="B132" t="s">
        <v>314</v>
      </c>
      <c r="C132" t="s">
        <v>315</v>
      </c>
      <c r="D132" t="s">
        <v>3</v>
      </c>
      <c r="E132">
        <v>0</v>
      </c>
      <c r="F132">
        <v>1</v>
      </c>
      <c r="G132">
        <v>0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735</v>
      </c>
      <c r="AE132">
        <v>15.4</v>
      </c>
      <c r="AF132">
        <v>12.14103960725773</v>
      </c>
      <c r="AG132">
        <f>14.1773389904123*1</f>
        <v>14.1773389904123</v>
      </c>
      <c r="AH132">
        <f>4.0672347215838*1</f>
        <v>4.0672347215837998</v>
      </c>
      <c r="AI132">
        <v>1</v>
      </c>
      <c r="AJ132">
        <v>0</v>
      </c>
    </row>
    <row r="133" spans="1:36" hidden="1" x14ac:dyDescent="0.2">
      <c r="A133" t="s">
        <v>316</v>
      </c>
      <c r="B133" t="s">
        <v>317</v>
      </c>
      <c r="C133" t="s">
        <v>316</v>
      </c>
      <c r="D133" t="s">
        <v>4</v>
      </c>
      <c r="E133">
        <v>0</v>
      </c>
      <c r="F133">
        <v>0</v>
      </c>
      <c r="G133">
        <v>1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737</v>
      </c>
      <c r="AE133">
        <v>15.68181818181818</v>
      </c>
      <c r="AF133">
        <v>13.94731098912907</v>
      </c>
      <c r="AG133">
        <f>16.286558836311*1</f>
        <v>16.286558836310999</v>
      </c>
      <c r="AH133">
        <f>4.54391613892437*1</f>
        <v>4.5439161389243701</v>
      </c>
      <c r="AI133">
        <v>1</v>
      </c>
      <c r="AJ133">
        <v>0</v>
      </c>
    </row>
    <row r="134" spans="1:36" hidden="1" x14ac:dyDescent="0.2">
      <c r="A134" t="s">
        <v>318</v>
      </c>
      <c r="B134" t="s">
        <v>319</v>
      </c>
      <c r="C134" t="s">
        <v>319</v>
      </c>
      <c r="D134" t="s">
        <v>3</v>
      </c>
      <c r="E134">
        <v>0</v>
      </c>
      <c r="F134">
        <v>1</v>
      </c>
      <c r="G134">
        <v>0</v>
      </c>
      <c r="H134">
        <v>0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739</v>
      </c>
      <c r="AE134">
        <v>12.463768115942029</v>
      </c>
      <c r="AF134">
        <v>12.081402548051081</v>
      </c>
      <c r="AG134">
        <f>14.1076995829057*1</f>
        <v>14.107699582905701</v>
      </c>
      <c r="AH134">
        <f>4.6201328118636*1</f>
        <v>4.6201328118636003</v>
      </c>
      <c r="AI134">
        <v>1</v>
      </c>
      <c r="AJ134">
        <v>0</v>
      </c>
    </row>
    <row r="135" spans="1:36" hidden="1" x14ac:dyDescent="0.2">
      <c r="A135" t="s">
        <v>320</v>
      </c>
      <c r="B135" t="s">
        <v>321</v>
      </c>
      <c r="C135" t="s">
        <v>321</v>
      </c>
      <c r="D135" t="s">
        <v>4</v>
      </c>
      <c r="E135">
        <v>0</v>
      </c>
      <c r="F135">
        <v>0</v>
      </c>
      <c r="G135">
        <v>1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741</v>
      </c>
      <c r="AE135">
        <v>9.8285714285714274</v>
      </c>
      <c r="AF135">
        <v>9.9262897573671616</v>
      </c>
      <c r="AG135">
        <f>11.5911305258511*1</f>
        <v>11.591130525851099</v>
      </c>
      <c r="AH135">
        <f>2.79379059073368*1</f>
        <v>2.7937905907336802</v>
      </c>
      <c r="AI135">
        <v>1</v>
      </c>
      <c r="AJ135">
        <v>0</v>
      </c>
    </row>
    <row r="136" spans="1:36" hidden="1" x14ac:dyDescent="0.2">
      <c r="A136" t="s">
        <v>322</v>
      </c>
      <c r="B136" t="s">
        <v>323</v>
      </c>
      <c r="C136" t="s">
        <v>322</v>
      </c>
      <c r="D136" t="s">
        <v>4</v>
      </c>
      <c r="E136">
        <v>0</v>
      </c>
      <c r="F136">
        <v>0</v>
      </c>
      <c r="G136">
        <v>1</v>
      </c>
      <c r="H136">
        <v>0</v>
      </c>
      <c r="I136" t="s">
        <v>23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744</v>
      </c>
      <c r="AE136">
        <v>26.88270501616033</v>
      </c>
      <c r="AF136">
        <v>18.27022283802539</v>
      </c>
      <c r="AG136">
        <f>21.3345109631484*1</f>
        <v>21.3345109631484</v>
      </c>
      <c r="AH136">
        <f>6.06506326133416*1</f>
        <v>6.06506326133416</v>
      </c>
      <c r="AI136">
        <v>1</v>
      </c>
      <c r="AJ136">
        <v>0</v>
      </c>
    </row>
    <row r="137" spans="1:36" hidden="1" x14ac:dyDescent="0.2">
      <c r="A137" t="s">
        <v>324</v>
      </c>
      <c r="B137" t="s">
        <v>325</v>
      </c>
      <c r="C137" t="s">
        <v>325</v>
      </c>
      <c r="D137" t="s">
        <v>3</v>
      </c>
      <c r="E137">
        <v>0</v>
      </c>
      <c r="F137">
        <v>1</v>
      </c>
      <c r="G137">
        <v>0</v>
      </c>
      <c r="H137">
        <v>0</v>
      </c>
      <c r="I137" t="s">
        <v>23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747</v>
      </c>
      <c r="AE137">
        <v>12.16666666666667</v>
      </c>
      <c r="AF137">
        <v>7.5497070513332734</v>
      </c>
      <c r="AG137">
        <f>8.81594654226106*1</f>
        <v>8.8159465422610594</v>
      </c>
      <c r="AH137">
        <f>1.90779713493486*1</f>
        <v>1.9077971349348599</v>
      </c>
      <c r="AI137">
        <v>1</v>
      </c>
      <c r="AJ137">
        <v>0</v>
      </c>
    </row>
    <row r="138" spans="1:36" hidden="1" x14ac:dyDescent="0.2">
      <c r="A138" t="s">
        <v>326</v>
      </c>
      <c r="B138" t="s">
        <v>327</v>
      </c>
      <c r="C138" t="s">
        <v>327</v>
      </c>
      <c r="D138" t="s">
        <v>2</v>
      </c>
      <c r="E138">
        <v>1</v>
      </c>
      <c r="F138">
        <v>0</v>
      </c>
      <c r="G138">
        <v>0</v>
      </c>
      <c r="H138">
        <v>0</v>
      </c>
      <c r="I138" t="s">
        <v>23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748</v>
      </c>
      <c r="AE138">
        <v>11.049199748625011</v>
      </c>
      <c r="AF138">
        <v>10.1202941036642</v>
      </c>
      <c r="AG138">
        <f>11.8176733485449*1</f>
        <v>11.817673348544901</v>
      </c>
      <c r="AH138">
        <f>2.2348922136045*1</f>
        <v>2.2348922136045002</v>
      </c>
      <c r="AI138">
        <v>1</v>
      </c>
      <c r="AJ138">
        <v>0</v>
      </c>
    </row>
    <row r="139" spans="1:36" hidden="1" x14ac:dyDescent="0.2">
      <c r="A139" t="s">
        <v>328</v>
      </c>
      <c r="B139" t="s">
        <v>329</v>
      </c>
      <c r="C139" t="s">
        <v>329</v>
      </c>
      <c r="D139" t="s">
        <v>2</v>
      </c>
      <c r="E139">
        <v>1</v>
      </c>
      <c r="F139">
        <v>0</v>
      </c>
      <c r="G139">
        <v>0</v>
      </c>
      <c r="H139">
        <v>0</v>
      </c>
      <c r="I139" t="s">
        <v>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763</v>
      </c>
      <c r="AE139">
        <v>17.07692307692308</v>
      </c>
      <c r="AF139">
        <v>14.23876182470732</v>
      </c>
      <c r="AG139">
        <f>12.4791078268332*1</f>
        <v>12.4791078268332</v>
      </c>
      <c r="AH139">
        <f>2.16345164998032*1</f>
        <v>2.16345164998032</v>
      </c>
      <c r="AI139">
        <v>1</v>
      </c>
      <c r="AJ139">
        <v>0</v>
      </c>
    </row>
    <row r="140" spans="1:36" hidden="1" x14ac:dyDescent="0.2">
      <c r="A140" t="s">
        <v>330</v>
      </c>
      <c r="B140" t="s">
        <v>331</v>
      </c>
      <c r="C140" t="s">
        <v>331</v>
      </c>
      <c r="D140" t="s">
        <v>4</v>
      </c>
      <c r="E140">
        <v>0</v>
      </c>
      <c r="F140">
        <v>0</v>
      </c>
      <c r="G140">
        <v>1</v>
      </c>
      <c r="H140">
        <v>0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765</v>
      </c>
      <c r="AE140">
        <v>24.701742177457891</v>
      </c>
      <c r="AF140">
        <v>20.9873105608944</v>
      </c>
      <c r="AG140">
        <f>18.3936577287344*1</f>
        <v>18.3936577287344</v>
      </c>
      <c r="AH140">
        <f>2.6076358729462*1</f>
        <v>2.6076358729461999</v>
      </c>
      <c r="AI140">
        <v>1</v>
      </c>
      <c r="AJ140">
        <v>0</v>
      </c>
    </row>
    <row r="141" spans="1:36" hidden="1" x14ac:dyDescent="0.2">
      <c r="A141" t="s">
        <v>332</v>
      </c>
      <c r="B141" t="s">
        <v>333</v>
      </c>
      <c r="C141" t="s">
        <v>333</v>
      </c>
      <c r="D141" t="s">
        <v>3</v>
      </c>
      <c r="E141">
        <v>0</v>
      </c>
      <c r="F141">
        <v>1</v>
      </c>
      <c r="G141">
        <v>0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767</v>
      </c>
      <c r="AE141">
        <v>16.03413607865706</v>
      </c>
      <c r="AF141">
        <v>12.579319219482359</v>
      </c>
      <c r="AG141">
        <f>11.024742380035*1</f>
        <v>11.024742380035001</v>
      </c>
      <c r="AH141">
        <f>1.71746315383847*1</f>
        <v>1.7174631538384699</v>
      </c>
      <c r="AI141">
        <v>1</v>
      </c>
      <c r="AJ141">
        <v>0</v>
      </c>
    </row>
    <row r="142" spans="1:36" hidden="1" x14ac:dyDescent="0.2">
      <c r="A142" t="s">
        <v>334</v>
      </c>
      <c r="B142" t="s">
        <v>335</v>
      </c>
      <c r="C142" t="s">
        <v>334</v>
      </c>
      <c r="D142" t="s">
        <v>3</v>
      </c>
      <c r="E142">
        <v>0</v>
      </c>
      <c r="F142">
        <v>1</v>
      </c>
      <c r="G142">
        <v>0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771</v>
      </c>
      <c r="AE142">
        <v>10.533241751624359</v>
      </c>
      <c r="AF142">
        <v>8.4439575073293032</v>
      </c>
      <c r="AG142">
        <f>7.40043674558242*1</f>
        <v>7.4004367455824198</v>
      </c>
      <c r="AH142">
        <f>1.3278445204191*1</f>
        <v>1.3278445204191001</v>
      </c>
      <c r="AI142">
        <v>1</v>
      </c>
      <c r="AJ142">
        <v>0</v>
      </c>
    </row>
    <row r="143" spans="1:36" hidden="1" x14ac:dyDescent="0.2">
      <c r="A143" t="s">
        <v>65</v>
      </c>
      <c r="B143" t="s">
        <v>336</v>
      </c>
      <c r="C143" t="s">
        <v>337</v>
      </c>
      <c r="D143" t="s">
        <v>4</v>
      </c>
      <c r="E143">
        <v>0</v>
      </c>
      <c r="F143">
        <v>0</v>
      </c>
      <c r="G143">
        <v>1</v>
      </c>
      <c r="H143">
        <v>0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778</v>
      </c>
      <c r="AE143">
        <v>18.216517483979541</v>
      </c>
      <c r="AF143">
        <v>17.057198048127582</v>
      </c>
      <c r="AG143">
        <f>14.949236196709*1</f>
        <v>14.949236196709</v>
      </c>
      <c r="AH143">
        <f>2.75996063508363*1</f>
        <v>2.7599606350836301</v>
      </c>
      <c r="AI143">
        <v>1</v>
      </c>
      <c r="AJ143">
        <v>0</v>
      </c>
    </row>
    <row r="144" spans="1:36" hidden="1" x14ac:dyDescent="0.2">
      <c r="A144" t="s">
        <v>338</v>
      </c>
      <c r="B144" t="s">
        <v>339</v>
      </c>
      <c r="C144" t="s">
        <v>339</v>
      </c>
      <c r="D144" t="s">
        <v>4</v>
      </c>
      <c r="E144">
        <v>0</v>
      </c>
      <c r="F144">
        <v>0</v>
      </c>
      <c r="G144">
        <v>1</v>
      </c>
      <c r="H144">
        <v>0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780</v>
      </c>
      <c r="AE144">
        <v>16.428571428571431</v>
      </c>
      <c r="AF144">
        <v>17.761898768444759</v>
      </c>
      <c r="AG144">
        <f>15.5668486255668*1</f>
        <v>15.5668486255668</v>
      </c>
      <c r="AH144">
        <f>1.93321164965635*1</f>
        <v>1.9332116496563501</v>
      </c>
      <c r="AI144">
        <v>1</v>
      </c>
      <c r="AJ144">
        <v>0</v>
      </c>
    </row>
    <row r="145" spans="1:36" hidden="1" x14ac:dyDescent="0.2">
      <c r="A145" t="s">
        <v>340</v>
      </c>
      <c r="B145" t="s">
        <v>341</v>
      </c>
      <c r="C145" t="s">
        <v>341</v>
      </c>
      <c r="D145" t="s">
        <v>3</v>
      </c>
      <c r="E145">
        <v>0</v>
      </c>
      <c r="F145">
        <v>1</v>
      </c>
      <c r="G145">
        <v>0</v>
      </c>
      <c r="H145">
        <v>0</v>
      </c>
      <c r="I145" t="s">
        <v>24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782</v>
      </c>
      <c r="AE145">
        <v>16.161434918470171</v>
      </c>
      <c r="AF145">
        <v>18.916062065100849</v>
      </c>
      <c r="AG145">
        <f>16.5783781676757*1</f>
        <v>16.578378167675702</v>
      </c>
      <c r="AH145">
        <f>2.7851027738923*1</f>
        <v>2.7851027738923002</v>
      </c>
      <c r="AI145">
        <v>1</v>
      </c>
      <c r="AJ145">
        <v>0</v>
      </c>
    </row>
    <row r="146" spans="1:36" hidden="1" x14ac:dyDescent="0.2">
      <c r="A146" t="s">
        <v>342</v>
      </c>
      <c r="B146" t="s">
        <v>343</v>
      </c>
      <c r="C146" t="s">
        <v>241</v>
      </c>
      <c r="D146" t="s">
        <v>4</v>
      </c>
      <c r="E146">
        <v>0</v>
      </c>
      <c r="F146">
        <v>0</v>
      </c>
      <c r="G146">
        <v>1</v>
      </c>
      <c r="H146">
        <v>0</v>
      </c>
      <c r="I146" t="s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784</v>
      </c>
      <c r="AE146">
        <v>11.110919963214061</v>
      </c>
      <c r="AF146">
        <v>10.595044424386341</v>
      </c>
      <c r="AG146">
        <f>9.28568813986205*1</f>
        <v>9.2856881398620494</v>
      </c>
      <c r="AH146">
        <f>2.12659324838664*1</f>
        <v>2.1265932483866399</v>
      </c>
      <c r="AI146">
        <v>1</v>
      </c>
      <c r="AJ146">
        <v>0</v>
      </c>
    </row>
    <row r="147" spans="1:36" hidden="1" x14ac:dyDescent="0.2">
      <c r="A147" t="s">
        <v>174</v>
      </c>
      <c r="B147" t="s">
        <v>344</v>
      </c>
      <c r="C147" t="s">
        <v>344</v>
      </c>
      <c r="D147" t="s">
        <v>4</v>
      </c>
      <c r="E147">
        <v>0</v>
      </c>
      <c r="F147">
        <v>0</v>
      </c>
      <c r="G147">
        <v>1</v>
      </c>
      <c r="H147">
        <v>0</v>
      </c>
      <c r="I147" t="s">
        <v>24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786</v>
      </c>
      <c r="AE147">
        <v>18.92600971338868</v>
      </c>
      <c r="AF147">
        <v>17.742801321146821</v>
      </c>
      <c r="AG147">
        <f>15.5501112781076*1</f>
        <v>15.5501112781076</v>
      </c>
      <c r="AH147">
        <f>2.66367270831153*1</f>
        <v>2.6636727083115299</v>
      </c>
      <c r="AI147">
        <v>1</v>
      </c>
      <c r="AJ147">
        <v>0</v>
      </c>
    </row>
    <row r="148" spans="1:36" hidden="1" x14ac:dyDescent="0.2">
      <c r="A148" t="s">
        <v>345</v>
      </c>
      <c r="B148" t="s">
        <v>346</v>
      </c>
      <c r="C148" t="s">
        <v>346</v>
      </c>
      <c r="D148" t="s">
        <v>4</v>
      </c>
      <c r="E148">
        <v>0</v>
      </c>
      <c r="F148">
        <v>0</v>
      </c>
      <c r="G148">
        <v>1</v>
      </c>
      <c r="H148">
        <v>0</v>
      </c>
      <c r="I148" t="s">
        <v>24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788</v>
      </c>
      <c r="AE148">
        <v>20.416666666666671</v>
      </c>
      <c r="AF148">
        <v>25.40867942261589</v>
      </c>
      <c r="AG148">
        <f>16.7014688929305*0.75</f>
        <v>12.526101669697875</v>
      </c>
      <c r="AH148">
        <f>2.96050404541737*0.75</f>
        <v>2.2203780340630277</v>
      </c>
      <c r="AI148">
        <v>0.75</v>
      </c>
      <c r="AJ148">
        <v>0</v>
      </c>
    </row>
    <row r="149" spans="1:36" hidden="1" x14ac:dyDescent="0.2">
      <c r="A149" t="s">
        <v>347</v>
      </c>
      <c r="B149" t="s">
        <v>348</v>
      </c>
      <c r="C149" t="s">
        <v>348</v>
      </c>
      <c r="D149" t="s">
        <v>3</v>
      </c>
      <c r="E149">
        <v>0</v>
      </c>
      <c r="F149">
        <v>1</v>
      </c>
      <c r="G149">
        <v>0</v>
      </c>
      <c r="H149">
        <v>0</v>
      </c>
      <c r="I149" t="s">
        <v>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795</v>
      </c>
      <c r="AE149">
        <v>12.674659068697091</v>
      </c>
      <c r="AF149">
        <v>7.9732000274482564</v>
      </c>
      <c r="AG149">
        <f>14.6311204817489*1</f>
        <v>14.6311204817489</v>
      </c>
      <c r="AH149">
        <f>0.0675822711258886*1</f>
        <v>6.7582271125888604E-2</v>
      </c>
      <c r="AI149">
        <v>1</v>
      </c>
      <c r="AJ149">
        <v>0</v>
      </c>
    </row>
    <row r="150" spans="1:36" hidden="1" x14ac:dyDescent="0.2">
      <c r="A150" t="s">
        <v>349</v>
      </c>
      <c r="B150" t="s">
        <v>350</v>
      </c>
      <c r="C150" t="s">
        <v>350</v>
      </c>
      <c r="D150" t="s">
        <v>3</v>
      </c>
      <c r="E150">
        <v>0</v>
      </c>
      <c r="F150">
        <v>1</v>
      </c>
      <c r="G150">
        <v>0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801</v>
      </c>
      <c r="AE150">
        <v>13.40512931479511</v>
      </c>
      <c r="AF150">
        <v>13.717686589666441</v>
      </c>
      <c r="AG150">
        <f>16.1165392021162*1</f>
        <v>16.116539202116201</v>
      </c>
      <c r="AH150">
        <f>2.69988907348774*1</f>
        <v>2.6998890734877401</v>
      </c>
      <c r="AI150">
        <v>1</v>
      </c>
      <c r="AJ150">
        <v>0</v>
      </c>
    </row>
    <row r="151" spans="1:36" hidden="1" x14ac:dyDescent="0.2">
      <c r="A151" t="s">
        <v>351</v>
      </c>
      <c r="B151" t="s">
        <v>352</v>
      </c>
      <c r="C151" t="s">
        <v>353</v>
      </c>
      <c r="D151" t="s">
        <v>4</v>
      </c>
      <c r="E151">
        <v>0</v>
      </c>
      <c r="F151">
        <v>0</v>
      </c>
      <c r="G151">
        <v>1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806</v>
      </c>
      <c r="AE151">
        <v>26.982888621929629</v>
      </c>
      <c r="AF151">
        <v>15.164521445041331</v>
      </c>
      <c r="AG151">
        <f>0*0</f>
        <v>0</v>
      </c>
      <c r="AH151">
        <f>6.53698542061693*0</f>
        <v>0</v>
      </c>
      <c r="AI151">
        <v>0</v>
      </c>
      <c r="AJ151">
        <v>0</v>
      </c>
    </row>
    <row r="152" spans="1:36" hidden="1" x14ac:dyDescent="0.2">
      <c r="A152" t="s">
        <v>354</v>
      </c>
      <c r="B152" t="s">
        <v>355</v>
      </c>
      <c r="C152" t="s">
        <v>356</v>
      </c>
      <c r="D152" t="s">
        <v>4</v>
      </c>
      <c r="E152">
        <v>0</v>
      </c>
      <c r="F152">
        <v>0</v>
      </c>
      <c r="G152">
        <v>1</v>
      </c>
      <c r="H152">
        <v>0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807</v>
      </c>
      <c r="AE152">
        <v>11.714285714285721</v>
      </c>
      <c r="AF152">
        <v>9.1264872458263806</v>
      </c>
      <c r="AG152">
        <f>13.7360539412244*1</f>
        <v>13.7360539412244</v>
      </c>
      <c r="AH152">
        <f>2.78347696652236*1</f>
        <v>2.7834769665223602</v>
      </c>
      <c r="AI152">
        <v>1</v>
      </c>
      <c r="AJ152">
        <v>0</v>
      </c>
    </row>
    <row r="153" spans="1:36" hidden="1" x14ac:dyDescent="0.2">
      <c r="A153" t="s">
        <v>357</v>
      </c>
      <c r="B153" t="s">
        <v>358</v>
      </c>
      <c r="C153" t="s">
        <v>358</v>
      </c>
      <c r="D153" t="s">
        <v>3</v>
      </c>
      <c r="E153">
        <v>0</v>
      </c>
      <c r="F153">
        <v>1</v>
      </c>
      <c r="G153">
        <v>0</v>
      </c>
      <c r="H153">
        <v>0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811</v>
      </c>
      <c r="AE153">
        <v>15.086956521739131</v>
      </c>
      <c r="AF153">
        <v>16.13676590668328</v>
      </c>
      <c r="AG153">
        <f>18.2233646157244*1</f>
        <v>18.2233646157244</v>
      </c>
      <c r="AH153">
        <f>3.74671305738445*1</f>
        <v>3.7467130573844498</v>
      </c>
      <c r="AI153">
        <v>1</v>
      </c>
      <c r="AJ153">
        <v>0</v>
      </c>
    </row>
    <row r="154" spans="1:36" hidden="1" x14ac:dyDescent="0.2">
      <c r="A154" t="s">
        <v>359</v>
      </c>
      <c r="B154" t="s">
        <v>360</v>
      </c>
      <c r="C154" t="s">
        <v>361</v>
      </c>
      <c r="D154" t="s">
        <v>4</v>
      </c>
      <c r="E154">
        <v>0</v>
      </c>
      <c r="F154">
        <v>0</v>
      </c>
      <c r="G154">
        <v>1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813</v>
      </c>
      <c r="AE154">
        <v>11.16666666666667</v>
      </c>
      <c r="AF154">
        <v>8.4104939043629585</v>
      </c>
      <c r="AG154">
        <f>13.0587617106757*1</f>
        <v>13.0587617106757</v>
      </c>
      <c r="AH154">
        <f>2.62246577634132*1</f>
        <v>2.6224657763413202</v>
      </c>
      <c r="AI154">
        <v>1</v>
      </c>
      <c r="AJ154">
        <v>0</v>
      </c>
    </row>
    <row r="155" spans="1:36" hidden="1" x14ac:dyDescent="0.2">
      <c r="A155" t="s">
        <v>82</v>
      </c>
      <c r="B155" t="s">
        <v>119</v>
      </c>
      <c r="C155" t="s">
        <v>119</v>
      </c>
      <c r="D155" t="s">
        <v>3</v>
      </c>
      <c r="E155">
        <v>0</v>
      </c>
      <c r="F155">
        <v>1</v>
      </c>
      <c r="G155">
        <v>0</v>
      </c>
      <c r="H155">
        <v>0</v>
      </c>
      <c r="I155" t="s">
        <v>10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167</v>
      </c>
      <c r="AE155">
        <v>12.760869565217391</v>
      </c>
      <c r="AF155">
        <v>11.035716658819389</v>
      </c>
      <c r="AG155">
        <f>16.9844421220898*1</f>
        <v>16.984442122089799</v>
      </c>
      <c r="AH155">
        <f>3.67937082107753*1</f>
        <v>3.67937082107753</v>
      </c>
      <c r="AI155">
        <v>1</v>
      </c>
      <c r="AJ155">
        <v>0</v>
      </c>
    </row>
    <row r="156" spans="1:36" hidden="1" x14ac:dyDescent="0.2">
      <c r="A156" t="s">
        <v>365</v>
      </c>
      <c r="B156" t="s">
        <v>366</v>
      </c>
      <c r="C156" t="s">
        <v>367</v>
      </c>
      <c r="D156" t="s">
        <v>3</v>
      </c>
      <c r="E156">
        <v>0</v>
      </c>
      <c r="F156">
        <v>1</v>
      </c>
      <c r="G156">
        <v>0</v>
      </c>
      <c r="H156">
        <v>0</v>
      </c>
      <c r="I156" t="s">
        <v>25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819</v>
      </c>
      <c r="AE156">
        <v>13.907563025210081</v>
      </c>
      <c r="AF156">
        <v>15.219891952987309</v>
      </c>
      <c r="AG156">
        <f>16.840660246456*1</f>
        <v>16.840660246456</v>
      </c>
      <c r="AH156">
        <f>3.41901059369563*1</f>
        <v>3.4190105936956301</v>
      </c>
      <c r="AI156">
        <v>1</v>
      </c>
      <c r="AJ156">
        <v>0</v>
      </c>
    </row>
    <row r="157" spans="1:36" hidden="1" x14ac:dyDescent="0.2">
      <c r="A157" t="s">
        <v>368</v>
      </c>
      <c r="B157" t="s">
        <v>369</v>
      </c>
      <c r="C157" t="s">
        <v>370</v>
      </c>
      <c r="D157" t="s">
        <v>3</v>
      </c>
      <c r="E157">
        <v>0</v>
      </c>
      <c r="F157">
        <v>1</v>
      </c>
      <c r="G157">
        <v>0</v>
      </c>
      <c r="H157">
        <v>0</v>
      </c>
      <c r="I157" t="s">
        <v>25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820</v>
      </c>
      <c r="AE157">
        <v>12.065217391304349</v>
      </c>
      <c r="AF157">
        <v>10.737664475608121</v>
      </c>
      <c r="AG157">
        <f>14.3101093648817*1</f>
        <v>14.310109364881701</v>
      </c>
      <c r="AH157">
        <f>2.88058296695883*1</f>
        <v>2.8805829669588299</v>
      </c>
      <c r="AI157">
        <v>1</v>
      </c>
      <c r="AJ157">
        <v>0</v>
      </c>
    </row>
    <row r="158" spans="1:36" x14ac:dyDescent="0.2">
      <c r="A158" t="s">
        <v>371</v>
      </c>
      <c r="B158" t="s">
        <v>372</v>
      </c>
      <c r="C158" t="s">
        <v>373</v>
      </c>
      <c r="D158" t="s">
        <v>5</v>
      </c>
      <c r="E158">
        <v>0</v>
      </c>
      <c r="F158">
        <v>0</v>
      </c>
      <c r="G158">
        <v>0</v>
      </c>
      <c r="H158">
        <v>1</v>
      </c>
      <c r="I158" t="s">
        <v>25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822</v>
      </c>
      <c r="AE158">
        <v>32.486403882667389</v>
      </c>
      <c r="AF158">
        <v>15.53225599046077</v>
      </c>
      <c r="AG158">
        <f>36.9051269258681*1</f>
        <v>36.905126925868103</v>
      </c>
      <c r="AH158">
        <f>3.36122390598332*1</f>
        <v>3.3612239059833202</v>
      </c>
      <c r="AI158">
        <v>1</v>
      </c>
      <c r="AJ158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2024-03-29T16:16:48Z</dcterms:created>
  <dcterms:modified xsi:type="dcterms:W3CDTF">2024-03-29T16:31:20Z</dcterms:modified>
</cp:coreProperties>
</file>