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0D16F722-0BB5-D442-8D6B-F49E81D0871F}" xr6:coauthVersionLast="47" xr6:coauthVersionMax="47" xr10:uidLastSave="{00000000-0000-0000-0000-000000000000}"/>
  <bookViews>
    <workbookView xWindow="240" yWindow="760" windowWidth="2034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8" i="1" l="1"/>
  <c r="AH158" i="1"/>
  <c r="AI157" i="1"/>
  <c r="AH157" i="1"/>
  <c r="AI156" i="1"/>
  <c r="AH156" i="1"/>
  <c r="AI92" i="1"/>
  <c r="AH92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87" i="1"/>
  <c r="AH87" i="1"/>
  <c r="AI8" i="1"/>
  <c r="AH8" i="1"/>
  <c r="AI90" i="1"/>
  <c r="AH90" i="1"/>
  <c r="AI40" i="1"/>
  <c r="AH40" i="1"/>
  <c r="AI12" i="1"/>
  <c r="AH12" i="1"/>
  <c r="AI6" i="1"/>
  <c r="AH6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155" i="1"/>
  <c r="AH155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14" i="1"/>
  <c r="AH14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89" i="1"/>
  <c r="AH89" i="1"/>
  <c r="AI13" i="1"/>
  <c r="AH13" i="1"/>
  <c r="AI91" i="1"/>
  <c r="AH91" i="1"/>
  <c r="AO11" i="1"/>
  <c r="AO14" i="1" s="1"/>
  <c r="AI11" i="1"/>
  <c r="AH11" i="1"/>
  <c r="AI10" i="1"/>
  <c r="AH10" i="1"/>
  <c r="AO9" i="1"/>
  <c r="AI9" i="1"/>
  <c r="AH9" i="1"/>
  <c r="AO8" i="1"/>
  <c r="AI88" i="1"/>
  <c r="AH88" i="1"/>
  <c r="AO7" i="1"/>
  <c r="AI7" i="1"/>
  <c r="AH7" i="1"/>
  <c r="AO6" i="1"/>
  <c r="AI20" i="1"/>
  <c r="AH20" i="1"/>
  <c r="AI5" i="1"/>
  <c r="AH5" i="1"/>
  <c r="AO4" i="1"/>
  <c r="AI4" i="1"/>
  <c r="AH4" i="1"/>
  <c r="AI3" i="1"/>
  <c r="AH3" i="1"/>
  <c r="AO2" i="1" s="1"/>
  <c r="AI2" i="1"/>
  <c r="AH2" i="1"/>
  <c r="AO16" i="1" l="1"/>
</calcChain>
</file>

<file path=xl/sharedStrings.xml><?xml version="1.0" encoding="utf-8"?>
<sst xmlns="http://schemas.openxmlformats.org/spreadsheetml/2006/main" count="854" uniqueCount="380">
  <si>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</si>
  <si>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</si>
  <si>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</si>
  <si>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</si>
  <si>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</si>
  <si>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</si>
  <si>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</si>
  <si>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</si>
  <si>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</si>
  <si>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</si>
  <si>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</si>
  <si>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</si>
  <si>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</si>
  <si>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</si>
  <si>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</si>
  <si>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</si>
  <si>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</si>
  <si>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</si>
  <si>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</si>
  <si>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</si>
  <si>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</si>
  <si>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</si>
  <si>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</si>
  <si>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</si>
  <si>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</si>
  <si>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</si>
  <si>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</si>
  <si>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</si>
  <si>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</si>
  <si>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</si>
  <si>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</si>
  <si>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</si>
  <si>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</si>
  <si>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</si>
  <si>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</si>
  <si>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</si>
  <si>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</si>
  <si>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</si>
  <si>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</si>
  <si>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</si>
  <si>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</si>
  <si>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</si>
  <si>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</si>
  <si>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</si>
  <si>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</si>
  <si>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</si>
  <si>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</si>
  <si>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</si>
  <si>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</si>
  <si>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</si>
  <si>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</si>
  <si>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</si>
  <si>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</si>
  <si>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</si>
  <si>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</si>
  <si>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</si>
  <si>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</si>
  <si>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</si>
  <si>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</si>
  <si>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</si>
  <si>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</si>
  <si>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</si>
  <si>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</si>
  <si>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</si>
  <si>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</si>
  <si>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</si>
  <si>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</si>
  <si>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</si>
  <si>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</si>
  <si>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</si>
  <si>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</si>
  <si>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</si>
  <si>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</si>
  <si>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</si>
  <si>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</si>
  <si>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</si>
  <si>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</si>
  <si>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</si>
  <si>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</si>
  <si>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</si>
  <si>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</si>
  <si>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</si>
  <si>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</si>
  <si>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</si>
  <si>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</si>
  <si>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</si>
  <si>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</si>
  <si>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</si>
  <si>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</si>
  <si>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</si>
  <si>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</si>
  <si>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</si>
  <si>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</si>
  <si>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</si>
  <si>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</si>
  <si>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</si>
  <si>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</si>
  <si>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</si>
  <si>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</si>
  <si>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</si>
  <si>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</si>
  <si>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</si>
  <si>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Illia</t>
  </si>
  <si>
    <t>Zabarnyi</t>
  </si>
  <si>
    <t>Milos</t>
  </si>
  <si>
    <t>Kerkez</t>
  </si>
  <si>
    <t>Mark</t>
  </si>
  <si>
    <t>Flekken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</si>
  <si>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</si>
  <si>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</si>
  <si>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</si>
  <si>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</si>
  <si>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</si>
  <si>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</si>
  <si>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</si>
  <si>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</si>
  <si>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</si>
  <si>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</si>
  <si>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</si>
  <si>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Neal</t>
  </si>
  <si>
    <t>Maupay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</si>
  <si>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</si>
  <si>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</si>
  <si>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</si>
  <si>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</si>
  <si>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</si>
  <si>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</si>
  <si>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</si>
  <si>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</si>
  <si>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</si>
  <si>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</si>
  <si>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</si>
  <si>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</si>
  <si>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</si>
  <si>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</si>
  <si>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Jacob</t>
  </si>
  <si>
    <t>Bruun Larsen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</si>
  <si>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</si>
  <si>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</si>
  <si>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</si>
  <si>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</si>
  <si>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</si>
  <si>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</si>
  <si>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</si>
  <si>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</si>
  <si>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</si>
  <si>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</si>
  <si>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</si>
  <si>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</si>
  <si>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</si>
  <si>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</si>
  <si>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</si>
  <si>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</si>
  <si>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</si>
  <si>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</si>
  <si>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</si>
  <si>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</si>
  <si>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</si>
  <si>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</si>
  <si>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</si>
  <si>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</si>
  <si>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</si>
  <si>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</si>
  <si>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</si>
  <si>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</si>
  <si>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</si>
  <si>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</si>
  <si>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</si>
  <si>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</si>
  <si>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</si>
  <si>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</si>
  <si>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</si>
  <si>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</si>
  <si>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</si>
  <si>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</si>
  <si>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</si>
  <si>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</si>
  <si>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</si>
  <si>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</si>
  <si>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</si>
  <si>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</si>
  <si>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</si>
  <si>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</si>
  <si>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</si>
  <si>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</si>
  <si>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</si>
  <si>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Pickford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</si>
  <si>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</si>
  <si>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</si>
  <si>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</si>
  <si>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</si>
  <si>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</si>
  <si>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</si>
  <si>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</si>
  <si>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</si>
  <si>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Antonee</t>
  </si>
  <si>
    <t>Robinson</t>
  </si>
  <si>
    <t>Harry</t>
  </si>
  <si>
    <t>Wilson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</si>
  <si>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</si>
  <si>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</si>
  <si>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</si>
  <si>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</si>
  <si>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</si>
  <si>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</si>
  <si>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</si>
  <si>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</si>
  <si>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</si>
  <si>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</si>
  <si>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</si>
  <si>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</si>
  <si>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</si>
  <si>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</si>
  <si>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</si>
  <si>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</si>
  <si>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</si>
  <si>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</si>
  <si>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</si>
  <si>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</si>
  <si>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</si>
  <si>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</si>
  <si>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</si>
  <si>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</si>
  <si>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</si>
  <si>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</si>
  <si>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</si>
  <si>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</si>
  <si>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</si>
  <si>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</si>
  <si>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</si>
  <si>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</si>
  <si>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</si>
  <si>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</si>
  <si>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</si>
  <si>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</si>
  <si>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</si>
  <si>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</si>
  <si>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</si>
  <si>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Tahith</t>
  </si>
  <si>
    <t>Chong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</si>
  <si>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</si>
  <si>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</si>
  <si>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</si>
  <si>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</si>
  <si>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</si>
  <si>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</si>
  <si>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</si>
  <si>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</si>
  <si>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</si>
  <si>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</si>
  <si>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</si>
  <si>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</si>
  <si>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</si>
  <si>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</si>
  <si>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</si>
  <si>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</si>
  <si>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</si>
  <si>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</si>
  <si>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</si>
  <si>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</si>
  <si>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</si>
  <si>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</si>
  <si>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</si>
  <si>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</si>
  <si>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</si>
  <si>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</si>
  <si>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</si>
  <si>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</si>
  <si>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</si>
  <si>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</si>
  <si>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</si>
  <si>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</si>
  <si>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</si>
  <si>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</si>
  <si>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Scott</t>
  </si>
  <si>
    <t>McTominay</t>
  </si>
  <si>
    <t>Raphaël</t>
  </si>
  <si>
    <t>Varane</t>
  </si>
  <si>
    <t>R.Varane</t>
  </si>
  <si>
    <t>Marcus</t>
  </si>
  <si>
    <t>Rashford</t>
  </si>
  <si>
    <t>André</t>
  </si>
  <si>
    <t>Onana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</si>
  <si>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</si>
  <si>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</si>
  <si>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</si>
  <si>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</si>
  <si>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</si>
  <si>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</si>
  <si>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</si>
  <si>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</si>
  <si>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</si>
  <si>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</si>
  <si>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</si>
  <si>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</si>
  <si>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</si>
  <si>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</si>
  <si>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</si>
  <si>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</si>
  <si>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Elanga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</si>
  <si>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</si>
  <si>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</si>
  <si>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</si>
  <si>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</si>
  <si>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</si>
  <si>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</si>
  <si>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</si>
  <si>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</si>
  <si>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McAtee</t>
  </si>
  <si>
    <t>Vini</t>
  </si>
  <si>
    <t>de Souza Costa</t>
  </si>
  <si>
    <t>Vini Souza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</si>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</sst>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8" totalsRowShown="0">
  <autoFilter ref="A1:AL158" xr:uid="{00000000-0009-0000-0100-000001000000}">
    <filterColumn colId="37">
      <filters>
        <filter val="1"/>
      </filters>
    </filterColumn>
  </autoFilter>
  <sortState xmlns:xlrd2="http://schemas.microsoft.com/office/spreadsheetml/2017/richdata2" ref="A6:AL158">
    <sortCondition descending="1" ref="AI1:AI158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workbookViewId="0">
      <selection activeCell="C91" sqref="C91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19.116220632064401</v>
      </c>
      <c r="AG2">
        <v>16.889365470559781</v>
      </c>
      <c r="AH2">
        <f>17.3920867570494*0.75</f>
        <v>13.044065067787052</v>
      </c>
      <c r="AI2">
        <f>3.72024335087204*0.75</f>
        <v>2.7901825131540301</v>
      </c>
      <c r="AJ2">
        <v>0.75</v>
      </c>
      <c r="AK2">
        <v>0</v>
      </c>
      <c r="AL2">
        <v>0</v>
      </c>
      <c r="AN2" t="s">
        <v>0</v>
      </c>
      <c r="AO2">
        <f>SUMPRODUCT(Table1[Selected], Table1[PP])</f>
        <v>425.88344331034386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7.2</v>
      </c>
      <c r="AE3">
        <v>5</v>
      </c>
      <c r="AF3">
        <v>18.17221438349166</v>
      </c>
      <c r="AG3">
        <v>14.572146127279581</v>
      </c>
      <c r="AH3">
        <f>22.0442966705989*1</f>
        <v>22.0442966705989</v>
      </c>
      <c r="AI3">
        <f>4.98468449246269*1</f>
        <v>4.9846844924626899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6</v>
      </c>
      <c r="AF4">
        <v>20.157232704402521</v>
      </c>
      <c r="AG4">
        <v>19.659355682767409</v>
      </c>
      <c r="AH4">
        <f>24.4522768891509*1</f>
        <v>24.452276889150902</v>
      </c>
      <c r="AI4">
        <f>4.89045537783019*1</f>
        <v>4.8904553778301896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96.500000000000014</v>
      </c>
      <c r="AP4">
        <v>102.3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24.745762711864401</v>
      </c>
      <c r="AG5">
        <v>19.035259591134579</v>
      </c>
      <c r="AH5">
        <f>22.5138880868643*0.75</f>
        <v>16.885416065148224</v>
      </c>
      <c r="AI5">
        <f>6.0037034898305*0.75</f>
        <v>4.5027776173728755</v>
      </c>
      <c r="AJ5">
        <v>0.75</v>
      </c>
      <c r="AK5">
        <v>0</v>
      </c>
      <c r="AL5">
        <v>0</v>
      </c>
    </row>
    <row r="6" spans="1:42" x14ac:dyDescent="0.2">
      <c r="A6" t="s">
        <v>226</v>
      </c>
      <c r="B6" t="s">
        <v>227</v>
      </c>
      <c r="C6" t="s">
        <v>227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13.1</v>
      </c>
      <c r="AE6">
        <v>430</v>
      </c>
      <c r="AF6">
        <v>34.639175257731942</v>
      </c>
      <c r="AG6">
        <v>34.735494269645628</v>
      </c>
      <c r="AH6">
        <f>39.7453473296753*1</f>
        <v>39.745347329675297</v>
      </c>
      <c r="AI6">
        <f>8.91269216707747*1</f>
        <v>8.9126921670774699</v>
      </c>
      <c r="AJ6">
        <v>1</v>
      </c>
      <c r="AK6">
        <v>0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9.1</v>
      </c>
      <c r="AE7">
        <v>17</v>
      </c>
      <c r="AF7">
        <v>32.198822753569672</v>
      </c>
      <c r="AG7">
        <v>19.204195045582949</v>
      </c>
      <c r="AH7">
        <f>29.2947402932578*0.75</f>
        <v>21.971055219943349</v>
      </c>
      <c r="AI7">
        <f>7.92232932468647*0.75</f>
        <v>5.9417469935148528</v>
      </c>
      <c r="AJ7">
        <v>0.75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234</v>
      </c>
      <c r="B8" t="s">
        <v>235</v>
      </c>
      <c r="C8" t="s">
        <v>235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4.7</v>
      </c>
      <c r="AE8">
        <v>462</v>
      </c>
      <c r="AF8">
        <v>13.55692051406267</v>
      </c>
      <c r="AG8">
        <v>8.2363488207339284</v>
      </c>
      <c r="AH8">
        <f>22.5217656340894*1</f>
        <v>22.521765634089402</v>
      </c>
      <c r="AI8">
        <f>8.20782676419584*1</f>
        <v>8.2078267641958398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19.068851410580521</v>
      </c>
      <c r="AG9">
        <v>18.415375092843181</v>
      </c>
      <c r="AH9">
        <f>23.1319864927566*1</f>
        <v>23.131986492756599</v>
      </c>
      <c r="AI9">
        <f>4.39795004636803*1</f>
        <v>4.3979500463680301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5.7</v>
      </c>
      <c r="AE10">
        <v>23</v>
      </c>
      <c r="AF10">
        <v>17.134050230188901</v>
      </c>
      <c r="AG10">
        <v>18.49383672842464</v>
      </c>
      <c r="AH10">
        <f>20.7849235361406*1</f>
        <v>20.7849235361406</v>
      </c>
      <c r="AI10">
        <f>4.03041325557156*1</f>
        <v>4.0304132555715597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16.95454545454545</v>
      </c>
      <c r="AG11">
        <v>15.239434819418131</v>
      </c>
      <c r="AH11">
        <f>20.5671704079545*1</f>
        <v>20.567170407954499</v>
      </c>
      <c r="AI11">
        <f>4.1134340815909*1</f>
        <v>4.1134340815909001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11</v>
      </c>
    </row>
    <row r="12" spans="1:42" x14ac:dyDescent="0.2">
      <c r="A12" t="s">
        <v>228</v>
      </c>
      <c r="B12" t="s">
        <v>229</v>
      </c>
      <c r="C12" t="s">
        <v>229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21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7.1</v>
      </c>
      <c r="AE12">
        <v>431</v>
      </c>
      <c r="AF12">
        <v>14.71341938128516</v>
      </c>
      <c r="AG12">
        <v>24.182903387040611</v>
      </c>
      <c r="AH12">
        <f>27.6707706272036*1</f>
        <v>27.670770627203598</v>
      </c>
      <c r="AI12">
        <f>7.33857220094756*1</f>
        <v>7.33857220094756</v>
      </c>
      <c r="AJ12">
        <v>1</v>
      </c>
      <c r="AK12">
        <v>0</v>
      </c>
      <c r="AL12">
        <v>1</v>
      </c>
      <c r="AN12" t="s">
        <v>8</v>
      </c>
      <c r="AO12">
        <v>15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27</v>
      </c>
      <c r="AF13">
        <v>20.29396793011864</v>
      </c>
      <c r="AG13">
        <v>13.502030496996101</v>
      </c>
      <c r="AH13">
        <f>24.6181472568121*1</f>
        <v>24.618147256812101</v>
      </c>
      <c r="AI13">
        <f>4.24175804242493*1</f>
        <v>4.2417580424249302</v>
      </c>
      <c r="AJ13">
        <v>1</v>
      </c>
      <c r="AK13">
        <v>0</v>
      </c>
      <c r="AL13">
        <v>0</v>
      </c>
    </row>
    <row r="14" spans="1:42" x14ac:dyDescent="0.2">
      <c r="A14" t="s">
        <v>82</v>
      </c>
      <c r="B14" t="s">
        <v>83</v>
      </c>
      <c r="C14" t="s">
        <v>83</v>
      </c>
      <c r="D14" t="s">
        <v>6</v>
      </c>
      <c r="E14">
        <v>0</v>
      </c>
      <c r="F14">
        <v>0</v>
      </c>
      <c r="G14">
        <v>0</v>
      </c>
      <c r="H14">
        <v>1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</v>
      </c>
      <c r="AE14">
        <v>64</v>
      </c>
      <c r="AF14">
        <v>29.871880182567612</v>
      </c>
      <c r="AG14">
        <v>19.220337653735751</v>
      </c>
      <c r="AH14">
        <f>36.6170745317988*1</f>
        <v>36.617074531798799</v>
      </c>
      <c r="AI14">
        <f>7.32341490635975*1</f>
        <v>7.3234149063597496</v>
      </c>
      <c r="AJ14">
        <v>1</v>
      </c>
      <c r="AK14">
        <v>0</v>
      </c>
      <c r="AL14">
        <v>1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13.04343211346832</v>
      </c>
      <c r="AG15">
        <v>18.38426172820067</v>
      </c>
      <c r="AH15">
        <f>15.9886931431938*1</f>
        <v>15.9886931431938</v>
      </c>
      <c r="AI15">
        <f>3.9787478141994*1</f>
        <v>3.9787478141994002</v>
      </c>
      <c r="AJ15">
        <v>1</v>
      </c>
      <c r="AK15">
        <v>0</v>
      </c>
      <c r="AL15">
        <v>0</v>
      </c>
    </row>
    <row r="16" spans="1:42" x14ac:dyDescent="0.2">
      <c r="A16" t="s">
        <v>73</v>
      </c>
      <c r="B16" t="s">
        <v>74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5.7</v>
      </c>
      <c r="AE16">
        <v>48</v>
      </c>
      <c r="AF16">
        <v>25.37181138369613</v>
      </c>
      <c r="AG16">
        <v>11.974938042832081</v>
      </c>
      <c r="AH16">
        <f>31.100871547607*1</f>
        <v>31.100871547606999</v>
      </c>
      <c r="AI16">
        <f>6.623213554757*1</f>
        <v>6.6232135547570001</v>
      </c>
      <c r="AJ16">
        <v>1</v>
      </c>
      <c r="AK16">
        <v>0</v>
      </c>
      <c r="AL16">
        <v>1</v>
      </c>
      <c r="AN16" t="s">
        <v>10</v>
      </c>
      <c r="AO16">
        <f>AO2-AO14*5</f>
        <v>425.88344331034386</v>
      </c>
    </row>
    <row r="17" spans="1:42" hidden="1" x14ac:dyDescent="0.2">
      <c r="A17" t="s">
        <v>75</v>
      </c>
      <c r="B17" t="s">
        <v>76</v>
      </c>
      <c r="C17" t="s">
        <v>77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17.06349206349206</v>
      </c>
      <c r="AG17">
        <v>19.872845561683221</v>
      </c>
      <c r="AH17">
        <f>20.9164992910714*1</f>
        <v>20.9164992910714</v>
      </c>
      <c r="AI17">
        <f>4.18329985821428*1</f>
        <v>4.18329985821428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</v>
      </c>
      <c r="AE18">
        <v>55</v>
      </c>
      <c r="AF18">
        <v>15.22580645161289</v>
      </c>
      <c r="AG18">
        <v>13.64196285439796</v>
      </c>
      <c r="AH18">
        <f>18.6638566517419*1</f>
        <v>18.663856651741899</v>
      </c>
      <c r="AI18">
        <f>3.73277133034838*1</f>
        <v>3.7327713303483798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11.91136484474837</v>
      </c>
      <c r="AG19">
        <v>16.413789283936481</v>
      </c>
      <c r="AH19">
        <f>14.6010003933441*1</f>
        <v>14.601000393344099</v>
      </c>
      <c r="AI19">
        <f>2.92020007866882*1</f>
        <v>2.9202000786688198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3</v>
      </c>
      <c r="AP19">
        <v>3</v>
      </c>
    </row>
    <row r="20" spans="1:42" x14ac:dyDescent="0.2">
      <c r="A20" t="s">
        <v>52</v>
      </c>
      <c r="B20" t="s">
        <v>53</v>
      </c>
      <c r="C20" t="s">
        <v>53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8.5</v>
      </c>
      <c r="AE20">
        <v>12</v>
      </c>
      <c r="AF20">
        <v>26.278953740646941</v>
      </c>
      <c r="AG20">
        <v>22.18135778417437</v>
      </c>
      <c r="AH20">
        <f>31.8783963377643*1</f>
        <v>31.8783963377643</v>
      </c>
      <c r="AI20">
        <f>6.37567926755286*1</f>
        <v>6.3756792675528597</v>
      </c>
      <c r="AJ20">
        <v>1</v>
      </c>
      <c r="AK20">
        <v>0</v>
      </c>
      <c r="AL20">
        <v>1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84</v>
      </c>
      <c r="B21" t="s">
        <v>85</v>
      </c>
      <c r="C21" t="s">
        <v>85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10.672194782453751</v>
      </c>
      <c r="AG21">
        <v>16.42721404808929</v>
      </c>
      <c r="AH21">
        <f>13.082020595243*1</f>
        <v>13.082020595243</v>
      </c>
      <c r="AI21">
        <f>1.865556065806*1</f>
        <v>1.865556065806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82</v>
      </c>
      <c r="AF22">
        <v>10.517241379310351</v>
      </c>
      <c r="AG22">
        <v>12.088189473855181</v>
      </c>
      <c r="AH22">
        <f>11.0928033727481*1</f>
        <v>11.092803372748101</v>
      </c>
      <c r="AI22">
        <f>2.21211007628532*1</f>
        <v>2.2121100762853199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88</v>
      </c>
      <c r="B23" t="s">
        <v>89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9.2222222222222214</v>
      </c>
      <c r="AG23">
        <v>7.5957544192238</v>
      </c>
      <c r="AH23">
        <f>9.6115273512126*1</f>
        <v>9.6115273512125992</v>
      </c>
      <c r="AI23">
        <f>1.92030931242561*1</f>
        <v>1.9203093124256101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89</v>
      </c>
      <c r="AF24">
        <v>13.63636363636363</v>
      </c>
      <c r="AG24">
        <v>15.485270682438721</v>
      </c>
      <c r="AH24">
        <f>14.3754023522911*1</f>
        <v>14.375402352291101</v>
      </c>
      <c r="AI24">
        <f>2.8933971210675*1</f>
        <v>2.8933971210674998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93</v>
      </c>
      <c r="B25" t="s">
        <v>94</v>
      </c>
      <c r="C25" t="s">
        <v>95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94</v>
      </c>
      <c r="AF25">
        <v>18.058754490069859</v>
      </c>
      <c r="AG25">
        <v>18.335055468661121</v>
      </c>
      <c r="AH25">
        <f>18.9540323909976*1</f>
        <v>18.9540323909976</v>
      </c>
      <c r="AI25">
        <f>2.30666188411533*1</f>
        <v>2.3066618841153299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99</v>
      </c>
      <c r="AF26">
        <v>14.848484848484841</v>
      </c>
      <c r="AG26">
        <v>13.05285802666185</v>
      </c>
      <c r="AH26">
        <f>15.5069125592683*1</f>
        <v>15.506912559268301</v>
      </c>
      <c r="AI26">
        <f>3.11098900859637*1</f>
        <v>3.1109890085963698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100</v>
      </c>
      <c r="AF27">
        <v>12.20813607487422</v>
      </c>
      <c r="AG27">
        <v>9.6543843365891302</v>
      </c>
      <c r="AH27">
        <f>12.7080975823171*1</f>
        <v>12.7080975823171</v>
      </c>
      <c r="AI27">
        <f>2.100656365876*1</f>
        <v>2.100656365876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7.2</v>
      </c>
      <c r="AE28">
        <v>102</v>
      </c>
      <c r="AF28">
        <v>26.127019315349749</v>
      </c>
      <c r="AG28">
        <v>13.80546625530522</v>
      </c>
      <c r="AH28">
        <f>26.9336490412482*1</f>
        <v>26.933649041248199</v>
      </c>
      <c r="AI28">
        <f>5.86600416368862*1</f>
        <v>5.8660041636886202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3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106</v>
      </c>
      <c r="AF29">
        <v>10.78125</v>
      </c>
      <c r="AG29">
        <v>10.572187094162439</v>
      </c>
      <c r="AH29">
        <f>11.3013730958856*1</f>
        <v>11.3013730958856</v>
      </c>
      <c r="AI29">
        <f>2.29738042341221*1</f>
        <v>2.2973804234122102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107</v>
      </c>
      <c r="AF30">
        <v>9.9999999999999964</v>
      </c>
      <c r="AG30">
        <v>7.677257050864621</v>
      </c>
      <c r="AH30">
        <f>10.4006623212032*1</f>
        <v>10.4006623212032</v>
      </c>
      <c r="AI30">
        <f>2.06858725402893*1</f>
        <v>2.0685872540289298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0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129</v>
      </c>
      <c r="AF31">
        <v>14.12621749764744</v>
      </c>
      <c r="AG31">
        <v>12.339652437652109</v>
      </c>
      <c r="AH31">
        <f>15.2708078785287*1</f>
        <v>15.2708078785287</v>
      </c>
      <c r="AI31">
        <f>2.89671181454876*1</f>
        <v>2.8967118145487598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4.7</v>
      </c>
      <c r="AE32">
        <v>135</v>
      </c>
      <c r="AF32">
        <v>10.161290322580641</v>
      </c>
      <c r="AG32">
        <v>12.50032740555713</v>
      </c>
      <c r="AH32">
        <f>11.0464305875741*1</f>
        <v>11.0464305875741</v>
      </c>
      <c r="AI32">
        <f>2.21140832335876*1</f>
        <v>2.2114083233587598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5.3</v>
      </c>
      <c r="AE33">
        <v>138</v>
      </c>
      <c r="AF33">
        <v>14.48717948717948</v>
      </c>
      <c r="AG33">
        <v>4.1823043943399716</v>
      </c>
      <c r="AH33">
        <f>15.5165112378313*1</f>
        <v>15.516511237831301</v>
      </c>
      <c r="AI33">
        <f>3.10298540108008*1</f>
        <v>3.1029854010800801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140</v>
      </c>
      <c r="AF34">
        <v>15.370370370370379</v>
      </c>
      <c r="AG34">
        <v>15.81423252326721</v>
      </c>
      <c r="AH34">
        <f>16.6564943095502*1</f>
        <v>16.656494309550201</v>
      </c>
      <c r="AI34">
        <f>3.33979783490369*1</f>
        <v>3.3397978349036901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116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4.4000000000000004</v>
      </c>
      <c r="AE35">
        <v>141</v>
      </c>
      <c r="AF35">
        <v>13.83596847720367</v>
      </c>
      <c r="AG35">
        <v>8.6355404791000243</v>
      </c>
      <c r="AH35">
        <f>14.8981897333036*1</f>
        <v>14.8981897333036</v>
      </c>
      <c r="AI35">
        <f>3.43908233915595*1</f>
        <v>3.43908233915595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5.7</v>
      </c>
      <c r="AE36">
        <v>146</v>
      </c>
      <c r="AF36">
        <v>15.255701273996729</v>
      </c>
      <c r="AG36">
        <v>16.110353581022359</v>
      </c>
      <c r="AH36">
        <f>16.5392929484034*1</f>
        <v>16.5392929484034</v>
      </c>
      <c r="AI36">
        <f>2.74486425320612*1</f>
        <v>2.7448642532061198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149</v>
      </c>
      <c r="AF37">
        <v>12.49883220910869</v>
      </c>
      <c r="AG37">
        <v>15.275259567445771</v>
      </c>
      <c r="AH37">
        <f>13.5858761720018*1</f>
        <v>13.5858761720018</v>
      </c>
      <c r="AI37">
        <f>2.71326906750564*1</f>
        <v>2.7132690675056401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3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161</v>
      </c>
      <c r="AF38">
        <v>15.339980106640761</v>
      </c>
      <c r="AG38">
        <v>14.4224526965571</v>
      </c>
      <c r="AH38">
        <f>21.0669584610719*1</f>
        <v>21.066958461071899</v>
      </c>
      <c r="AI38">
        <f>6.19670960488969*1</f>
        <v>6.1967096048896897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4.7</v>
      </c>
      <c r="AE39">
        <v>164</v>
      </c>
      <c r="AF39">
        <v>9.2413793103448221</v>
      </c>
      <c r="AG39">
        <v>9.1972492505718684</v>
      </c>
      <c r="AH39">
        <f>12.9773439908696*1</f>
        <v>12.977343990869601</v>
      </c>
      <c r="AI39">
        <f>3.39861746912199*1</f>
        <v>3.3986174691219899</v>
      </c>
      <c r="AJ39">
        <v>1</v>
      </c>
      <c r="AK39">
        <v>0</v>
      </c>
      <c r="AL39">
        <v>0</v>
      </c>
    </row>
    <row r="40" spans="1:42" x14ac:dyDescent="0.2">
      <c r="A40" t="s">
        <v>230</v>
      </c>
      <c r="B40" t="s">
        <v>231</v>
      </c>
      <c r="C40" t="s">
        <v>230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21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435</v>
      </c>
      <c r="AF40">
        <v>23.704819277108459</v>
      </c>
      <c r="AG40">
        <v>25.186711205464391</v>
      </c>
      <c r="AH40">
        <f>28.8193562809959*1</f>
        <v>28.819356280995901</v>
      </c>
      <c r="AI40">
        <f>6.29888812893671*1</f>
        <v>6.29888812893671</v>
      </c>
      <c r="AJ40">
        <v>1</v>
      </c>
      <c r="AK40">
        <v>1</v>
      </c>
      <c r="AL40">
        <v>1</v>
      </c>
    </row>
    <row r="41" spans="1:42" hidden="1" x14ac:dyDescent="0.2">
      <c r="A41" t="s">
        <v>126</v>
      </c>
      <c r="B41" t="s">
        <v>127</v>
      </c>
      <c r="C41" t="s">
        <v>128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172</v>
      </c>
      <c r="AF41">
        <v>18.966600352915069</v>
      </c>
      <c r="AG41">
        <v>11.69731425810804</v>
      </c>
      <c r="AH41">
        <f>22.6000856812103*1</f>
        <v>22.600085681210299</v>
      </c>
      <c r="AI41">
        <f>5.44304469794243*1</f>
        <v>5.4430446979424296</v>
      </c>
      <c r="AJ41">
        <v>1</v>
      </c>
      <c r="AK41">
        <v>0</v>
      </c>
      <c r="AL41">
        <v>0</v>
      </c>
    </row>
    <row r="42" spans="1:42" hidden="1" x14ac:dyDescent="0.2">
      <c r="A42" t="s">
        <v>129</v>
      </c>
      <c r="B42" t="s">
        <v>130</v>
      </c>
      <c r="C42" t="s">
        <v>129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5.2</v>
      </c>
      <c r="AE42">
        <v>173</v>
      </c>
      <c r="AF42">
        <v>20.639969709864619</v>
      </c>
      <c r="AG42">
        <v>8.9512763086428961</v>
      </c>
      <c r="AH42">
        <f>22.4709653859172*1</f>
        <v>22.4709653859172</v>
      </c>
      <c r="AI42">
        <f>3.56164921427014*1</f>
        <v>3.5616492142701399</v>
      </c>
      <c r="AJ42">
        <v>1</v>
      </c>
      <c r="AK42">
        <v>0</v>
      </c>
      <c r="AL42">
        <v>0</v>
      </c>
    </row>
    <row r="43" spans="1:42" hidden="1" x14ac:dyDescent="0.2">
      <c r="A43" t="s">
        <v>131</v>
      </c>
      <c r="B43" t="s">
        <v>132</v>
      </c>
      <c r="C43" t="s">
        <v>132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181</v>
      </c>
      <c r="AF43">
        <v>9.9203024090473733</v>
      </c>
      <c r="AG43">
        <v>18.015740792371869</v>
      </c>
      <c r="AH43">
        <f>18.5065445361707*1</f>
        <v>18.506544536170701</v>
      </c>
      <c r="AI43">
        <f>2.45747965587471*1</f>
        <v>2.4574796558747098</v>
      </c>
      <c r="AJ43">
        <v>1</v>
      </c>
      <c r="AK43">
        <v>0</v>
      </c>
      <c r="AL43">
        <v>0</v>
      </c>
    </row>
    <row r="44" spans="1:42" hidden="1" x14ac:dyDescent="0.2">
      <c r="A44" t="s">
        <v>133</v>
      </c>
      <c r="B44" t="s">
        <v>134</v>
      </c>
      <c r="C44" t="s">
        <v>134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5.7</v>
      </c>
      <c r="AE44">
        <v>191</v>
      </c>
      <c r="AF44">
        <v>11.74336784662095</v>
      </c>
      <c r="AG44">
        <v>13.200052863850271</v>
      </c>
      <c r="AH44">
        <f>17.3408881683633*1</f>
        <v>17.3408881683633</v>
      </c>
      <c r="AI44">
        <f>4.02228516494807*1</f>
        <v>4.0222851649480704</v>
      </c>
      <c r="AJ44">
        <v>1</v>
      </c>
      <c r="AK44">
        <v>0</v>
      </c>
      <c r="AL44">
        <v>0</v>
      </c>
    </row>
    <row r="45" spans="1:42" hidden="1" x14ac:dyDescent="0.2">
      <c r="A45" t="s">
        <v>135</v>
      </c>
      <c r="B45" t="s">
        <v>136</v>
      </c>
      <c r="C45" t="s">
        <v>136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4.8</v>
      </c>
      <c r="AE45">
        <v>240</v>
      </c>
      <c r="AF45">
        <v>10.68181818181818</v>
      </c>
      <c r="AG45">
        <v>10.66980132065618</v>
      </c>
      <c r="AH45">
        <f>10.3726235536868*1</f>
        <v>10.3726235536868</v>
      </c>
      <c r="AI45">
        <f>2.074524801436*1</f>
        <v>2.074524801436</v>
      </c>
      <c r="AJ45">
        <v>1</v>
      </c>
      <c r="AK45">
        <v>0</v>
      </c>
      <c r="AL45">
        <v>0</v>
      </c>
    </row>
    <row r="46" spans="1:42" hidden="1" x14ac:dyDescent="0.2">
      <c r="A46" t="s">
        <v>137</v>
      </c>
      <c r="B46" t="s">
        <v>138</v>
      </c>
      <c r="C46" t="s">
        <v>138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262</v>
      </c>
      <c r="AF46">
        <v>10.76923076923077</v>
      </c>
      <c r="AG46">
        <v>10.080814696876381</v>
      </c>
      <c r="AH46">
        <f>11.0396567256141*1</f>
        <v>11.039656725614099</v>
      </c>
      <c r="AI46">
        <f>2.83879493829181*1</f>
        <v>2.8387949382918101</v>
      </c>
      <c r="AJ46">
        <v>1</v>
      </c>
      <c r="AK46">
        <v>0</v>
      </c>
      <c r="AL46">
        <v>0</v>
      </c>
    </row>
    <row r="47" spans="1:42" hidden="1" x14ac:dyDescent="0.2">
      <c r="A47" t="s">
        <v>139</v>
      </c>
      <c r="B47" t="s">
        <v>140</v>
      </c>
      <c r="C47" t="s">
        <v>139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4.8</v>
      </c>
      <c r="AE47">
        <v>264</v>
      </c>
      <c r="AF47">
        <v>10.7</v>
      </c>
      <c r="AG47">
        <v>12.756415549662441</v>
      </c>
      <c r="AH47">
        <f>13.2786642570689*1</f>
        <v>13.2786642570689</v>
      </c>
      <c r="AI47">
        <f>3.44836096646685*1</f>
        <v>3.4483609664668502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266</v>
      </c>
      <c r="AF48">
        <v>11.20829765347343</v>
      </c>
      <c r="AG48">
        <v>10.074593234337859</v>
      </c>
      <c r="AH48">
        <f>11.1380597240788*1</f>
        <v>11.138059724078801</v>
      </c>
      <c r="AI48">
        <f>2.42313409064423*1</f>
        <v>2.42313409064423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6.3</v>
      </c>
      <c r="AE49">
        <v>271</v>
      </c>
      <c r="AF49">
        <v>9.5908167013866485</v>
      </c>
      <c r="AG49">
        <v>10.537944338399759</v>
      </c>
      <c r="AH49">
        <f>11.1468065683406*1</f>
        <v>11.146806568340599</v>
      </c>
      <c r="AI49">
        <f>2.7633729751121*1</f>
        <v>2.7633729751120999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147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6.8</v>
      </c>
      <c r="AE50">
        <v>272</v>
      </c>
      <c r="AF50">
        <v>14.500000000000011</v>
      </c>
      <c r="AG50">
        <v>14.8373365956952</v>
      </c>
      <c r="AH50">
        <f>15.9297776568411*1</f>
        <v>15.9297776568411</v>
      </c>
      <c r="AI50">
        <f>4.47658724828392*1</f>
        <v>4.47658724828392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149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6.9</v>
      </c>
      <c r="AE51">
        <v>277</v>
      </c>
      <c r="AF51">
        <v>16.433083567178102</v>
      </c>
      <c r="AG51">
        <v>24.27591473481192</v>
      </c>
      <c r="AH51">
        <f>24.3421885781853*1</f>
        <v>24.342188578185301</v>
      </c>
      <c r="AI51">
        <f>6.5599377428043*1</f>
        <v>6.5599377428043004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152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278</v>
      </c>
      <c r="AF52">
        <v>13.28205128205127</v>
      </c>
      <c r="AG52">
        <v>12.790066145202809</v>
      </c>
      <c r="AH52">
        <f>13.9165551680727*1</f>
        <v>13.9165551680727</v>
      </c>
      <c r="AI52">
        <f>3.32440576827124*1</f>
        <v>3.32440576827124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5.7</v>
      </c>
      <c r="AE53">
        <v>280</v>
      </c>
      <c r="AF53">
        <v>27.986250711077599</v>
      </c>
      <c r="AG53">
        <v>12.94553249185833</v>
      </c>
      <c r="AH53">
        <f>17.5187143114695*1</f>
        <v>17.518714311469498</v>
      </c>
      <c r="AI53">
        <f>4.04262733649699*1</f>
        <v>4.0426273364969898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283</v>
      </c>
      <c r="AF54">
        <v>10.56</v>
      </c>
      <c r="AG54">
        <v>6.2082158892002068</v>
      </c>
      <c r="AH54">
        <f>7.72592662442692*1</f>
        <v>7.7259266244269202</v>
      </c>
      <c r="AI54">
        <f>2.07094969376042*1</f>
        <v>2.0709496937604199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158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4.7</v>
      </c>
      <c r="AE55">
        <v>305</v>
      </c>
      <c r="AF55">
        <v>14.370833192318059</v>
      </c>
      <c r="AG55">
        <v>15.101874262545049</v>
      </c>
      <c r="AH55">
        <f>15.3249744148763*1</f>
        <v>15.3249744148763</v>
      </c>
      <c r="AI55">
        <f>2.59463164191334*1</f>
        <v>2.5946316419133399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306</v>
      </c>
      <c r="AF56">
        <v>14.19444444444443</v>
      </c>
      <c r="AG56">
        <v>12.8030071330483</v>
      </c>
      <c r="AH56">
        <f>15.1368737079834*1</f>
        <v>15.136873707983399</v>
      </c>
      <c r="AI56">
        <f>3.02737478620265*1</f>
        <v>3.0273747862026501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</v>
      </c>
      <c r="AE57">
        <v>311</v>
      </c>
      <c r="AF57">
        <v>18.77551020408163</v>
      </c>
      <c r="AG57">
        <v>16.05376886588472</v>
      </c>
      <c r="AH57">
        <f>20.0220955045252*1</f>
        <v>20.0220955045252</v>
      </c>
      <c r="AI57">
        <f>4.00441936192605*1</f>
        <v>4.0044193619260504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315</v>
      </c>
      <c r="AF58">
        <v>18.348371113131371</v>
      </c>
      <c r="AG58">
        <v>19.842007128559821</v>
      </c>
      <c r="AH58">
        <f>19.5665983295667*1</f>
        <v>19.566598329566698</v>
      </c>
      <c r="AI58">
        <f>4.34929743190727*1</f>
        <v>4.3492974319072699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4.7</v>
      </c>
      <c r="AE59">
        <v>316</v>
      </c>
      <c r="AF59">
        <v>14.402883948147119</v>
      </c>
      <c r="AG59">
        <v>14.79459258907373</v>
      </c>
      <c r="AH59">
        <f>15.3591530361644*1</f>
        <v>15.3591530361644</v>
      </c>
      <c r="AI59">
        <f>3.2490607904174*1</f>
        <v>3.2490607904174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317</v>
      </c>
      <c r="AF60">
        <v>12.124999999999989</v>
      </c>
      <c r="AG60">
        <v>11.139030282431589</v>
      </c>
      <c r="AH60">
        <f>12.9300301574642*1</f>
        <v>12.9300301574642</v>
      </c>
      <c r="AI60">
        <f>2.58600614934863*1</f>
        <v>2.5860061493486302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</v>
      </c>
      <c r="AE61">
        <v>319</v>
      </c>
      <c r="AF61">
        <v>14.358087990515051</v>
      </c>
      <c r="AG61">
        <v>14.441627094474519</v>
      </c>
      <c r="AH61">
        <f>15.3113827737573*1</f>
        <v>15.3113827737573</v>
      </c>
      <c r="AI61">
        <f>3.34595765161949*1</f>
        <v>3.3459576516194902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174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327</v>
      </c>
      <c r="AF62">
        <v>13.231493072777001</v>
      </c>
      <c r="AG62">
        <v>12.050418646166101</v>
      </c>
      <c r="AH62">
        <f>14.1099879591433*1</f>
        <v>14.1099879591433</v>
      </c>
      <c r="AI62">
        <f>2.89070205360655*1</f>
        <v>2.89070205360655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176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4.2</v>
      </c>
      <c r="AE63">
        <v>342</v>
      </c>
      <c r="AF63">
        <v>13.71428571428571</v>
      </c>
      <c r="AG63">
        <v>12.07171058136273</v>
      </c>
      <c r="AH63">
        <f>12.5047068402632*1</f>
        <v>12.5047068402632</v>
      </c>
      <c r="AI63">
        <f>2.45072616129818*1</f>
        <v>2.4507261612981801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346</v>
      </c>
      <c r="AF64">
        <v>14.737294403329949</v>
      </c>
      <c r="AG64">
        <v>12.35918034914109</v>
      </c>
      <c r="AH64">
        <f>13.1348048768129*1</f>
        <v>13.1348048768129</v>
      </c>
      <c r="AI64">
        <f>2.542757465207*1</f>
        <v>2.542757465207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347</v>
      </c>
      <c r="AF65">
        <v>12.19023783274671</v>
      </c>
      <c r="AG65">
        <v>10.798023213075471</v>
      </c>
      <c r="AH65">
        <f>11.1485664484921*1</f>
        <v>11.148566448492099</v>
      </c>
      <c r="AI65">
        <f>2.67333441908037*1</f>
        <v>2.6733344190803701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353</v>
      </c>
      <c r="AF66">
        <v>15.78804347826088</v>
      </c>
      <c r="AG66">
        <v>14.59530983496059</v>
      </c>
      <c r="AH66">
        <f>14.7403166771569*1</f>
        <v>14.740316677156899</v>
      </c>
      <c r="AI66">
        <f>3.07462710317441*1</f>
        <v>3.0746271031744099</v>
      </c>
      <c r="AJ66">
        <v>1</v>
      </c>
      <c r="AK66">
        <v>0</v>
      </c>
      <c r="AL66">
        <v>0</v>
      </c>
    </row>
    <row r="67" spans="1:38" hidden="1" x14ac:dyDescent="0.2">
      <c r="A67" t="s">
        <v>184</v>
      </c>
      <c r="B67" t="s">
        <v>185</v>
      </c>
      <c r="C67" t="s">
        <v>185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4.5999999999999996</v>
      </c>
      <c r="AE67">
        <v>354</v>
      </c>
      <c r="AF67">
        <v>14.01737422571339</v>
      </c>
      <c r="AG67">
        <v>15.01945552563221</v>
      </c>
      <c r="AH67">
        <f>14.1048219805513*1</f>
        <v>14.1048219805513</v>
      </c>
      <c r="AI67">
        <f>2.60633298576653*1</f>
        <v>2.6063329857665298</v>
      </c>
      <c r="AJ67">
        <v>1</v>
      </c>
      <c r="AK67">
        <v>0</v>
      </c>
      <c r="AL67">
        <v>0</v>
      </c>
    </row>
    <row r="68" spans="1:38" hidden="1" x14ac:dyDescent="0.2">
      <c r="A68" t="s">
        <v>159</v>
      </c>
      <c r="B68" t="s">
        <v>186</v>
      </c>
      <c r="C68" t="s">
        <v>186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357</v>
      </c>
      <c r="AF68">
        <v>17.67499999999999</v>
      </c>
      <c r="AG68">
        <v>16.844066678669439</v>
      </c>
      <c r="AH68">
        <f>16.7510821944213*1</f>
        <v>16.751082194421301</v>
      </c>
      <c r="AI68">
        <f>3.35253097153794*1</f>
        <v>3.3525309715379401</v>
      </c>
      <c r="AJ68">
        <v>1</v>
      </c>
      <c r="AK68">
        <v>0</v>
      </c>
      <c r="AL68">
        <v>0</v>
      </c>
    </row>
    <row r="69" spans="1:38" hidden="1" x14ac:dyDescent="0.2">
      <c r="A69" t="s">
        <v>187</v>
      </c>
      <c r="B69" t="s">
        <v>188</v>
      </c>
      <c r="C69" t="s">
        <v>188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5.3</v>
      </c>
      <c r="AE69">
        <v>374</v>
      </c>
      <c r="AF69">
        <v>17.283559468164629</v>
      </c>
      <c r="AG69">
        <v>13.099621460325221</v>
      </c>
      <c r="AH69">
        <f>12.2293715265821*1</f>
        <v>12.229371526582099</v>
      </c>
      <c r="AI69">
        <f>2.57113531234262*1</f>
        <v>2.5711353123426202</v>
      </c>
      <c r="AJ69">
        <v>1</v>
      </c>
      <c r="AK69">
        <v>0</v>
      </c>
      <c r="AL69">
        <v>0</v>
      </c>
    </row>
    <row r="70" spans="1:38" hidden="1" x14ac:dyDescent="0.2">
      <c r="A70" t="s">
        <v>189</v>
      </c>
      <c r="B70" t="s">
        <v>190</v>
      </c>
      <c r="C70" t="s">
        <v>189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5.3</v>
      </c>
      <c r="AE70">
        <v>375</v>
      </c>
      <c r="AF70">
        <v>17.21311475409837</v>
      </c>
      <c r="AG70">
        <v>23.606248396218561</v>
      </c>
      <c r="AH70">
        <f>22.0379891886481*1</f>
        <v>22.037989188648101</v>
      </c>
      <c r="AI70">
        <f>5.30265246643051*1</f>
        <v>5.3026524664305104</v>
      </c>
      <c r="AJ70">
        <v>1</v>
      </c>
      <c r="AK70">
        <v>0</v>
      </c>
      <c r="AL70">
        <v>0</v>
      </c>
    </row>
    <row r="71" spans="1:38" hidden="1" x14ac:dyDescent="0.2">
      <c r="A71" t="s">
        <v>191</v>
      </c>
      <c r="B71" t="s">
        <v>192</v>
      </c>
      <c r="C71" t="s">
        <v>192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378</v>
      </c>
      <c r="AF71">
        <v>16.463596543452681</v>
      </c>
      <c r="AG71">
        <v>12.606040011025881</v>
      </c>
      <c r="AH71">
        <f>11.7685800327049*1</f>
        <v>11.7685800327049</v>
      </c>
      <c r="AI71">
        <f>2.38777985359483*1</f>
        <v>2.38777985359483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383</v>
      </c>
      <c r="AF72">
        <v>17.796685352850901</v>
      </c>
      <c r="AG72">
        <v>16.840510314890071</v>
      </c>
      <c r="AH72">
        <f>15.7217346752722*1</f>
        <v>15.7217346752722</v>
      </c>
      <c r="AI72">
        <f>4.58997395266707*1</f>
        <v>4.5899739526670702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391</v>
      </c>
      <c r="AF73">
        <v>12.89772727272727</v>
      </c>
      <c r="AG73">
        <v>11.35727313294124</v>
      </c>
      <c r="AH73">
        <f>10.6027699554569*1</f>
        <v>10.6027699554569</v>
      </c>
      <c r="AI73">
        <f>2.83835782168005*1</f>
        <v>2.83835782168005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396</v>
      </c>
      <c r="AF74">
        <v>13.23529411764706</v>
      </c>
      <c r="AG74">
        <v>10.432391275296339</v>
      </c>
      <c r="AH74">
        <f>9.73933323994022*1</f>
        <v>9.7393332399402208</v>
      </c>
      <c r="AI74">
        <f>1.73822905614549*1</f>
        <v>1.7382290561454901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199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398</v>
      </c>
      <c r="AF75">
        <v>19.392588823308579</v>
      </c>
      <c r="AG75">
        <v>25.19835725271329</v>
      </c>
      <c r="AH75">
        <f>23.5243292543163*1</f>
        <v>23.524329254316299</v>
      </c>
      <c r="AI75">
        <f>6.64911169420538*1</f>
        <v>6.6491116942053798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405</v>
      </c>
      <c r="AF76">
        <v>17.425125353572358</v>
      </c>
      <c r="AG76">
        <v>14.95539827252334</v>
      </c>
      <c r="AH76">
        <f>13.9618597633048*1</f>
        <v>13.961859763304799</v>
      </c>
      <c r="AI76">
        <f>3.07154647694868*1</f>
        <v>3.0715464769486802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8.5</v>
      </c>
      <c r="AE77">
        <v>412</v>
      </c>
      <c r="AF77">
        <v>26.294961512442839</v>
      </c>
      <c r="AG77">
        <v>25.250238678744779</v>
      </c>
      <c r="AH77">
        <f>0*0</f>
        <v>0</v>
      </c>
      <c r="AI77">
        <f>5.36743720159912*0</f>
        <v>0</v>
      </c>
      <c r="AJ77">
        <v>0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207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413</v>
      </c>
      <c r="AF78">
        <v>21.722933004198811</v>
      </c>
      <c r="AG78">
        <v>21.31580749741957</v>
      </c>
      <c r="AH78">
        <f>0*0</f>
        <v>0</v>
      </c>
      <c r="AI78">
        <f>4.78914480378523*0</f>
        <v>0</v>
      </c>
      <c r="AJ78">
        <v>0</v>
      </c>
      <c r="AK78">
        <v>0</v>
      </c>
      <c r="AL78">
        <v>0</v>
      </c>
    </row>
    <row r="79" spans="1:38" hidden="1" x14ac:dyDescent="0.2">
      <c r="A79" t="s">
        <v>208</v>
      </c>
      <c r="B79" t="s">
        <v>209</v>
      </c>
      <c r="C79" t="s">
        <v>208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7.5</v>
      </c>
      <c r="AE79">
        <v>415</v>
      </c>
      <c r="AF79">
        <v>19.716981132075471</v>
      </c>
      <c r="AG79">
        <v>18.387789442517651</v>
      </c>
      <c r="AH79">
        <f>21.0398352861917*1</f>
        <v>21.0398352861917</v>
      </c>
      <c r="AI79">
        <f>4.61144887128702*1</f>
        <v>4.6114488712870196</v>
      </c>
      <c r="AJ79">
        <v>1</v>
      </c>
      <c r="AK79">
        <v>0</v>
      </c>
      <c r="AL79">
        <v>0</v>
      </c>
    </row>
    <row r="80" spans="1:38" hidden="1" x14ac:dyDescent="0.2">
      <c r="A80" t="s">
        <v>210</v>
      </c>
      <c r="B80" t="s">
        <v>211</v>
      </c>
      <c r="C80" t="s">
        <v>212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>
        <v>416</v>
      </c>
      <c r="AF80">
        <v>21.842105263157901</v>
      </c>
      <c r="AG80">
        <v>21.93270834763744</v>
      </c>
      <c r="AH80">
        <f>25.0960330200078*1</f>
        <v>25.096033020007798</v>
      </c>
      <c r="AI80">
        <f>5.17734832720938*1</f>
        <v>5.1773483272093799</v>
      </c>
      <c r="AJ80">
        <v>1</v>
      </c>
      <c r="AK80">
        <v>0</v>
      </c>
      <c r="AL80">
        <v>0</v>
      </c>
    </row>
    <row r="81" spans="1:38" hidden="1" x14ac:dyDescent="0.2">
      <c r="A81" t="s">
        <v>213</v>
      </c>
      <c r="B81" t="s">
        <v>214</v>
      </c>
      <c r="C81" t="s">
        <v>214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417</v>
      </c>
      <c r="AF81">
        <v>10.54613987655333</v>
      </c>
      <c r="AG81">
        <v>8.216305337074628</v>
      </c>
      <c r="AH81">
        <f>9.4013318726277*1</f>
        <v>9.4013318726277006</v>
      </c>
      <c r="AI81">
        <f>1.86377995435022*1</f>
        <v>1.86377995435022</v>
      </c>
      <c r="AJ81">
        <v>1</v>
      </c>
      <c r="AK81">
        <v>0</v>
      </c>
      <c r="AL81">
        <v>0</v>
      </c>
    </row>
    <row r="82" spans="1:38" hidden="1" x14ac:dyDescent="0.2">
      <c r="A82" t="s">
        <v>215</v>
      </c>
      <c r="B82" t="s">
        <v>216</v>
      </c>
      <c r="C82" t="s">
        <v>216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7.2</v>
      </c>
      <c r="AE82">
        <v>419</v>
      </c>
      <c r="AF82">
        <v>12.821800964385121</v>
      </c>
      <c r="AG82">
        <v>16.826346482705748</v>
      </c>
      <c r="AH82">
        <f>19.2531875335662*1</f>
        <v>19.253187533566201</v>
      </c>
      <c r="AI82">
        <f>5.29687197449674*1</f>
        <v>5.2968719744967396</v>
      </c>
      <c r="AJ82">
        <v>1</v>
      </c>
      <c r="AK82">
        <v>0</v>
      </c>
      <c r="AL82">
        <v>0</v>
      </c>
    </row>
    <row r="83" spans="1:38" hidden="1" x14ac:dyDescent="0.2">
      <c r="A83" t="s">
        <v>217</v>
      </c>
      <c r="B83" t="s">
        <v>218</v>
      </c>
      <c r="C83" t="s">
        <v>218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420</v>
      </c>
      <c r="AF83">
        <v>13.913043478260869</v>
      </c>
      <c r="AG83">
        <v>12.27408800725531</v>
      </c>
      <c r="AH83">
        <f>14.0443630142805*1</f>
        <v>14.044363014280499</v>
      </c>
      <c r="AI83">
        <f>5.73116556761397*1</f>
        <v>5.7311655676139699</v>
      </c>
      <c r="AJ83">
        <v>1</v>
      </c>
      <c r="AK83">
        <v>0</v>
      </c>
      <c r="AL83">
        <v>0</v>
      </c>
    </row>
    <row r="84" spans="1:38" hidden="1" x14ac:dyDescent="0.2">
      <c r="A84" t="s">
        <v>219</v>
      </c>
      <c r="B84" t="s">
        <v>220</v>
      </c>
      <c r="C84" t="s">
        <v>220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424</v>
      </c>
      <c r="AF84">
        <v>14.456521739130441</v>
      </c>
      <c r="AG84">
        <v>15.014138071936941</v>
      </c>
      <c r="AH84">
        <f>17.179606770309*1</f>
        <v>17.179606770309</v>
      </c>
      <c r="AI84">
        <f>3.92330219069937*1</f>
        <v>3.9233021906993701</v>
      </c>
      <c r="AJ84">
        <v>1</v>
      </c>
      <c r="AK84">
        <v>0</v>
      </c>
      <c r="AL84">
        <v>0</v>
      </c>
    </row>
    <row r="85" spans="1:38" hidden="1" x14ac:dyDescent="0.2">
      <c r="A85" t="s">
        <v>221</v>
      </c>
      <c r="B85" t="s">
        <v>222</v>
      </c>
      <c r="C85" t="s">
        <v>223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7.5</v>
      </c>
      <c r="AE85">
        <v>425</v>
      </c>
      <c r="AF85">
        <v>17.88461538461538</v>
      </c>
      <c r="AG85">
        <v>14.844757344089629</v>
      </c>
      <c r="AH85">
        <f>16.9857964906284*1</f>
        <v>16.985796490628399</v>
      </c>
      <c r="AI85">
        <f>3.64727143353241*1</f>
        <v>3.6472714335324099</v>
      </c>
      <c r="AJ85">
        <v>1</v>
      </c>
      <c r="AK85">
        <v>0</v>
      </c>
      <c r="AL85">
        <v>0</v>
      </c>
    </row>
    <row r="86" spans="1:38" hidden="1" x14ac:dyDescent="0.2">
      <c r="A86" t="s">
        <v>224</v>
      </c>
      <c r="B86" t="s">
        <v>225</v>
      </c>
      <c r="C86" t="s">
        <v>225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5.8</v>
      </c>
      <c r="AE86">
        <v>426</v>
      </c>
      <c r="AF86">
        <v>15.84043428415796</v>
      </c>
      <c r="AG86">
        <v>13.437137747167579</v>
      </c>
      <c r="AH86">
        <f>15.3751578351533*1</f>
        <v>15.375157835153299</v>
      </c>
      <c r="AI86">
        <f>2.84627195238978*1</f>
        <v>2.8462719523897801</v>
      </c>
      <c r="AJ86">
        <v>1</v>
      </c>
      <c r="AK86">
        <v>0</v>
      </c>
      <c r="AL86">
        <v>0</v>
      </c>
    </row>
    <row r="87" spans="1:38" x14ac:dyDescent="0.2">
      <c r="A87" t="s">
        <v>236</v>
      </c>
      <c r="B87" t="s">
        <v>237</v>
      </c>
      <c r="C87" t="s">
        <v>237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5.2</v>
      </c>
      <c r="AE87">
        <v>467</v>
      </c>
      <c r="AF87">
        <v>18.65384615384615</v>
      </c>
      <c r="AG87">
        <v>18.833260204922301</v>
      </c>
      <c r="AH87">
        <f>30.98915795925*1</f>
        <v>30.989157959250001</v>
      </c>
      <c r="AI87">
        <f>6.19783159185*1</f>
        <v>6.19783159185</v>
      </c>
      <c r="AJ87">
        <v>1</v>
      </c>
      <c r="AK87">
        <v>1</v>
      </c>
      <c r="AL87">
        <v>1</v>
      </c>
    </row>
    <row r="88" spans="1:38" x14ac:dyDescent="0.2">
      <c r="A88" t="s">
        <v>56</v>
      </c>
      <c r="B88" t="s">
        <v>57</v>
      </c>
      <c r="C88" t="s">
        <v>57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11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5.8</v>
      </c>
      <c r="AE88">
        <v>18</v>
      </c>
      <c r="AF88">
        <v>21.342931404422711</v>
      </c>
      <c r="AG88">
        <v>20.181002415992889</v>
      </c>
      <c r="AH88">
        <f>25.8906208000027*1</f>
        <v>25.890620800002701</v>
      </c>
      <c r="AI88">
        <f>5.70740156665581*1</f>
        <v>5.7074015666558102</v>
      </c>
      <c r="AJ88">
        <v>1</v>
      </c>
      <c r="AK88">
        <v>1</v>
      </c>
      <c r="AL88">
        <v>1</v>
      </c>
    </row>
    <row r="89" spans="1:38" x14ac:dyDescent="0.2">
      <c r="A89" t="s">
        <v>69</v>
      </c>
      <c r="B89" t="s">
        <v>70</v>
      </c>
      <c r="C89" t="s">
        <v>70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12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5.7</v>
      </c>
      <c r="AE89">
        <v>39</v>
      </c>
      <c r="AF89">
        <v>24.597596128874009</v>
      </c>
      <c r="AG89">
        <v>13.896771924206361</v>
      </c>
      <c r="AH89">
        <f>30.1518352795109*1</f>
        <v>30.151835279510902</v>
      </c>
      <c r="AI89">
        <f>5.39666997078208*1</f>
        <v>5.3966699707820798</v>
      </c>
      <c r="AJ89">
        <v>1</v>
      </c>
      <c r="AK89">
        <v>0</v>
      </c>
      <c r="AL89">
        <v>1</v>
      </c>
    </row>
    <row r="90" spans="1:38" hidden="1" x14ac:dyDescent="0.2">
      <c r="A90" t="s">
        <v>232</v>
      </c>
      <c r="B90" t="s">
        <v>233</v>
      </c>
      <c r="C90" t="s">
        <v>233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455</v>
      </c>
      <c r="AF90">
        <v>17.95454545454545</v>
      </c>
      <c r="AG90">
        <v>14.84763871194113</v>
      </c>
      <c r="AH90">
        <f>0*0</f>
        <v>0</v>
      </c>
      <c r="AI90">
        <f>5.96548551530454*0</f>
        <v>0</v>
      </c>
      <c r="AJ90">
        <v>0</v>
      </c>
      <c r="AK90">
        <v>0</v>
      </c>
      <c r="AL90">
        <v>0</v>
      </c>
    </row>
    <row r="91" spans="1:38" x14ac:dyDescent="0.2">
      <c r="A91" t="s">
        <v>64</v>
      </c>
      <c r="B91" t="s">
        <v>65</v>
      </c>
      <c r="C91" t="s">
        <v>66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11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26</v>
      </c>
      <c r="AF91">
        <v>20.670731707317071</v>
      </c>
      <c r="AG91">
        <v>20.98670551666018</v>
      </c>
      <c r="AH91">
        <f>25.0751907576219*1</f>
        <v>25.0751907576219</v>
      </c>
      <c r="AI91">
        <f>5.01503815152439*1</f>
        <v>5.01503815152439</v>
      </c>
      <c r="AJ91">
        <v>1</v>
      </c>
      <c r="AK91">
        <v>0</v>
      </c>
      <c r="AL91">
        <v>1</v>
      </c>
    </row>
    <row r="92" spans="1:38" x14ac:dyDescent="0.2">
      <c r="A92" t="s">
        <v>368</v>
      </c>
      <c r="B92" t="s">
        <v>369</v>
      </c>
      <c r="C92" t="s">
        <v>370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30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5</v>
      </c>
      <c r="AE92">
        <v>816</v>
      </c>
      <c r="AF92">
        <v>19.222910225034621</v>
      </c>
      <c r="AG92">
        <v>21.30929203711483</v>
      </c>
      <c r="AH92">
        <f>23.3101225611418*1</f>
        <v>23.310122561141799</v>
      </c>
      <c r="AI92">
        <f>4.93693056422982*1</f>
        <v>4.9369305642298196</v>
      </c>
      <c r="AJ92">
        <v>1</v>
      </c>
      <c r="AK92">
        <v>0</v>
      </c>
      <c r="AL92">
        <v>1</v>
      </c>
    </row>
    <row r="93" spans="1:38" hidden="1" x14ac:dyDescent="0.2">
      <c r="A93" t="s">
        <v>238</v>
      </c>
      <c r="B93" t="s">
        <v>239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4.7</v>
      </c>
      <c r="AE93">
        <v>486</v>
      </c>
      <c r="AF93">
        <v>9.7323682198791346</v>
      </c>
      <c r="AG93">
        <v>8.2256491321720091</v>
      </c>
      <c r="AH93">
        <f>16.1681346353997*1</f>
        <v>16.168134635399699</v>
      </c>
      <c r="AI93">
        <f>3.26459609811808*1</f>
        <v>3.2645960981180799</v>
      </c>
      <c r="AJ93">
        <v>1</v>
      </c>
      <c r="AK93">
        <v>0</v>
      </c>
      <c r="AL93">
        <v>0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489</v>
      </c>
      <c r="AF94">
        <v>15.54560050447243</v>
      </c>
      <c r="AG94">
        <v>13.09083048510819</v>
      </c>
      <c r="AH94">
        <f>25.825508886014*1</f>
        <v>25.825508886013999</v>
      </c>
      <c r="AI94">
        <f>5.91671206131508*1</f>
        <v>5.9167120613150797</v>
      </c>
      <c r="AJ94">
        <v>1</v>
      </c>
      <c r="AK94">
        <v>0</v>
      </c>
      <c r="AL94">
        <v>0</v>
      </c>
    </row>
    <row r="95" spans="1:38" hidden="1" x14ac:dyDescent="0.2">
      <c r="A95" t="s">
        <v>242</v>
      </c>
      <c r="B95" t="s">
        <v>243</v>
      </c>
      <c r="C95" t="s">
        <v>243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500</v>
      </c>
      <c r="AF95">
        <v>12.84101165281831</v>
      </c>
      <c r="AG95">
        <v>13.077641020922989</v>
      </c>
      <c r="AH95">
        <f>12.9957525483995*1</f>
        <v>12.9957525483995</v>
      </c>
      <c r="AI95">
        <f>4.05976662750456*1</f>
        <v>4.0597666275045601</v>
      </c>
      <c r="AJ95">
        <v>1</v>
      </c>
      <c r="AK95">
        <v>0</v>
      </c>
      <c r="AL95">
        <v>0</v>
      </c>
    </row>
    <row r="96" spans="1:38" hidden="1" x14ac:dyDescent="0.2">
      <c r="A96" t="s">
        <v>244</v>
      </c>
      <c r="B96" t="s">
        <v>245</v>
      </c>
      <c r="C96" t="s">
        <v>245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5.0999999999999996</v>
      </c>
      <c r="AE96">
        <v>501</v>
      </c>
      <c r="AF96">
        <v>13.159420289855071</v>
      </c>
      <c r="AG96">
        <v>11.36076705994131</v>
      </c>
      <c r="AH96">
        <f>13.3179980090887*1</f>
        <v>13.317998009088701</v>
      </c>
      <c r="AI96">
        <f>3.32949942102918*1</f>
        <v>3.3294994210291802</v>
      </c>
      <c r="AJ96">
        <v>1</v>
      </c>
      <c r="AK96">
        <v>0</v>
      </c>
      <c r="AL96">
        <v>0</v>
      </c>
    </row>
    <row r="97" spans="1:38" hidden="1" x14ac:dyDescent="0.2">
      <c r="A97" t="s">
        <v>246</v>
      </c>
      <c r="B97" t="s">
        <v>247</v>
      </c>
      <c r="C97" t="s">
        <v>248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6.5</v>
      </c>
      <c r="AE97">
        <v>502</v>
      </c>
      <c r="AF97">
        <v>15.07142857142858</v>
      </c>
      <c r="AG97">
        <v>14.549899599351511</v>
      </c>
      <c r="AH97">
        <f>15.2530470902613*1</f>
        <v>15.253047090261299</v>
      </c>
      <c r="AI97">
        <f>3.81326175438253*1</f>
        <v>3.81326175438253</v>
      </c>
      <c r="AJ97">
        <v>1</v>
      </c>
      <c r="AK97">
        <v>0</v>
      </c>
      <c r="AL97">
        <v>0</v>
      </c>
    </row>
    <row r="98" spans="1:38" hidden="1" x14ac:dyDescent="0.2">
      <c r="A98" t="s">
        <v>249</v>
      </c>
      <c r="B98" t="s">
        <v>250</v>
      </c>
      <c r="C98" t="s">
        <v>249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6.2</v>
      </c>
      <c r="AE98">
        <v>503</v>
      </c>
      <c r="AF98">
        <v>14.96296296296296</v>
      </c>
      <c r="AG98">
        <v>15.268035988451871</v>
      </c>
      <c r="AH98">
        <f>15.1432744822425*1</f>
        <v>15.1432744822425</v>
      </c>
      <c r="AI98">
        <f>3.78581852112338*1</f>
        <v>3.7858185211233799</v>
      </c>
      <c r="AJ98">
        <v>1</v>
      </c>
      <c r="AK98">
        <v>0</v>
      </c>
      <c r="AL98">
        <v>0</v>
      </c>
    </row>
    <row r="99" spans="1:38" hidden="1" x14ac:dyDescent="0.2">
      <c r="A99" t="s">
        <v>251</v>
      </c>
      <c r="B99" t="s">
        <v>252</v>
      </c>
      <c r="C99" t="s">
        <v>251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509</v>
      </c>
      <c r="AF99">
        <v>11.913043478260869</v>
      </c>
      <c r="AG99">
        <v>11.75425951384041</v>
      </c>
      <c r="AH99">
        <f>12.0566018418892*1</f>
        <v>12.056601841889201</v>
      </c>
      <c r="AI99">
        <f>3.01415042751882*1</f>
        <v>3.0141504275188198</v>
      </c>
      <c r="AJ99">
        <v>1</v>
      </c>
      <c r="AK99">
        <v>0</v>
      </c>
      <c r="AL99">
        <v>0</v>
      </c>
    </row>
    <row r="100" spans="1:38" hidden="1" x14ac:dyDescent="0.2">
      <c r="A100" t="s">
        <v>253</v>
      </c>
      <c r="B100" t="s">
        <v>254</v>
      </c>
      <c r="C100" t="s">
        <v>255</v>
      </c>
      <c r="D100" t="s">
        <v>3</v>
      </c>
      <c r="E100">
        <v>1</v>
      </c>
      <c r="F100">
        <v>0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510</v>
      </c>
      <c r="AF100">
        <v>15.612244897959171</v>
      </c>
      <c r="AG100">
        <v>15.1887171428336</v>
      </c>
      <c r="AH100">
        <f>15.8003805431127*1</f>
        <v>15.8003805431127</v>
      </c>
      <c r="AI100">
        <f>3.95009501590754*1</f>
        <v>3.9500950159075399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257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8.1</v>
      </c>
      <c r="AE101">
        <v>511</v>
      </c>
      <c r="AF101">
        <v>25.877880454205741</v>
      </c>
      <c r="AG101">
        <v>15.34008837659599</v>
      </c>
      <c r="AH101">
        <f>26.1897215267875*1</f>
        <v>26.189721526787501</v>
      </c>
      <c r="AI101">
        <f>5.07140427719751*1</f>
        <v>5.0714042771975096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14.3</v>
      </c>
      <c r="AE102">
        <v>513</v>
      </c>
      <c r="AF102">
        <v>30.867924528301899</v>
      </c>
      <c r="AG102">
        <v>26.282297286094771</v>
      </c>
      <c r="AH102">
        <f>31.2398987161806*1</f>
        <v>31.239898716180601</v>
      </c>
      <c r="AI102">
        <f>7.80997456020181*1</f>
        <v>7.8099745602018098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260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5.6</v>
      </c>
      <c r="AE103">
        <v>520</v>
      </c>
      <c r="AF103">
        <v>13.96350431997255</v>
      </c>
      <c r="AG103">
        <v>11.619905011724111</v>
      </c>
      <c r="AH103">
        <f>14.131771625924*1</f>
        <v>14.131771625923999</v>
      </c>
      <c r="AI103">
        <f>4.36131434744937*1</f>
        <v>4.3613143474493699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524</v>
      </c>
      <c r="AF104">
        <v>12.70621746376302</v>
      </c>
      <c r="AG104">
        <v>15.40633391523159</v>
      </c>
      <c r="AH104">
        <f>0*0</f>
        <v>0</v>
      </c>
      <c r="AI104">
        <f>3.21483343764343*0</f>
        <v>0</v>
      </c>
      <c r="AJ104">
        <v>0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266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8.1999999999999993</v>
      </c>
      <c r="AE105">
        <v>535</v>
      </c>
      <c r="AF105">
        <v>16.67796610169491</v>
      </c>
      <c r="AG105">
        <v>20.377606702346188</v>
      </c>
      <c r="AH105">
        <f>17.6746676454687*1</f>
        <v>17.674667645468698</v>
      </c>
      <c r="AI105">
        <f>4.41866713835971*1</f>
        <v>4.4186671383597096</v>
      </c>
      <c r="AJ105">
        <v>1</v>
      </c>
      <c r="AK105">
        <v>0</v>
      </c>
      <c r="AL105">
        <v>0</v>
      </c>
    </row>
    <row r="106" spans="1:38" hidden="1" x14ac:dyDescent="0.2">
      <c r="A106" t="s">
        <v>210</v>
      </c>
      <c r="B106" t="s">
        <v>267</v>
      </c>
      <c r="C106" t="s">
        <v>268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5.2</v>
      </c>
      <c r="AE106">
        <v>539</v>
      </c>
      <c r="AF106">
        <v>14</v>
      </c>
      <c r="AG106">
        <v>13.7612313620017</v>
      </c>
      <c r="AH106">
        <f>14.8366612462649*1</f>
        <v>14.836661246264899</v>
      </c>
      <c r="AI106">
        <f>3.70916534715935*1</f>
        <v>3.7091653471593502</v>
      </c>
      <c r="AJ106">
        <v>1</v>
      </c>
      <c r="AK106">
        <v>0</v>
      </c>
      <c r="AL106">
        <v>0</v>
      </c>
    </row>
    <row r="107" spans="1:38" hidden="1" x14ac:dyDescent="0.2">
      <c r="A107" t="s">
        <v>269</v>
      </c>
      <c r="B107" t="s">
        <v>270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4.9000000000000004</v>
      </c>
      <c r="AE107">
        <v>543</v>
      </c>
      <c r="AF107">
        <v>18.99126903098778</v>
      </c>
      <c r="AG107">
        <v>10.932380484937701</v>
      </c>
      <c r="AH107">
        <f>20.1262141881227*1</f>
        <v>20.126214188122699</v>
      </c>
      <c r="AI107">
        <f>9.28882298413319*1</f>
        <v>9.2888229841331906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546</v>
      </c>
      <c r="AF108">
        <v>12.182306459642019</v>
      </c>
      <c r="AG108">
        <v>12.89049412966283</v>
      </c>
      <c r="AH108">
        <f>12.9103398065465*1</f>
        <v>12.910339806546499</v>
      </c>
      <c r="AI108">
        <f>2.46679150265146*1</f>
        <v>2.4667915026514602</v>
      </c>
      <c r="AJ108">
        <v>1</v>
      </c>
      <c r="AK108">
        <v>0</v>
      </c>
      <c r="AL108">
        <v>0</v>
      </c>
    </row>
    <row r="109" spans="1:38" hidden="1" x14ac:dyDescent="0.2">
      <c r="A109" t="s">
        <v>274</v>
      </c>
      <c r="B109" t="s">
        <v>275</v>
      </c>
      <c r="C109" t="s">
        <v>275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4.5999999999999996</v>
      </c>
      <c r="AE109">
        <v>552</v>
      </c>
      <c r="AF109">
        <v>10.38356164383562</v>
      </c>
      <c r="AG109">
        <v>9.2737668221224361</v>
      </c>
      <c r="AH109">
        <f>11.0040988164221*1</f>
        <v>11.004098816422101</v>
      </c>
      <c r="AI109">
        <f>2.75102472352874*1</f>
        <v>2.7510247235287402</v>
      </c>
      <c r="AJ109">
        <v>1</v>
      </c>
      <c r="AK109">
        <v>0</v>
      </c>
      <c r="AL109">
        <v>0</v>
      </c>
    </row>
    <row r="110" spans="1:38" hidden="1" x14ac:dyDescent="0.2">
      <c r="A110" t="s">
        <v>276</v>
      </c>
      <c r="B110" t="s">
        <v>277</v>
      </c>
      <c r="C110" t="s">
        <v>278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4.9000000000000004</v>
      </c>
      <c r="AE110">
        <v>554</v>
      </c>
      <c r="AF110">
        <v>12.20338983050847</v>
      </c>
      <c r="AG110">
        <v>9.8770339738830977</v>
      </c>
      <c r="AH110">
        <f>12.9326824059036*1</f>
        <v>12.9326824059036</v>
      </c>
      <c r="AI110">
        <f>3.23317069480377*1</f>
        <v>3.23317069480377</v>
      </c>
      <c r="AJ110">
        <v>1</v>
      </c>
      <c r="AK110">
        <v>0</v>
      </c>
      <c r="AL110">
        <v>0</v>
      </c>
    </row>
    <row r="111" spans="1:38" hidden="1" x14ac:dyDescent="0.2">
      <c r="A111" t="s">
        <v>279</v>
      </c>
      <c r="B111" t="s">
        <v>280</v>
      </c>
      <c r="C111" t="s">
        <v>280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8.4</v>
      </c>
      <c r="AE111">
        <v>555</v>
      </c>
      <c r="AF111">
        <v>18.795946697225009</v>
      </c>
      <c r="AG111">
        <v>17.233692369716191</v>
      </c>
      <c r="AH111">
        <f>19.9192206912129*1</f>
        <v>19.9192206912129</v>
      </c>
      <c r="AI111">
        <f>5.02892560395701*1</f>
        <v>5.0289256039570098</v>
      </c>
      <c r="AJ111">
        <v>1</v>
      </c>
      <c r="AK111">
        <v>0</v>
      </c>
      <c r="AL111">
        <v>0</v>
      </c>
    </row>
    <row r="112" spans="1:38" hidden="1" x14ac:dyDescent="0.2">
      <c r="A112" t="s">
        <v>281</v>
      </c>
      <c r="B112" t="s">
        <v>282</v>
      </c>
      <c r="C112" t="s">
        <v>282</v>
      </c>
      <c r="D112" t="s">
        <v>3</v>
      </c>
      <c r="E112">
        <v>1</v>
      </c>
      <c r="F112">
        <v>0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4.8</v>
      </c>
      <c r="AE112">
        <v>561</v>
      </c>
      <c r="AF112">
        <v>15</v>
      </c>
      <c r="AG112">
        <v>10.747533753566129</v>
      </c>
      <c r="AH112">
        <f>15.8964217815518*1</f>
        <v>15.896421781551799</v>
      </c>
      <c r="AI112">
        <f>3.97410541435175*1</f>
        <v>3.97410541435175</v>
      </c>
      <c r="AJ112">
        <v>1</v>
      </c>
      <c r="AK112">
        <v>0</v>
      </c>
      <c r="AL112">
        <v>0</v>
      </c>
    </row>
    <row r="113" spans="1:38" hidden="1" x14ac:dyDescent="0.2">
      <c r="A113" t="s">
        <v>283</v>
      </c>
      <c r="B113" t="s">
        <v>284</v>
      </c>
      <c r="C113" t="s">
        <v>284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</v>
      </c>
      <c r="AE113">
        <v>567</v>
      </c>
      <c r="AF113">
        <v>11.999999999999989</v>
      </c>
      <c r="AG113">
        <v>13.52480095646489</v>
      </c>
      <c r="AH113">
        <f>12.7171386361545*1</f>
        <v>12.7171386361545</v>
      </c>
      <c r="AI113">
        <f>3.1792849536706*1</f>
        <v>3.1792849536705998</v>
      </c>
      <c r="AJ113">
        <v>1</v>
      </c>
      <c r="AK113">
        <v>0</v>
      </c>
      <c r="AL113">
        <v>0</v>
      </c>
    </row>
    <row r="114" spans="1:38" hidden="1" x14ac:dyDescent="0.2">
      <c r="A114" t="s">
        <v>264</v>
      </c>
      <c r="B114" t="s">
        <v>285</v>
      </c>
      <c r="C114" t="s">
        <v>286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5.8</v>
      </c>
      <c r="AE114">
        <v>580</v>
      </c>
      <c r="AF114">
        <v>13.91549295774648</v>
      </c>
      <c r="AG114">
        <v>13.28870958889606</v>
      </c>
      <c r="AH114">
        <f>14.5558222416192*1</f>
        <v>14.5558222416192</v>
      </c>
      <c r="AI114">
        <f>4.08559979450437*1</f>
        <v>4.0855997945043701</v>
      </c>
      <c r="AJ114">
        <v>1</v>
      </c>
      <c r="AK114">
        <v>0</v>
      </c>
      <c r="AL114">
        <v>0</v>
      </c>
    </row>
    <row r="115" spans="1:38" hidden="1" x14ac:dyDescent="0.2">
      <c r="A115" t="s">
        <v>287</v>
      </c>
      <c r="B115" t="s">
        <v>288</v>
      </c>
      <c r="C115" t="s">
        <v>288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4.4000000000000004</v>
      </c>
      <c r="AE115">
        <v>581</v>
      </c>
      <c r="AF115">
        <v>12.443353417924371</v>
      </c>
      <c r="AG115">
        <v>12.941520711980241</v>
      </c>
      <c r="AH115">
        <f>14.1755278295079*1</f>
        <v>14.175527829507899</v>
      </c>
      <c r="AI115">
        <f>4.50402786792854*1</f>
        <v>4.5040278679285404</v>
      </c>
      <c r="AJ115">
        <v>1</v>
      </c>
      <c r="AK115">
        <v>0</v>
      </c>
      <c r="AL115">
        <v>0</v>
      </c>
    </row>
    <row r="116" spans="1:38" hidden="1" x14ac:dyDescent="0.2">
      <c r="A116" t="s">
        <v>289</v>
      </c>
      <c r="B116" t="s">
        <v>290</v>
      </c>
      <c r="C116" t="s">
        <v>290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6.1</v>
      </c>
      <c r="AE116">
        <v>586</v>
      </c>
      <c r="AF116">
        <v>16.649272029121398</v>
      </c>
      <c r="AG116">
        <v>9.5923755217972086</v>
      </c>
      <c r="AH116">
        <f>10.5070342969253*1</f>
        <v>10.507034296925299</v>
      </c>
      <c r="AI116">
        <f>2.51637932733926*1</f>
        <v>2.5163793273392598</v>
      </c>
      <c r="AJ116">
        <v>1</v>
      </c>
      <c r="AK116">
        <v>0</v>
      </c>
      <c r="AL116">
        <v>0</v>
      </c>
    </row>
    <row r="117" spans="1:38" hidden="1" x14ac:dyDescent="0.2">
      <c r="A117" t="s">
        <v>291</v>
      </c>
      <c r="B117" t="s">
        <v>292</v>
      </c>
      <c r="C117" t="s">
        <v>292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7.5</v>
      </c>
      <c r="AE117">
        <v>589</v>
      </c>
      <c r="AF117">
        <v>18.8</v>
      </c>
      <c r="AG117">
        <v>21.368051573388559</v>
      </c>
      <c r="AH117">
        <f>23.4055496849957*1</f>
        <v>23.405549684995702</v>
      </c>
      <c r="AI117">
        <f>6.2084424928961*1</f>
        <v>6.2084424928960997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294</v>
      </c>
      <c r="C118" t="s">
        <v>294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4.8</v>
      </c>
      <c r="AE118">
        <v>595</v>
      </c>
      <c r="AF118">
        <v>11.67179827886226</v>
      </c>
      <c r="AG118">
        <v>8.7336162943481224</v>
      </c>
      <c r="AH118">
        <f>9.5663894963531*1</f>
        <v>9.5663894963531</v>
      </c>
      <c r="AI118">
        <f>2.46784002786554*1</f>
        <v>2.4678400278655399</v>
      </c>
      <c r="AJ118">
        <v>1</v>
      </c>
      <c r="AK118">
        <v>0</v>
      </c>
      <c r="AL118">
        <v>0</v>
      </c>
    </row>
    <row r="119" spans="1:38" hidden="1" x14ac:dyDescent="0.2">
      <c r="A119" t="s">
        <v>295</v>
      </c>
      <c r="B119" t="s">
        <v>296</v>
      </c>
      <c r="C119" t="s">
        <v>296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</v>
      </c>
      <c r="AE119">
        <v>601</v>
      </c>
      <c r="AF119">
        <v>16.101970858096578</v>
      </c>
      <c r="AG119">
        <v>14.07741997754073</v>
      </c>
      <c r="AH119">
        <f>15.4197384191566*1</f>
        <v>15.4197384191566</v>
      </c>
      <c r="AI119">
        <f>4.95212207553809*1</f>
        <v>4.9521220755380897</v>
      </c>
      <c r="AJ119">
        <v>1</v>
      </c>
      <c r="AK119">
        <v>0</v>
      </c>
      <c r="AL119">
        <v>0</v>
      </c>
    </row>
    <row r="120" spans="1:38" hidden="1" x14ac:dyDescent="0.2">
      <c r="A120" t="s">
        <v>297</v>
      </c>
      <c r="B120" t="s">
        <v>298</v>
      </c>
      <c r="C120" t="s">
        <v>298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6.7</v>
      </c>
      <c r="AE120">
        <v>604</v>
      </c>
      <c r="AF120">
        <v>17.97893539434866</v>
      </c>
      <c r="AG120">
        <v>11.46115795676549</v>
      </c>
      <c r="AH120">
        <f>12.5540098424458*1</f>
        <v>12.554009842445801</v>
      </c>
      <c r="AI120">
        <f>2.78740536899286*1</f>
        <v>2.78740536899286</v>
      </c>
      <c r="AJ120">
        <v>1</v>
      </c>
      <c r="AK120">
        <v>0</v>
      </c>
      <c r="AL120">
        <v>0</v>
      </c>
    </row>
    <row r="121" spans="1:38" hidden="1" x14ac:dyDescent="0.2">
      <c r="A121" t="s">
        <v>289</v>
      </c>
      <c r="B121" t="s">
        <v>299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622</v>
      </c>
      <c r="AF121">
        <v>15.03004929304846</v>
      </c>
      <c r="AG121">
        <v>12.398559288519181</v>
      </c>
      <c r="AH121">
        <f>18.435245453496*1</f>
        <v>18.435245453496002</v>
      </c>
      <c r="AI121">
        <f>3.87063191558121*1</f>
        <v>3.8706319155812099</v>
      </c>
      <c r="AJ121">
        <v>1</v>
      </c>
      <c r="AK121">
        <v>0</v>
      </c>
      <c r="AL121">
        <v>0</v>
      </c>
    </row>
    <row r="122" spans="1:38" hidden="1" x14ac:dyDescent="0.2">
      <c r="A122" t="s">
        <v>300</v>
      </c>
      <c r="B122" t="s">
        <v>301</v>
      </c>
      <c r="C122" t="s">
        <v>301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5.7</v>
      </c>
      <c r="AE122">
        <v>636</v>
      </c>
      <c r="AF122">
        <v>18.128827507510941</v>
      </c>
      <c r="AG122">
        <v>11.734915754030551</v>
      </c>
      <c r="AH122">
        <f>17.7237745939822*1</f>
        <v>17.723774593982199</v>
      </c>
      <c r="AI122">
        <f>3.07915458988018*1</f>
        <v>3.0791545898801802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4.8</v>
      </c>
      <c r="AE123">
        <v>656</v>
      </c>
      <c r="AF123">
        <v>18.722225613325119</v>
      </c>
      <c r="AG123">
        <v>17.467958198883331</v>
      </c>
      <c r="AH123">
        <f>25.7998469185528*1</f>
        <v>25.799846918552799</v>
      </c>
      <c r="AI123">
        <f>4.41986492013598*1</f>
        <v>4.4198649201359803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304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663</v>
      </c>
      <c r="AF124">
        <v>9.7211101709599035</v>
      </c>
      <c r="AG124">
        <v>0</v>
      </c>
      <c r="AH124">
        <f>0.685613800012109*1</f>
        <v>0.68561380001210903</v>
      </c>
      <c r="AI124">
        <f>0.134747974886716*1</f>
        <v>0.134747974886716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4.2</v>
      </c>
      <c r="AE125">
        <v>676</v>
      </c>
      <c r="AF125">
        <v>12.32193145915922</v>
      </c>
      <c r="AG125">
        <v>12.689623900385349</v>
      </c>
      <c r="AH125">
        <f>15.2216401275825*1</f>
        <v>15.2216401275825</v>
      </c>
      <c r="AI125">
        <f>3.05802588944581*1</f>
        <v>3.0580258894458101</v>
      </c>
      <c r="AJ125">
        <v>1</v>
      </c>
      <c r="AK125">
        <v>0</v>
      </c>
      <c r="AL125">
        <v>0</v>
      </c>
    </row>
    <row r="126" spans="1:38" hidden="1" x14ac:dyDescent="0.2">
      <c r="A126" t="s">
        <v>180</v>
      </c>
      <c r="B126" t="s">
        <v>308</v>
      </c>
      <c r="C126" t="s">
        <v>308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4.4000000000000004</v>
      </c>
      <c r="AE126">
        <v>678</v>
      </c>
      <c r="AF126">
        <v>12.88461538461538</v>
      </c>
      <c r="AG126">
        <v>15.111651007722649</v>
      </c>
      <c r="AH126">
        <f>15.9167399378076*1</f>
        <v>15.9167399378076</v>
      </c>
      <c r="AI126">
        <f>3.18334798756153*1</f>
        <v>3.1833479875615298</v>
      </c>
      <c r="AJ126">
        <v>1</v>
      </c>
      <c r="AK126">
        <v>0</v>
      </c>
      <c r="AL126">
        <v>0</v>
      </c>
    </row>
    <row r="127" spans="1:38" hidden="1" x14ac:dyDescent="0.2">
      <c r="A127" t="s">
        <v>309</v>
      </c>
      <c r="B127" t="s">
        <v>310</v>
      </c>
      <c r="C127" t="s">
        <v>311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5</v>
      </c>
      <c r="AE127">
        <v>702</v>
      </c>
      <c r="AF127">
        <v>11.111111111111111</v>
      </c>
      <c r="AG127">
        <v>9.5437857548102194</v>
      </c>
      <c r="AH127">
        <f>13.7258785533333*1</f>
        <v>13.725878553333301</v>
      </c>
      <c r="AI127">
        <f>2.74517571066666*1</f>
        <v>2.7451757106666599</v>
      </c>
      <c r="AJ127">
        <v>1</v>
      </c>
      <c r="AK127">
        <v>0</v>
      </c>
      <c r="AL127">
        <v>0</v>
      </c>
    </row>
    <row r="128" spans="1:38" hidden="1" x14ac:dyDescent="0.2">
      <c r="A128" t="s">
        <v>312</v>
      </c>
      <c r="B128" t="s">
        <v>313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4.9000000000000004</v>
      </c>
      <c r="AE128">
        <v>707</v>
      </c>
      <c r="AF128">
        <v>13.65384615384615</v>
      </c>
      <c r="AG128">
        <v>15.188359100142289</v>
      </c>
      <c r="AH128">
        <f>16.866993068423*1</f>
        <v>16.866993068423</v>
      </c>
      <c r="AI128">
        <f>3.37339861368461*1</f>
        <v>3.3733986136846101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315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5.8</v>
      </c>
      <c r="AE129">
        <v>719</v>
      </c>
      <c r="AF129">
        <v>14.293816554094001</v>
      </c>
      <c r="AG129">
        <v>12.42323147879571</v>
      </c>
      <c r="AH129">
        <f>14.5068601807345*1</f>
        <v>14.506860180734501</v>
      </c>
      <c r="AI129">
        <f>3.98700956181969*1</f>
        <v>3.9870095618196899</v>
      </c>
      <c r="AJ129">
        <v>1</v>
      </c>
      <c r="AK129">
        <v>0</v>
      </c>
      <c r="AL129">
        <v>0</v>
      </c>
    </row>
    <row r="130" spans="1:38" hidden="1" x14ac:dyDescent="0.2">
      <c r="A130" t="s">
        <v>316</v>
      </c>
      <c r="B130" t="s">
        <v>317</v>
      </c>
      <c r="C130" t="s">
        <v>317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6.8</v>
      </c>
      <c r="AE130">
        <v>730</v>
      </c>
      <c r="AF130">
        <v>15.82857142857142</v>
      </c>
      <c r="AG130">
        <v>18.632180306577968</v>
      </c>
      <c r="AH130">
        <f>21.7571760641431*1</f>
        <v>21.757176064143099</v>
      </c>
      <c r="AI130">
        <f>5.15898474491054*1</f>
        <v>5.1589847449105397</v>
      </c>
      <c r="AJ130">
        <v>1</v>
      </c>
      <c r="AK130">
        <v>0</v>
      </c>
      <c r="AL130">
        <v>0</v>
      </c>
    </row>
    <row r="131" spans="1:38" hidden="1" x14ac:dyDescent="0.2">
      <c r="A131" t="s">
        <v>180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8</v>
      </c>
      <c r="AE131">
        <v>733</v>
      </c>
      <c r="AF131">
        <v>17.27698264928933</v>
      </c>
      <c r="AG131">
        <v>17.652539053484769</v>
      </c>
      <c r="AH131">
        <f>20.6132290395578*1</f>
        <v>20.613229039557801</v>
      </c>
      <c r="AI131">
        <f>5.06062550735244*1</f>
        <v>5.06062550735244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321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5.8</v>
      </c>
      <c r="AE132">
        <v>735</v>
      </c>
      <c r="AF132">
        <v>15.4</v>
      </c>
      <c r="AG132">
        <v>12.14103960725773</v>
      </c>
      <c r="AH132">
        <f>14.1773389904123*1</f>
        <v>14.1773389904123</v>
      </c>
      <c r="AI132">
        <f>4.0672347215838*1</f>
        <v>4.0672347215837998</v>
      </c>
      <c r="AJ132">
        <v>1</v>
      </c>
      <c r="AK132">
        <v>0</v>
      </c>
      <c r="AL132">
        <v>0</v>
      </c>
    </row>
    <row r="133" spans="1:38" hidden="1" x14ac:dyDescent="0.2">
      <c r="A133" t="s">
        <v>322</v>
      </c>
      <c r="B133" t="s">
        <v>323</v>
      </c>
      <c r="C133" t="s">
        <v>322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6.9</v>
      </c>
      <c r="AE133">
        <v>737</v>
      </c>
      <c r="AF133">
        <v>15.68181818181818</v>
      </c>
      <c r="AG133">
        <v>13.94731098912907</v>
      </c>
      <c r="AH133">
        <f>16.286558836311*1</f>
        <v>16.286558836310999</v>
      </c>
      <c r="AI133">
        <f>4.54391613892437*1</f>
        <v>4.5439161389243701</v>
      </c>
      <c r="AJ133">
        <v>1</v>
      </c>
      <c r="AK133">
        <v>0</v>
      </c>
      <c r="AL133">
        <v>0</v>
      </c>
    </row>
    <row r="134" spans="1:38" hidden="1" x14ac:dyDescent="0.2">
      <c r="A134" t="s">
        <v>324</v>
      </c>
      <c r="B134" t="s">
        <v>325</v>
      </c>
      <c r="C134" t="s">
        <v>325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5.0999999999999996</v>
      </c>
      <c r="AE134">
        <v>739</v>
      </c>
      <c r="AF134">
        <v>12.463768115942029</v>
      </c>
      <c r="AG134">
        <v>12.081402548051081</v>
      </c>
      <c r="AH134">
        <f>14.1076995829057*1</f>
        <v>14.107699582905701</v>
      </c>
      <c r="AI134">
        <f>4.6201328118636*1</f>
        <v>4.6201328118636003</v>
      </c>
      <c r="AJ134">
        <v>1</v>
      </c>
      <c r="AK134">
        <v>0</v>
      </c>
      <c r="AL134">
        <v>0</v>
      </c>
    </row>
    <row r="135" spans="1:38" hidden="1" x14ac:dyDescent="0.2">
      <c r="A135" t="s">
        <v>326</v>
      </c>
      <c r="B135" t="s">
        <v>327</v>
      </c>
      <c r="C135" t="s">
        <v>327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4.4000000000000004</v>
      </c>
      <c r="AE135">
        <v>741</v>
      </c>
      <c r="AF135">
        <v>9.8285714285714274</v>
      </c>
      <c r="AG135">
        <v>9.9262897573671616</v>
      </c>
      <c r="AH135">
        <f>11.5911305258511*1</f>
        <v>11.591130525851099</v>
      </c>
      <c r="AI135">
        <f>2.79379059073368*1</f>
        <v>2.7937905907336802</v>
      </c>
      <c r="AJ135">
        <v>1</v>
      </c>
      <c r="AK135">
        <v>0</v>
      </c>
      <c r="AL135">
        <v>0</v>
      </c>
    </row>
    <row r="136" spans="1:38" hidden="1" x14ac:dyDescent="0.2">
      <c r="A136" t="s">
        <v>328</v>
      </c>
      <c r="B136" t="s">
        <v>329</v>
      </c>
      <c r="C136" t="s">
        <v>328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10.1</v>
      </c>
      <c r="AE136">
        <v>744</v>
      </c>
      <c r="AF136">
        <v>26.88270501616033</v>
      </c>
      <c r="AG136">
        <v>18.27022283802539</v>
      </c>
      <c r="AH136">
        <f>21.3345109631484*1</f>
        <v>21.3345109631484</v>
      </c>
      <c r="AI136">
        <f>6.06506326133416*1</f>
        <v>6.06506326133416</v>
      </c>
      <c r="AJ136">
        <v>1</v>
      </c>
      <c r="AK136">
        <v>0</v>
      </c>
      <c r="AL136">
        <v>0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</v>
      </c>
      <c r="AE137">
        <v>747</v>
      </c>
      <c r="AF137">
        <v>12.16666666666667</v>
      </c>
      <c r="AG137">
        <v>7.5497070513332734</v>
      </c>
      <c r="AH137">
        <f>8.81594654226106*1</f>
        <v>8.8159465422610594</v>
      </c>
      <c r="AI137">
        <f>1.90779713493486*1</f>
        <v>1.9077971349348599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5.3</v>
      </c>
      <c r="AE138">
        <v>748</v>
      </c>
      <c r="AF138">
        <v>11.049199748625011</v>
      </c>
      <c r="AG138">
        <v>10.1202941036642</v>
      </c>
      <c r="AH138">
        <f>11.8176733485449*1</f>
        <v>11.817673348544901</v>
      </c>
      <c r="AI138">
        <f>2.2348922136045*1</f>
        <v>2.2348922136045002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335</v>
      </c>
      <c r="D139" t="s">
        <v>3</v>
      </c>
      <c r="E139">
        <v>1</v>
      </c>
      <c r="F139">
        <v>0</v>
      </c>
      <c r="G139">
        <v>0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4.3</v>
      </c>
      <c r="AE139">
        <v>763</v>
      </c>
      <c r="AF139">
        <v>17.07692307692308</v>
      </c>
      <c r="AG139">
        <v>14.23876182470732</v>
      </c>
      <c r="AH139">
        <f>12.4791078268332*1</f>
        <v>12.4791078268332</v>
      </c>
      <c r="AI139">
        <f>2.16345164998032*1</f>
        <v>2.16345164998032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8</v>
      </c>
      <c r="AE140">
        <v>765</v>
      </c>
      <c r="AF140">
        <v>24.701742177457891</v>
      </c>
      <c r="AG140">
        <v>20.9873105608944</v>
      </c>
      <c r="AH140">
        <f>18.3936577287344*1</f>
        <v>18.3936577287344</v>
      </c>
      <c r="AI140">
        <f>2.6076358729462*1</f>
        <v>2.6076358729461999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4.5999999999999996</v>
      </c>
      <c r="AE141">
        <v>767</v>
      </c>
      <c r="AF141">
        <v>16.03413607865706</v>
      </c>
      <c r="AG141">
        <v>12.579319219482359</v>
      </c>
      <c r="AH141">
        <f>11.024742380035*1</f>
        <v>11.024742380035001</v>
      </c>
      <c r="AI141">
        <f>1.71746315383847*1</f>
        <v>1.7174631538384699</v>
      </c>
      <c r="AJ141">
        <v>1</v>
      </c>
      <c r="AK141">
        <v>0</v>
      </c>
      <c r="AL141">
        <v>0</v>
      </c>
    </row>
    <row r="142" spans="1:38" hidden="1" x14ac:dyDescent="0.2">
      <c r="A142" t="s">
        <v>340</v>
      </c>
      <c r="B142" t="s">
        <v>341</v>
      </c>
      <c r="C142" t="s">
        <v>340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4.4000000000000004</v>
      </c>
      <c r="AE142">
        <v>771</v>
      </c>
      <c r="AF142">
        <v>10.533241751624359</v>
      </c>
      <c r="AG142">
        <v>8.4439575073293032</v>
      </c>
      <c r="AH142">
        <f>7.40043674558242*1</f>
        <v>7.4004367455824198</v>
      </c>
      <c r="AI142">
        <f>1.3278445204191*1</f>
        <v>1.3278445204191001</v>
      </c>
      <c r="AJ142">
        <v>1</v>
      </c>
      <c r="AK142">
        <v>0</v>
      </c>
      <c r="AL142">
        <v>0</v>
      </c>
    </row>
    <row r="143" spans="1:38" hidden="1" x14ac:dyDescent="0.2">
      <c r="A143" t="s">
        <v>71</v>
      </c>
      <c r="B143" t="s">
        <v>342</v>
      </c>
      <c r="C143" t="s">
        <v>343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</v>
      </c>
      <c r="AE143">
        <v>778</v>
      </c>
      <c r="AF143">
        <v>18.216517483979541</v>
      </c>
      <c r="AG143">
        <v>17.057198048127582</v>
      </c>
      <c r="AH143">
        <f>14.949236196709*1</f>
        <v>14.949236196709</v>
      </c>
      <c r="AI143">
        <f>2.75996063508363*1</f>
        <v>2.7599606350836301</v>
      </c>
      <c r="AJ143">
        <v>1</v>
      </c>
      <c r="AK143">
        <v>0</v>
      </c>
      <c r="AL143">
        <v>0</v>
      </c>
    </row>
    <row r="144" spans="1:38" hidden="1" x14ac:dyDescent="0.2">
      <c r="A144" t="s">
        <v>344</v>
      </c>
      <c r="B144" t="s">
        <v>345</v>
      </c>
      <c r="C144" t="s">
        <v>345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4.9000000000000004</v>
      </c>
      <c r="AE144">
        <v>780</v>
      </c>
      <c r="AF144">
        <v>16.428571428571431</v>
      </c>
      <c r="AG144">
        <v>17.761898768444759</v>
      </c>
      <c r="AH144">
        <f>15.5668486255668*1</f>
        <v>15.5668486255668</v>
      </c>
      <c r="AI144">
        <f>1.93321164965635*1</f>
        <v>1.9332116496563501</v>
      </c>
      <c r="AJ144">
        <v>1</v>
      </c>
      <c r="AK144">
        <v>0</v>
      </c>
      <c r="AL144">
        <v>0</v>
      </c>
    </row>
    <row r="145" spans="1:38" hidden="1" x14ac:dyDescent="0.2">
      <c r="A145" t="s">
        <v>346</v>
      </c>
      <c r="B145" t="s">
        <v>347</v>
      </c>
      <c r="C145" t="s">
        <v>347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4.5</v>
      </c>
      <c r="AE145">
        <v>782</v>
      </c>
      <c r="AF145">
        <v>16.161434918470171</v>
      </c>
      <c r="AG145">
        <v>18.916062065100849</v>
      </c>
      <c r="AH145">
        <f>16.5783781676757*1</f>
        <v>16.578378167675702</v>
      </c>
      <c r="AI145">
        <f>2.7851027738923*1</f>
        <v>2.7851027738923002</v>
      </c>
      <c r="AJ145">
        <v>1</v>
      </c>
      <c r="AK145">
        <v>0</v>
      </c>
      <c r="AL145">
        <v>0</v>
      </c>
    </row>
    <row r="146" spans="1:38" hidden="1" x14ac:dyDescent="0.2">
      <c r="A146" t="s">
        <v>348</v>
      </c>
      <c r="B146" t="s">
        <v>349</v>
      </c>
      <c r="C146" t="s">
        <v>247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5</v>
      </c>
      <c r="AE146">
        <v>784</v>
      </c>
      <c r="AF146">
        <v>11.110919963214061</v>
      </c>
      <c r="AG146">
        <v>10.595044424386341</v>
      </c>
      <c r="AH146">
        <f>9.28568813986205*1</f>
        <v>9.2856881398620494</v>
      </c>
      <c r="AI146">
        <f>2.12659324838664*1</f>
        <v>2.1265932483866399</v>
      </c>
      <c r="AJ146">
        <v>1</v>
      </c>
      <c r="AK146">
        <v>0</v>
      </c>
      <c r="AL146">
        <v>0</v>
      </c>
    </row>
    <row r="147" spans="1:38" hidden="1" x14ac:dyDescent="0.2">
      <c r="A147" t="s">
        <v>180</v>
      </c>
      <c r="B147" t="s">
        <v>350</v>
      </c>
      <c r="C147" t="s">
        <v>350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5.9</v>
      </c>
      <c r="AE147">
        <v>786</v>
      </c>
      <c r="AF147">
        <v>18.92600971338868</v>
      </c>
      <c r="AG147">
        <v>17.742801321146821</v>
      </c>
      <c r="AH147">
        <f>15.5501112781076*1</f>
        <v>15.5501112781076</v>
      </c>
      <c r="AI147">
        <f>2.66367270831153*1</f>
        <v>2.6636727083115299</v>
      </c>
      <c r="AJ147">
        <v>1</v>
      </c>
      <c r="AK147">
        <v>0</v>
      </c>
      <c r="AL147">
        <v>0</v>
      </c>
    </row>
    <row r="148" spans="1:38" hidden="1" x14ac:dyDescent="0.2">
      <c r="A148" t="s">
        <v>351</v>
      </c>
      <c r="B148" t="s">
        <v>352</v>
      </c>
      <c r="C148" t="s">
        <v>352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6.9</v>
      </c>
      <c r="AE148">
        <v>788</v>
      </c>
      <c r="AF148">
        <v>20.416666666666671</v>
      </c>
      <c r="AG148">
        <v>25.40867942261589</v>
      </c>
      <c r="AH148">
        <f>16.7014688929305*0.75</f>
        <v>12.526101669697875</v>
      </c>
      <c r="AI148">
        <f>2.96050404541737*0.75</f>
        <v>2.2203780340630277</v>
      </c>
      <c r="AJ148">
        <v>0.75</v>
      </c>
      <c r="AK148">
        <v>0</v>
      </c>
      <c r="AL148">
        <v>0</v>
      </c>
    </row>
    <row r="149" spans="1:38" hidden="1" x14ac:dyDescent="0.2">
      <c r="A149" t="s">
        <v>353</v>
      </c>
      <c r="B149" t="s">
        <v>354</v>
      </c>
      <c r="C149" t="s">
        <v>354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795</v>
      </c>
      <c r="AF149">
        <v>12.674659068697091</v>
      </c>
      <c r="AG149">
        <v>7.9732000274482564</v>
      </c>
      <c r="AH149">
        <f>14.6311204817489*1</f>
        <v>14.6311204817489</v>
      </c>
      <c r="AI149">
        <f>0.0675822711258886*1</f>
        <v>6.7582271125888604E-2</v>
      </c>
      <c r="AJ149">
        <v>1</v>
      </c>
      <c r="AK149">
        <v>0</v>
      </c>
      <c r="AL149">
        <v>0</v>
      </c>
    </row>
    <row r="150" spans="1:38" hidden="1" x14ac:dyDescent="0.2">
      <c r="A150" t="s">
        <v>355</v>
      </c>
      <c r="B150" t="s">
        <v>356</v>
      </c>
      <c r="C150" t="s">
        <v>356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4.5</v>
      </c>
      <c r="AE150">
        <v>801</v>
      </c>
      <c r="AF150">
        <v>13.40512931479511</v>
      </c>
      <c r="AG150">
        <v>13.717686589666441</v>
      </c>
      <c r="AH150">
        <f>16.1165392021162*1</f>
        <v>16.116539202116201</v>
      </c>
      <c r="AI150">
        <f>2.69988907348774*1</f>
        <v>2.6998890734877401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359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5.4</v>
      </c>
      <c r="AE151">
        <v>806</v>
      </c>
      <c r="AF151">
        <v>26.982888621929629</v>
      </c>
      <c r="AG151">
        <v>15.164521445041331</v>
      </c>
      <c r="AH151">
        <f>0*0</f>
        <v>0</v>
      </c>
      <c r="AI151">
        <f>6.53698542061693*0</f>
        <v>0</v>
      </c>
      <c r="AJ151">
        <v>0</v>
      </c>
      <c r="AK151">
        <v>0</v>
      </c>
      <c r="AL151">
        <v>0</v>
      </c>
    </row>
    <row r="152" spans="1:38" hidden="1" x14ac:dyDescent="0.2">
      <c r="A152" t="s">
        <v>360</v>
      </c>
      <c r="B152" t="s">
        <v>361</v>
      </c>
      <c r="C152" t="s">
        <v>362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4.9000000000000004</v>
      </c>
      <c r="AE152">
        <v>807</v>
      </c>
      <c r="AF152">
        <v>11.714285714285721</v>
      </c>
      <c r="AG152">
        <v>9.1264872458263806</v>
      </c>
      <c r="AH152">
        <f>13.7360539412244*1</f>
        <v>13.7360539412244</v>
      </c>
      <c r="AI152">
        <f>2.78347696652236*1</f>
        <v>2.7834769665223602</v>
      </c>
      <c r="AJ152">
        <v>1</v>
      </c>
      <c r="AK152">
        <v>0</v>
      </c>
      <c r="AL152">
        <v>0</v>
      </c>
    </row>
    <row r="153" spans="1:38" x14ac:dyDescent="0.2">
      <c r="A153" t="s">
        <v>363</v>
      </c>
      <c r="B153" t="s">
        <v>364</v>
      </c>
      <c r="C153" t="s">
        <v>364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4.5</v>
      </c>
      <c r="AE153">
        <v>811</v>
      </c>
      <c r="AF153">
        <v>15.086956521739131</v>
      </c>
      <c r="AG153">
        <v>16.13676590668328</v>
      </c>
      <c r="AH153">
        <f>18.2233646157244*1</f>
        <v>18.2233646157244</v>
      </c>
      <c r="AI153">
        <f>3.74671305738445*1</f>
        <v>3.7467130573844498</v>
      </c>
      <c r="AJ153">
        <v>1</v>
      </c>
      <c r="AK153">
        <v>0</v>
      </c>
      <c r="AL153">
        <v>1</v>
      </c>
    </row>
    <row r="154" spans="1:38" hidden="1" x14ac:dyDescent="0.2">
      <c r="A154" t="s">
        <v>365</v>
      </c>
      <c r="B154" t="s">
        <v>366</v>
      </c>
      <c r="C154" t="s">
        <v>367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4.9000000000000004</v>
      </c>
      <c r="AE154">
        <v>813</v>
      </c>
      <c r="AF154">
        <v>11.16666666666667</v>
      </c>
      <c r="AG154">
        <v>8.4104939043629585</v>
      </c>
      <c r="AH154">
        <f>13.0587617106757*1</f>
        <v>13.0587617106757</v>
      </c>
      <c r="AI154">
        <f>2.62246577634132*1</f>
        <v>2.6224657763413202</v>
      </c>
      <c r="AJ154">
        <v>1</v>
      </c>
      <c r="AK154">
        <v>0</v>
      </c>
      <c r="AL154">
        <v>0</v>
      </c>
    </row>
    <row r="155" spans="1:38" x14ac:dyDescent="0.2">
      <c r="A155" t="s">
        <v>88</v>
      </c>
      <c r="B155" t="s">
        <v>125</v>
      </c>
      <c r="C155" t="s">
        <v>125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15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5.2</v>
      </c>
      <c r="AE155">
        <v>167</v>
      </c>
      <c r="AF155">
        <v>12.760869565217391</v>
      </c>
      <c r="AG155">
        <v>11.035716658819389</v>
      </c>
      <c r="AH155">
        <f>16.9844421220898*1</f>
        <v>16.984442122089799</v>
      </c>
      <c r="AI155">
        <f>3.67937082107753*1</f>
        <v>3.67937082107753</v>
      </c>
      <c r="AJ155">
        <v>1</v>
      </c>
      <c r="AK155">
        <v>0</v>
      </c>
      <c r="AL155">
        <v>1</v>
      </c>
    </row>
    <row r="156" spans="1:38" hidden="1" x14ac:dyDescent="0.2">
      <c r="A156" t="s">
        <v>371</v>
      </c>
      <c r="B156" t="s">
        <v>372</v>
      </c>
      <c r="C156" t="s">
        <v>373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4.5</v>
      </c>
      <c r="AE156">
        <v>819</v>
      </c>
      <c r="AF156">
        <v>13.907563025210081</v>
      </c>
      <c r="AG156">
        <v>15.219891952987309</v>
      </c>
      <c r="AH156">
        <f>16.840660246456*1</f>
        <v>16.840660246456</v>
      </c>
      <c r="AI156">
        <f>3.41901059369563*1</f>
        <v>3.4190105936956301</v>
      </c>
      <c r="AJ156">
        <v>1</v>
      </c>
      <c r="AK156">
        <v>0</v>
      </c>
      <c r="AL156">
        <v>0</v>
      </c>
    </row>
    <row r="157" spans="1:38" hidden="1" x14ac:dyDescent="0.2">
      <c r="A157" t="s">
        <v>374</v>
      </c>
      <c r="B157" t="s">
        <v>375</v>
      </c>
      <c r="C157" t="s">
        <v>376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4.4000000000000004</v>
      </c>
      <c r="AE157">
        <v>820</v>
      </c>
      <c r="AF157">
        <v>12.065217391304349</v>
      </c>
      <c r="AG157">
        <v>10.737664475608121</v>
      </c>
      <c r="AH157">
        <f>14.3101093648817*1</f>
        <v>14.310109364881701</v>
      </c>
      <c r="AI157">
        <f>2.88058296695883*1</f>
        <v>2.8805829669588299</v>
      </c>
      <c r="AJ157">
        <v>1</v>
      </c>
      <c r="AK157">
        <v>0</v>
      </c>
      <c r="AL157">
        <v>0</v>
      </c>
    </row>
    <row r="158" spans="1:38" x14ac:dyDescent="0.2">
      <c r="A158" t="s">
        <v>377</v>
      </c>
      <c r="B158" t="s">
        <v>378</v>
      </c>
      <c r="C158" t="s">
        <v>379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5.5</v>
      </c>
      <c r="AE158">
        <v>822</v>
      </c>
      <c r="AF158">
        <v>32.486403882667389</v>
      </c>
      <c r="AG158">
        <v>15.53225599046077</v>
      </c>
      <c r="AH158">
        <f>36.9051269258681*1</f>
        <v>36.905126925868103</v>
      </c>
      <c r="AI158">
        <f>3.36122390598332*1</f>
        <v>3.3612239059833202</v>
      </c>
      <c r="AJ158">
        <v>1</v>
      </c>
      <c r="AK158">
        <v>0</v>
      </c>
      <c r="AL158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2024-03-29T16:16:48Z</dcterms:created>
  <dcterms:modified xsi:type="dcterms:W3CDTF">2024-03-29T16:22:39Z</dcterms:modified>
</cp:coreProperties>
</file>