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99840C97-D9B3-C949-AA0E-5182897DDF8B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57" i="1" l="1"/>
  <c r="AI157" i="1"/>
  <c r="AJ156" i="1"/>
  <c r="AI156" i="1"/>
  <c r="AJ155" i="1"/>
  <c r="AI155" i="1"/>
  <c r="AJ154" i="1"/>
  <c r="AI154" i="1"/>
  <c r="AJ129" i="1"/>
  <c r="AI129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23" i="1"/>
  <c r="AI123" i="1"/>
  <c r="AJ32" i="1"/>
  <c r="AI32" i="1"/>
  <c r="AJ128" i="1"/>
  <c r="AI128" i="1"/>
  <c r="AJ127" i="1"/>
  <c r="AI127" i="1"/>
  <c r="AJ126" i="1"/>
  <c r="AI126" i="1"/>
  <c r="AJ125" i="1"/>
  <c r="AI125" i="1"/>
  <c r="AJ124" i="1"/>
  <c r="AI124" i="1"/>
  <c r="AJ93" i="1"/>
  <c r="AI9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23" i="1"/>
  <c r="AI23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8" i="1"/>
  <c r="AI8" i="1"/>
  <c r="AJ92" i="1"/>
  <c r="AI92" i="1"/>
  <c r="AJ91" i="1"/>
  <c r="AI91" i="1"/>
  <c r="AJ90" i="1"/>
  <c r="AI90" i="1"/>
  <c r="AJ89" i="1"/>
  <c r="AI89" i="1"/>
  <c r="AJ88" i="1"/>
  <c r="AI88" i="1"/>
  <c r="AJ130" i="1"/>
  <c r="AI130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87" i="1"/>
  <c r="AI87" i="1"/>
  <c r="AJ68" i="1"/>
  <c r="AI68" i="1"/>
  <c r="AJ41" i="1"/>
  <c r="AI41" i="1"/>
  <c r="AJ66" i="1"/>
  <c r="AI66" i="1"/>
  <c r="AJ67" i="1"/>
  <c r="AI67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153" i="1"/>
  <c r="AI153" i="1"/>
  <c r="AJ40" i="1"/>
  <c r="AI40" i="1"/>
  <c r="AJ39" i="1"/>
  <c r="AI39" i="1"/>
  <c r="AJ38" i="1"/>
  <c r="AI38" i="1"/>
  <c r="AP37" i="1"/>
  <c r="AJ106" i="1"/>
  <c r="AI106" i="1"/>
  <c r="AP36" i="1"/>
  <c r="AJ36" i="1"/>
  <c r="AI36" i="1"/>
  <c r="AP35" i="1"/>
  <c r="AJ35" i="1"/>
  <c r="AI35" i="1"/>
  <c r="AP34" i="1"/>
  <c r="AJ34" i="1"/>
  <c r="AI34" i="1"/>
  <c r="AP33" i="1"/>
  <c r="AJ33" i="1"/>
  <c r="AI33" i="1"/>
  <c r="AP32" i="1"/>
  <c r="AJ65" i="1"/>
  <c r="AI65" i="1"/>
  <c r="AP31" i="1"/>
  <c r="AJ31" i="1"/>
  <c r="AI31" i="1"/>
  <c r="AP30" i="1"/>
  <c r="AJ30" i="1"/>
  <c r="AI30" i="1"/>
  <c r="AP29" i="1"/>
  <c r="AJ29" i="1"/>
  <c r="AI29" i="1"/>
  <c r="AP28" i="1"/>
  <c r="AJ28" i="1"/>
  <c r="AI28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69" i="1"/>
  <c r="AI69" i="1"/>
  <c r="AP22" i="1"/>
  <c r="AJ22" i="1"/>
  <c r="AI22" i="1"/>
  <c r="AP21" i="1"/>
  <c r="AJ21" i="1"/>
  <c r="AI21" i="1"/>
  <c r="AP20" i="1"/>
  <c r="AJ20" i="1"/>
  <c r="AI20" i="1"/>
  <c r="AP19" i="1"/>
  <c r="AJ19" i="1"/>
  <c r="AI19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11" i="1"/>
  <c r="AI11" i="1"/>
  <c r="AJ10" i="1"/>
  <c r="AI10" i="1"/>
  <c r="AP9" i="1"/>
  <c r="AJ9" i="1"/>
  <c r="AI9" i="1"/>
  <c r="AP8" i="1"/>
  <c r="AJ37" i="1"/>
  <c r="AI37" i="1"/>
  <c r="AP7" i="1"/>
  <c r="AJ7" i="1"/>
  <c r="AI7" i="1"/>
  <c r="AP6" i="1"/>
  <c r="AJ6" i="1"/>
  <c r="AI6" i="1"/>
  <c r="AJ5" i="1"/>
  <c r="AI5" i="1"/>
  <c r="AP4" i="1"/>
  <c r="AJ4" i="1"/>
  <c r="AI4" i="1"/>
  <c r="AJ3" i="1"/>
  <c r="AI3" i="1"/>
  <c r="AJ2" i="1"/>
  <c r="AI2" i="1"/>
  <c r="AP2" i="1" s="1"/>
  <c r="AP16" i="1" l="1"/>
</calcChain>
</file>

<file path=xl/sharedStrings.xml><?xml version="1.0" encoding="utf-8"?>
<sst xmlns="http://schemas.openxmlformats.org/spreadsheetml/2006/main" count="850" uniqueCount="379">
  <si>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</si>
  <si>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</si>
  <si>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</si>
  <si>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</si>
  <si>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</si>
  <si>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</si>
  <si>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</si>
  <si>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</si>
  <si>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</si>
  <si>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</si>
  <si>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</si>
  <si>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</si>
  <si>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</si>
  <si>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</si>
  <si>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</si>
  <si>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</si>
  <si>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</si>
  <si>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</si>
  <si>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</si>
  <si>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</si>
  <si>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</si>
  <si>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</si>
  <si>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</si>
  <si>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</si>
  <si>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</si>
  <si>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</si>
  <si>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</si>
  <si>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</si>
  <si>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</si>
  <si>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</si>
  <si>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</si>
  <si>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</si>
  <si>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</si>
  <si>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</si>
  <si>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</si>
  <si>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</si>
  <si>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</si>
  <si>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</si>
  <si>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</si>
  <si>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</si>
  <si>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</si>
  <si>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</si>
  <si>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</si>
  <si>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</si>
  <si>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</si>
  <si>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</si>
  <si>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</si>
  <si>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</si>
  <si>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</si>
  <si>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Jurriën</t>
  </si>
  <si>
    <t>Timber</t>
  </si>
  <si>
    <t>J.Timber</t>
  </si>
  <si>
    <t>Martinelli Silva</t>
  </si>
  <si>
    <t>Martinelli</t>
  </si>
  <si>
    <t>David</t>
  </si>
  <si>
    <t>Raya Martin</t>
  </si>
  <si>
    <t>Raya</t>
  </si>
  <si>
    <t>Declan</t>
  </si>
  <si>
    <t>Rice</t>
  </si>
  <si>
    <t>Bukayo</t>
  </si>
  <si>
    <t>Saka</t>
  </si>
  <si>
    <t>William</t>
  </si>
  <si>
    <t>Saliba</t>
  </si>
  <si>
    <t>Thomas</t>
  </si>
  <si>
    <t>Partey</t>
  </si>
  <si>
    <t>Leandro</t>
  </si>
  <si>
    <t>Trossard</t>
  </si>
  <si>
    <t>Ross</t>
  </si>
  <si>
    <t>Barkley</t>
  </si>
  <si>
    <t>Jhon</t>
  </si>
  <si>
    <t>Durán</t>
  </si>
  <si>
    <t>Duran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</si>
  <si>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</si>
  <si>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</si>
  <si>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</si>
  <si>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</si>
  <si>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</si>
  <si>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</si>
  <si>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</si>
  <si>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</si>
  <si>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Morgan</t>
  </si>
  <si>
    <t>Rogers</t>
  </si>
  <si>
    <t>Youri</t>
  </si>
  <si>
    <t>Tielemans</t>
  </si>
  <si>
    <t>Ollie</t>
  </si>
  <si>
    <t>Watkins</t>
  </si>
  <si>
    <t>Ryan</t>
  </si>
  <si>
    <t>Christie</t>
  </si>
  <si>
    <t>Lewis</t>
  </si>
  <si>
    <t>Cook</t>
  </si>
  <si>
    <t>Enes</t>
  </si>
  <si>
    <t>Ünal</t>
  </si>
  <si>
    <t>Enes Ünal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</si>
  <si>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</si>
  <si>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</si>
  <si>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</si>
  <si>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</si>
  <si>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</si>
  <si>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</si>
  <si>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</si>
  <si>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</si>
  <si>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</si>
  <si>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Adam</t>
  </si>
  <si>
    <t>Smith</t>
  </si>
  <si>
    <t>Marcus</t>
  </si>
  <si>
    <t>Tavernier</t>
  </si>
  <si>
    <t>Illia</t>
  </si>
  <si>
    <t>Zabarnyi</t>
  </si>
  <si>
    <t>Francisco Evanilson</t>
  </si>
  <si>
    <t>de Lima Barbosa</t>
  </si>
  <si>
    <t>Evanilson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</si>
  <si>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</si>
  <si>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</si>
  <si>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</si>
  <si>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</si>
  <si>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</si>
  <si>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</si>
  <si>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</si>
  <si>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</si>
  <si>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Bryan</t>
  </si>
  <si>
    <t>Mbeumo</t>
  </si>
  <si>
    <t>Ethan</t>
  </si>
  <si>
    <t>Pinnock</t>
  </si>
  <si>
    <t>Yoane</t>
  </si>
  <si>
    <t>Wissa</t>
  </si>
  <si>
    <t>Carlos</t>
  </si>
  <si>
    <t>Baleba</t>
  </si>
  <si>
    <t>Mitoma</t>
  </si>
  <si>
    <t>Kaoru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</si>
  <si>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</si>
  <si>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</si>
  <si>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</si>
  <si>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</si>
  <si>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</si>
  <si>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</si>
  <si>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</si>
  <si>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</si>
  <si>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</si>
  <si>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</si>
  <si>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</si>
  <si>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</si>
  <si>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</si>
  <si>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</si>
  <si>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Noni</t>
  </si>
  <si>
    <t>Madueke</t>
  </si>
  <si>
    <t>Nicolas</t>
  </si>
  <si>
    <t>Jackson</t>
  </si>
  <si>
    <t>N.Jackson</t>
  </si>
  <si>
    <t>Christopher</t>
  </si>
  <si>
    <t>Nkunku</t>
  </si>
  <si>
    <t>Cole</t>
  </si>
  <si>
    <t>Palmer</t>
  </si>
  <si>
    <t>Robert</t>
  </si>
  <si>
    <t>Sánchez</t>
  </si>
  <si>
    <t>Pedro</t>
  </si>
  <si>
    <t>Lomba Neto</t>
  </si>
  <si>
    <t>Neto</t>
  </si>
  <si>
    <t>Eberechi</t>
  </si>
  <si>
    <t>Eze</t>
  </si>
  <si>
    <t>Guéhi</t>
  </si>
  <si>
    <t>Dean</t>
  </si>
  <si>
    <t>Henderson</t>
  </si>
  <si>
    <t>Will</t>
  </si>
  <si>
    <t>Hughes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</si>
  <si>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</si>
  <si>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</si>
  <si>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</si>
  <si>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</si>
  <si>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</si>
  <si>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</si>
  <si>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</si>
  <si>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</si>
  <si>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</si>
  <si>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Maxence</t>
  </si>
  <si>
    <t>Lacroix</t>
  </si>
  <si>
    <t>Abdoulaye</t>
  </si>
  <si>
    <t>Doucouré</t>
  </si>
  <si>
    <t>A.Doucoure</t>
  </si>
  <si>
    <t>Dominic</t>
  </si>
  <si>
    <t>Calvert-Lewin</t>
  </si>
  <si>
    <t>Idrissa</t>
  </si>
  <si>
    <t>Gueye</t>
  </si>
  <si>
    <t>Gana</t>
  </si>
  <si>
    <t>Dwight</t>
  </si>
  <si>
    <t>McNeil</t>
  </si>
  <si>
    <t>Vitalii</t>
  </si>
  <si>
    <t>Mykolenko</t>
  </si>
  <si>
    <t>Iliman</t>
  </si>
  <si>
    <t>Ndiaye</t>
  </si>
  <si>
    <t>Jordan</t>
  </si>
  <si>
    <t>Pickford</t>
  </si>
  <si>
    <t>James</t>
  </si>
  <si>
    <t>Tarkowski</t>
  </si>
  <si>
    <t>Ashley</t>
  </si>
  <si>
    <t>Young</t>
  </si>
  <si>
    <t>Orel</t>
  </si>
  <si>
    <t>Mangala</t>
  </si>
  <si>
    <t>Reiss</t>
  </si>
  <si>
    <t>Nelson</t>
  </si>
  <si>
    <t>Andreas</t>
  </si>
  <si>
    <t>Hoelgebaum Pereira</t>
  </si>
  <si>
    <t>Alex</t>
  </si>
  <si>
    <t>Iwobi</t>
  </si>
  <si>
    <t>Rodrigo</t>
  </si>
  <si>
    <t>Muniz Carvalho</t>
  </si>
  <si>
    <t>Muniz</t>
  </si>
  <si>
    <t>Raúl</t>
  </si>
  <si>
    <t>Jiménez</t>
  </si>
  <si>
    <t>Antonee</t>
  </si>
  <si>
    <t>Robinson</t>
  </si>
  <si>
    <t>Kenny</t>
  </si>
  <si>
    <t>Tete</t>
  </si>
  <si>
    <t>Conor</t>
  </si>
  <si>
    <t>Chaplin</t>
  </si>
  <si>
    <t>Omari</t>
  </si>
  <si>
    <t>Giraud-Hutchinson</t>
  </si>
  <si>
    <t>Hutchinson</t>
  </si>
  <si>
    <t>Sam</t>
  </si>
  <si>
    <t>Morsy</t>
  </si>
  <si>
    <t>Arijanet</t>
  </si>
  <si>
    <t>Muric</t>
  </si>
  <si>
    <t>Szmodics</t>
  </si>
  <si>
    <t>Facundo</t>
  </si>
  <si>
    <t>Buonanotte</t>
  </si>
  <si>
    <t>Ayew</t>
  </si>
  <si>
    <t>J.Ayew</t>
  </si>
  <si>
    <t>Mads</t>
  </si>
  <si>
    <t>Hermansen</t>
  </si>
  <si>
    <t>Jamie</t>
  </si>
  <si>
    <t>Vardy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</si>
  <si>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</si>
  <si>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</si>
  <si>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</si>
  <si>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</si>
  <si>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</si>
  <si>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</si>
  <si>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</si>
  <si>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</si>
  <si>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</si>
  <si>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</si>
  <si>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</si>
  <si>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</si>
  <si>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</si>
  <si>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</si>
  <si>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</si>
  <si>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</si>
  <si>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</si>
  <si>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Dominik</t>
  </si>
  <si>
    <t>Szoboszlai</t>
  </si>
  <si>
    <t>Virgil</t>
  </si>
  <si>
    <t>van Dijk</t>
  </si>
  <si>
    <t>Bernardo</t>
  </si>
  <si>
    <t>Veiga de Carvalho e Silva</t>
  </si>
  <si>
    <t>Jérémy</t>
  </si>
  <si>
    <t>Doku</t>
  </si>
  <si>
    <t>Ederson</t>
  </si>
  <si>
    <t>Santana de Moraes</t>
  </si>
  <si>
    <t>Ederson M.</t>
  </si>
  <si>
    <t>Joško</t>
  </si>
  <si>
    <t>Gvardiol</t>
  </si>
  <si>
    <t>Erling</t>
  </si>
  <si>
    <t>Haaland</t>
  </si>
  <si>
    <t>Mateo</t>
  </si>
  <si>
    <t>Kovačić</t>
  </si>
  <si>
    <t>Matheus Luiz</t>
  </si>
  <si>
    <t>Nunes</t>
  </si>
  <si>
    <t>Matheus N.</t>
  </si>
  <si>
    <t>Rúben</t>
  </si>
  <si>
    <t>Gato Alves Dias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</si>
  <si>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</si>
  <si>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</si>
  <si>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</si>
  <si>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</si>
  <si>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</si>
  <si>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</si>
  <si>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</si>
  <si>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</si>
  <si>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</si>
  <si>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</si>
  <si>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</si>
  <si>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</si>
  <si>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</si>
  <si>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</si>
  <si>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</si>
  <si>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André</t>
  </si>
  <si>
    <t>Onana</t>
  </si>
  <si>
    <t>Rashford</t>
  </si>
  <si>
    <t>Joshua</t>
  </si>
  <si>
    <t>Zirkzee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</si>
  <si>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</si>
  <si>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</si>
  <si>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</si>
  <si>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</si>
  <si>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</si>
  <si>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</si>
  <si>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</si>
  <si>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</si>
  <si>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</si>
  <si>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</si>
  <si>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</si>
  <si>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Jacob</t>
  </si>
  <si>
    <t>Murphy</t>
  </si>
  <si>
    <t>J.Murphy</t>
  </si>
  <si>
    <t>Tino</t>
  </si>
  <si>
    <t>Livramento</t>
  </si>
  <si>
    <t>Fabian</t>
  </si>
  <si>
    <t>Schär</t>
  </si>
  <si>
    <t>Ola</t>
  </si>
  <si>
    <t>Aina</t>
  </si>
  <si>
    <t>Elliot</t>
  </si>
  <si>
    <t>Anderson</t>
  </si>
  <si>
    <t>Elanga</t>
  </si>
  <si>
    <t>Gibbs-White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</si>
  <si>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</si>
  <si>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</si>
  <si>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</si>
  <si>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</si>
  <si>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</si>
  <si>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</si>
  <si>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</si>
  <si>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</si>
  <si>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Nikola</t>
  </si>
  <si>
    <t>Milenković</t>
  </si>
  <si>
    <t>Joe</t>
  </si>
  <si>
    <t>Aribo</t>
  </si>
  <si>
    <t>Armstrong</t>
  </si>
  <si>
    <t>Flynn</t>
  </si>
  <si>
    <t>Downes</t>
  </si>
  <si>
    <t>Mateus Gonçalo</t>
  </si>
  <si>
    <t>Espanha Fernandes</t>
  </si>
  <si>
    <t>M.Fernandes</t>
  </si>
  <si>
    <t>Solanke-Mitchell</t>
  </si>
  <si>
    <t>Solanke</t>
  </si>
  <si>
    <t>Brennan</t>
  </si>
  <si>
    <t>Johnson</t>
  </si>
  <si>
    <t>Dejan</t>
  </si>
  <si>
    <t>Kulusevski</t>
  </si>
  <si>
    <t>Maddison</t>
  </si>
  <si>
    <t>Porro</t>
  </si>
  <si>
    <t>Pedro Porro</t>
  </si>
  <si>
    <t>Pape Matar</t>
  </si>
  <si>
    <t>P.M.Sarr</t>
  </si>
  <si>
    <t>Son</t>
  </si>
  <si>
    <t>Heung-min</t>
  </si>
  <si>
    <t>Destiny</t>
  </si>
  <si>
    <t>Udogie</t>
  </si>
  <si>
    <t>Guglielmo</t>
  </si>
  <si>
    <t>Vicario</t>
  </si>
  <si>
    <t>Timo</t>
  </si>
  <si>
    <t>Werner</t>
  </si>
  <si>
    <t>Aaron</t>
  </si>
  <si>
    <t>Wan-Bissaka</t>
  </si>
  <si>
    <t>Jarrod</t>
  </si>
  <si>
    <t>Bowen</t>
  </si>
  <si>
    <t>Emerson</t>
  </si>
  <si>
    <t>Palmieri dos Santos</t>
  </si>
  <si>
    <t>Max</t>
  </si>
  <si>
    <t>Kilman</t>
  </si>
  <si>
    <t>Lucas</t>
  </si>
  <si>
    <t>Tolentino Coelho de Lima</t>
  </si>
  <si>
    <t>L.Paquetá</t>
  </si>
  <si>
    <t>Tomáš</t>
  </si>
  <si>
    <t>Souček</t>
  </si>
  <si>
    <t>Jean-Ricner</t>
  </si>
  <si>
    <t>Bellegarde</t>
  </si>
  <si>
    <t>Matheus</t>
  </si>
  <si>
    <t>Santos Carneiro Da Cunha</t>
  </si>
  <si>
    <t>Cunha</t>
  </si>
  <si>
    <t>Gonçalo Manuel</t>
  </si>
  <si>
    <t>Ganchinho Guedes</t>
  </si>
  <si>
    <t>Guedes</t>
  </si>
  <si>
    <t>João Victor</t>
  </si>
  <si>
    <t>Gomes da Silva</t>
  </si>
  <si>
    <t>J.Gomes</t>
  </si>
  <si>
    <t>Mario</t>
  </si>
  <si>
    <t>Lemina</t>
  </si>
  <si>
    <t>Mario Jr.</t>
  </si>
  <si>
    <t>Jørgen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</si>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</sst>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57" totalsRowShown="0">
  <autoFilter ref="A1:AM157" xr:uid="{00000000-0009-0000-0100-000001000000}">
    <filterColumn colId="38">
      <filters>
        <filter val="1"/>
      </filters>
    </filterColumn>
  </autoFilter>
  <sortState xmlns:xlrd2="http://schemas.microsoft.com/office/spreadsheetml/2017/richdata2" ref="A8:AM153">
    <sortCondition descending="1" ref="AJ1:AJ157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7"/>
  <sheetViews>
    <sheetView tabSelected="1" zoomScale="120" zoomScaleNormal="120" workbookViewId="0">
      <selection activeCell="C23" sqref="C23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</v>
      </c>
      <c r="AF2">
        <v>20.653049085619479</v>
      </c>
      <c r="AG2">
        <v>19.62221591232888</v>
      </c>
      <c r="AH2">
        <v>36.439251369163649</v>
      </c>
      <c r="AI2">
        <f>8.06871473450095*1</f>
        <v>8.0687147345009507</v>
      </c>
      <c r="AJ2">
        <f>1.38424572896654*1</f>
        <v>1.38424572896654</v>
      </c>
      <c r="AK2">
        <v>1</v>
      </c>
      <c r="AL2">
        <v>0</v>
      </c>
      <c r="AM2">
        <v>0</v>
      </c>
      <c r="AO2" t="s">
        <v>0</v>
      </c>
      <c r="AP2">
        <f>SUMPRODUCT(Table1[Selected], Table1[PP])</f>
        <v>371.83733255022003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7.9</v>
      </c>
      <c r="AE3">
        <v>3</v>
      </c>
      <c r="AF3">
        <v>17.800715450413879</v>
      </c>
      <c r="AG3">
        <v>14.03783472692335</v>
      </c>
      <c r="AH3">
        <v>18.368605347967812</v>
      </c>
      <c r="AI3">
        <f>11.9400202222528*1</f>
        <v>11.9400202222528</v>
      </c>
      <c r="AJ3">
        <f>2.3625238016614*1</f>
        <v>2.3625238016613999</v>
      </c>
      <c r="AK3">
        <v>1</v>
      </c>
      <c r="AL3">
        <v>0</v>
      </c>
      <c r="AM3">
        <v>0</v>
      </c>
    </row>
    <row r="4" spans="1:43" hidden="1" x14ac:dyDescent="0.2">
      <c r="A4" t="s">
        <v>49</v>
      </c>
      <c r="B4" t="s">
        <v>50</v>
      </c>
      <c r="C4" t="s">
        <v>51</v>
      </c>
      <c r="D4" t="s">
        <v>4</v>
      </c>
      <c r="E4">
        <v>0</v>
      </c>
      <c r="F4">
        <v>1</v>
      </c>
      <c r="G4">
        <v>0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5.7</v>
      </c>
      <c r="AE4">
        <v>5</v>
      </c>
      <c r="AF4">
        <v>0</v>
      </c>
      <c r="AG4">
        <v>0</v>
      </c>
      <c r="AH4">
        <v>0</v>
      </c>
      <c r="AI4">
        <f>0*1</f>
        <v>0</v>
      </c>
      <c r="AJ4">
        <f>0*1</f>
        <v>0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98</v>
      </c>
      <c r="AQ4">
        <v>100</v>
      </c>
    </row>
    <row r="5" spans="1:43" hidden="1" x14ac:dyDescent="0.2">
      <c r="A5" t="s">
        <v>45</v>
      </c>
      <c r="B5" t="s">
        <v>52</v>
      </c>
      <c r="C5" t="s">
        <v>53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6.7</v>
      </c>
      <c r="AE5">
        <v>8</v>
      </c>
      <c r="AF5">
        <v>21.64634146341464</v>
      </c>
      <c r="AG5">
        <v>23.03651821005802</v>
      </c>
      <c r="AH5">
        <v>13.420759356934839</v>
      </c>
      <c r="AI5">
        <f>17.6677959924352*1</f>
        <v>17.667795992435199</v>
      </c>
      <c r="AJ5">
        <f>2.84997311999322*1</f>
        <v>2.8499731199932201</v>
      </c>
      <c r="AK5">
        <v>1</v>
      </c>
      <c r="AL5">
        <v>0</v>
      </c>
      <c r="AM5">
        <v>0</v>
      </c>
    </row>
    <row r="6" spans="1:43" hidden="1" x14ac:dyDescent="0.2">
      <c r="A6" t="s">
        <v>54</v>
      </c>
      <c r="B6" t="s">
        <v>55</v>
      </c>
      <c r="C6" t="s">
        <v>56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5.6</v>
      </c>
      <c r="AE6">
        <v>11</v>
      </c>
      <c r="AF6">
        <v>20.607476635514001</v>
      </c>
      <c r="AG6">
        <v>21.159534427985541</v>
      </c>
      <c r="AH6">
        <v>19.492853327799981</v>
      </c>
      <c r="AI6">
        <f>13.4876735244968*1</f>
        <v>13.487673524496801</v>
      </c>
      <c r="AJ6">
        <f>2.70572493639419*1</f>
        <v>2.7057249363941902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2</v>
      </c>
      <c r="AQ6">
        <v>2</v>
      </c>
    </row>
    <row r="7" spans="1:43" hidden="1" x14ac:dyDescent="0.2">
      <c r="A7" t="s">
        <v>57</v>
      </c>
      <c r="B7" t="s">
        <v>58</v>
      </c>
      <c r="C7" t="s">
        <v>58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6.2</v>
      </c>
      <c r="AE7">
        <v>12</v>
      </c>
      <c r="AF7">
        <v>17.261867388539251</v>
      </c>
      <c r="AG7">
        <v>14.437576181266691</v>
      </c>
      <c r="AH7">
        <v>12.671428571428571</v>
      </c>
      <c r="AI7">
        <f>13.2835847517558*1</f>
        <v>13.2835847517558</v>
      </c>
      <c r="AJ7">
        <f>2.61886745866769*1</f>
        <v>2.6188674586676899</v>
      </c>
      <c r="AK7">
        <v>1</v>
      </c>
      <c r="AL7">
        <v>0</v>
      </c>
      <c r="AM7">
        <v>0</v>
      </c>
      <c r="AO7" t="s">
        <v>4</v>
      </c>
      <c r="AP7">
        <f>SUMPRODUCT(Table1[Selected],Table1[DEF])</f>
        <v>5</v>
      </c>
      <c r="AQ7">
        <v>5</v>
      </c>
    </row>
    <row r="8" spans="1:43" x14ac:dyDescent="0.2">
      <c r="A8" t="s">
        <v>242</v>
      </c>
      <c r="B8" t="s">
        <v>243</v>
      </c>
      <c r="C8" t="s">
        <v>244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13.4</v>
      </c>
      <c r="AE8">
        <v>405</v>
      </c>
      <c r="AF8">
        <v>35.366972477064252</v>
      </c>
      <c r="AG8">
        <v>34.405343538854389</v>
      </c>
      <c r="AH8">
        <v>50.75498060799039</v>
      </c>
      <c r="AI8">
        <f>46.1830425578791*1</f>
        <v>46.183042557879098</v>
      </c>
      <c r="AJ8">
        <f>9.37530029776734*1</f>
        <v>9.3753002977673408</v>
      </c>
      <c r="AK8">
        <v>1</v>
      </c>
      <c r="AL8">
        <v>0</v>
      </c>
      <c r="AM8">
        <v>1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61</v>
      </c>
      <c r="B9" t="s">
        <v>62</v>
      </c>
      <c r="C9" t="s">
        <v>62</v>
      </c>
      <c r="D9" t="s">
        <v>4</v>
      </c>
      <c r="E9">
        <v>0</v>
      </c>
      <c r="F9">
        <v>1</v>
      </c>
      <c r="G9">
        <v>0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6.3</v>
      </c>
      <c r="AE9">
        <v>14</v>
      </c>
      <c r="AF9">
        <v>21.168831168831161</v>
      </c>
      <c r="AG9">
        <v>19.172582344173229</v>
      </c>
      <c r="AH9">
        <v>24.947911497133841</v>
      </c>
      <c r="AI9">
        <f>20.0279701657602*1</f>
        <v>20.027970165760198</v>
      </c>
      <c r="AJ9">
        <f>4.07321510966339*1</f>
        <v>4.0732151096633897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63</v>
      </c>
      <c r="B10" t="s">
        <v>64</v>
      </c>
      <c r="C10" t="s">
        <v>63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15</v>
      </c>
      <c r="AF10">
        <v>12.09523809523809</v>
      </c>
      <c r="AG10">
        <v>10.1530512741748</v>
      </c>
      <c r="AH10">
        <v>10.81080132514121</v>
      </c>
      <c r="AI10">
        <f>12.0510419354437*1</f>
        <v>12.051041935443701</v>
      </c>
      <c r="AJ10">
        <f>2.34986289103381*1</f>
        <v>2.3498628910338102</v>
      </c>
      <c r="AK10">
        <v>1</v>
      </c>
      <c r="AL10">
        <v>0</v>
      </c>
      <c r="AM10">
        <v>0</v>
      </c>
    </row>
    <row r="11" spans="1:43" hidden="1" x14ac:dyDescent="0.2">
      <c r="A11" t="s">
        <v>65</v>
      </c>
      <c r="B11" t="s">
        <v>66</v>
      </c>
      <c r="C11" t="s">
        <v>66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6.8</v>
      </c>
      <c r="AE11">
        <v>18</v>
      </c>
      <c r="AF11">
        <v>19.19889502762431</v>
      </c>
      <c r="AG11">
        <v>19.659603000787349</v>
      </c>
      <c r="AH11">
        <v>8.3575282473271351</v>
      </c>
      <c r="AI11">
        <f>12.0826295857927*1</f>
        <v>12.0826295857927</v>
      </c>
      <c r="AJ11">
        <f>2.21057325492056*1</f>
        <v>2.2105732549205599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3</v>
      </c>
    </row>
    <row r="12" spans="1:43" hidden="1" x14ac:dyDescent="0.2">
      <c r="A12" t="s">
        <v>67</v>
      </c>
      <c r="B12" t="s">
        <v>68</v>
      </c>
      <c r="C12" t="s">
        <v>68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5.2</v>
      </c>
      <c r="AE12">
        <v>34</v>
      </c>
      <c r="AF12">
        <v>14.46280991735536</v>
      </c>
      <c r="AG12">
        <v>15.55042019566244</v>
      </c>
      <c r="AH12">
        <v>5.7662167758264093</v>
      </c>
      <c r="AI12">
        <f>8.87533073207781*1</f>
        <v>8.8753307320778099</v>
      </c>
      <c r="AJ12">
        <f>1.79196491109277*1</f>
        <v>1.79196491109277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69</v>
      </c>
      <c r="B13" t="s">
        <v>70</v>
      </c>
      <c r="C13" t="s">
        <v>71</v>
      </c>
      <c r="D13" t="s">
        <v>6</v>
      </c>
      <c r="E13">
        <v>0</v>
      </c>
      <c r="F13">
        <v>0</v>
      </c>
      <c r="G13">
        <v>0</v>
      </c>
      <c r="H13">
        <v>1</v>
      </c>
      <c r="I13" t="s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5.8</v>
      </c>
      <c r="AE13">
        <v>43</v>
      </c>
      <c r="AF13">
        <v>10.490196078431371</v>
      </c>
      <c r="AG13">
        <v>13.93131507764828</v>
      </c>
      <c r="AH13">
        <v>25.251111111111111</v>
      </c>
      <c r="AI13">
        <f>6.57581172202894*1</f>
        <v>6.5758117220289396</v>
      </c>
      <c r="AJ13">
        <f>1.41608540473664*1</f>
        <v>1.41608540473664</v>
      </c>
      <c r="AK13">
        <v>1</v>
      </c>
      <c r="AL13">
        <v>0</v>
      </c>
      <c r="AM13">
        <v>0</v>
      </c>
    </row>
    <row r="14" spans="1:43" hidden="1" x14ac:dyDescent="0.2">
      <c r="A14" t="s">
        <v>72</v>
      </c>
      <c r="B14" t="s">
        <v>73</v>
      </c>
      <c r="C14" t="s">
        <v>74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4.4000000000000004</v>
      </c>
      <c r="AE14">
        <v>49</v>
      </c>
      <c r="AF14">
        <v>13.80116959064326</v>
      </c>
      <c r="AG14">
        <v>14.140078143688729</v>
      </c>
      <c r="AH14">
        <v>22.895988739731379</v>
      </c>
      <c r="AI14">
        <f>6.16397814789806*1</f>
        <v>6.1639781478980602</v>
      </c>
      <c r="AJ14">
        <f>1.26355020577216*1</f>
        <v>1.2635502057721599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8</v>
      </c>
    </row>
    <row r="15" spans="1:43" hidden="1" x14ac:dyDescent="0.2">
      <c r="A15" t="s">
        <v>75</v>
      </c>
      <c r="B15" t="s">
        <v>76</v>
      </c>
      <c r="C15" t="s">
        <v>77</v>
      </c>
      <c r="D15" t="s">
        <v>3</v>
      </c>
      <c r="E15">
        <v>1</v>
      </c>
      <c r="F15">
        <v>0</v>
      </c>
      <c r="G15">
        <v>0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52</v>
      </c>
      <c r="AF15">
        <v>16.70588235294117</v>
      </c>
      <c r="AG15">
        <v>18.320942852622281</v>
      </c>
      <c r="AH15">
        <v>9.9696104332172073</v>
      </c>
      <c r="AI15">
        <f>7.71258123181588*1</f>
        <v>7.7125812318158804</v>
      </c>
      <c r="AJ15">
        <f>1.61139713038515*1</f>
        <v>1.61139713038515</v>
      </c>
      <c r="AK15">
        <v>1</v>
      </c>
      <c r="AL15">
        <v>0</v>
      </c>
      <c r="AM15">
        <v>0</v>
      </c>
    </row>
    <row r="16" spans="1:43" hidden="1" x14ac:dyDescent="0.2">
      <c r="A16" t="s">
        <v>78</v>
      </c>
      <c r="B16" t="s">
        <v>79</v>
      </c>
      <c r="C16" t="s">
        <v>79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5.2</v>
      </c>
      <c r="AE16">
        <v>53</v>
      </c>
      <c r="AF16">
        <v>14.886363636363649</v>
      </c>
      <c r="AG16">
        <v>15.63734861320121</v>
      </c>
      <c r="AH16">
        <v>22.973682527076448</v>
      </c>
      <c r="AI16">
        <f>13.2388016533841*1</f>
        <v>13.238801653384099</v>
      </c>
      <c r="AJ16">
        <f>2.52922267915025*1</f>
        <v>2.5292226791502501</v>
      </c>
      <c r="AK16">
        <v>1</v>
      </c>
      <c r="AL16">
        <v>0</v>
      </c>
      <c r="AM16">
        <v>0</v>
      </c>
      <c r="AO16" t="s">
        <v>10</v>
      </c>
      <c r="AP16">
        <f>AP2-AP14*5</f>
        <v>331.83733255022003</v>
      </c>
    </row>
    <row r="17" spans="1:43" hidden="1" x14ac:dyDescent="0.2">
      <c r="A17" t="s">
        <v>80</v>
      </c>
      <c r="B17" t="s">
        <v>81</v>
      </c>
      <c r="C17" t="s">
        <v>81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5.3</v>
      </c>
      <c r="AE17">
        <v>59</v>
      </c>
      <c r="AF17">
        <v>17.777777777777779</v>
      </c>
      <c r="AG17">
        <v>24.047973736819419</v>
      </c>
      <c r="AH17">
        <v>15.53993939706465</v>
      </c>
      <c r="AI17">
        <f>9.40924271889057*1</f>
        <v>9.4092427188905692</v>
      </c>
      <c r="AJ17">
        <f>1.72000420890911*1</f>
        <v>1.7200042089091101</v>
      </c>
      <c r="AK17">
        <v>1</v>
      </c>
      <c r="AL17">
        <v>0</v>
      </c>
      <c r="AM17">
        <v>0</v>
      </c>
    </row>
    <row r="18" spans="1:43" hidden="1" x14ac:dyDescent="0.2">
      <c r="A18" t="s">
        <v>82</v>
      </c>
      <c r="B18" t="s">
        <v>83</v>
      </c>
      <c r="C18" t="s">
        <v>83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</v>
      </c>
      <c r="AE18">
        <v>62</v>
      </c>
      <c r="AF18">
        <v>14.045431382372371</v>
      </c>
      <c r="AG18">
        <v>16.930727079932389</v>
      </c>
      <c r="AH18">
        <v>10.53151910650756</v>
      </c>
      <c r="AI18">
        <f>10.0378843289011*1</f>
        <v>10.0378843289011</v>
      </c>
      <c r="AJ18">
        <f>2.0061003881042*1</f>
        <v>2.0061003881041999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1</v>
      </c>
      <c r="AQ18">
        <v>3</v>
      </c>
    </row>
    <row r="19" spans="1:43" hidden="1" x14ac:dyDescent="0.2">
      <c r="A19" t="s">
        <v>84</v>
      </c>
      <c r="B19" t="s">
        <v>85</v>
      </c>
      <c r="C19" t="s">
        <v>85</v>
      </c>
      <c r="D19" t="s">
        <v>6</v>
      </c>
      <c r="E19">
        <v>0</v>
      </c>
      <c r="F19">
        <v>0</v>
      </c>
      <c r="G19">
        <v>0</v>
      </c>
      <c r="H19">
        <v>1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8.9</v>
      </c>
      <c r="AE19">
        <v>63</v>
      </c>
      <c r="AF19">
        <v>23.942307692307669</v>
      </c>
      <c r="AG19">
        <v>22.472859042492651</v>
      </c>
      <c r="AH19">
        <v>15.43019234506623</v>
      </c>
      <c r="AI19">
        <f>11.0449599561254*1</f>
        <v>11.0449599561254</v>
      </c>
      <c r="AJ19">
        <f>2.23418118966694*1</f>
        <v>2.2341811896669399</v>
      </c>
      <c r="AK19">
        <v>1</v>
      </c>
      <c r="AL19">
        <v>0</v>
      </c>
      <c r="AM19">
        <v>0</v>
      </c>
      <c r="AO19" t="s">
        <v>12</v>
      </c>
      <c r="AP19">
        <f>SUMPRODUCT(Table1[Selected],Table1[AVL])</f>
        <v>0</v>
      </c>
      <c r="AQ19">
        <v>3</v>
      </c>
    </row>
    <row r="20" spans="1:43" hidden="1" x14ac:dyDescent="0.2">
      <c r="A20" t="s">
        <v>86</v>
      </c>
      <c r="B20" t="s">
        <v>87</v>
      </c>
      <c r="C20" t="s">
        <v>87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4.9000000000000004</v>
      </c>
      <c r="AE20">
        <v>75</v>
      </c>
      <c r="AF20">
        <v>10.510948718100821</v>
      </c>
      <c r="AG20">
        <v>8.7242927980269407</v>
      </c>
      <c r="AH20">
        <v>18.88349983349984</v>
      </c>
      <c r="AI20">
        <f>13.103566891793*1</f>
        <v>13.103566891792999</v>
      </c>
      <c r="AJ20">
        <f>2.53085790471922*1</f>
        <v>2.5308579047192201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1</v>
      </c>
      <c r="AQ20">
        <v>3</v>
      </c>
    </row>
    <row r="21" spans="1:43" hidden="1" x14ac:dyDescent="0.2">
      <c r="A21" t="s">
        <v>88</v>
      </c>
      <c r="B21" t="s">
        <v>89</v>
      </c>
      <c r="C21" t="s">
        <v>89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76</v>
      </c>
      <c r="AF21">
        <v>11.57132545828744</v>
      </c>
      <c r="AG21">
        <v>7.9080002172880892</v>
      </c>
      <c r="AH21">
        <v>9.2809800623713521</v>
      </c>
      <c r="AI21">
        <f>3.60329239546293*1</f>
        <v>3.6032923954629301</v>
      </c>
      <c r="AJ21">
        <f>0.692384167569122*1</f>
        <v>0.69238416756912202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2</v>
      </c>
      <c r="AQ21">
        <v>3</v>
      </c>
    </row>
    <row r="22" spans="1:43" hidden="1" x14ac:dyDescent="0.2">
      <c r="A22" t="s">
        <v>90</v>
      </c>
      <c r="B22" t="s">
        <v>91</v>
      </c>
      <c r="C22" t="s">
        <v>92</v>
      </c>
      <c r="D22" t="s">
        <v>6</v>
      </c>
      <c r="E22">
        <v>0</v>
      </c>
      <c r="F22">
        <v>0</v>
      </c>
      <c r="G22">
        <v>0</v>
      </c>
      <c r="H22">
        <v>1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5.4</v>
      </c>
      <c r="AE22">
        <v>77</v>
      </c>
      <c r="AF22">
        <v>11.481481481481479</v>
      </c>
      <c r="AG22">
        <v>9.8538372065951876</v>
      </c>
      <c r="AH22">
        <v>22.798110885203702</v>
      </c>
      <c r="AI22">
        <f>15.5164349471826*1</f>
        <v>15.516434947182599</v>
      </c>
      <c r="AJ22">
        <f>2.9610676086533*1</f>
        <v>2.9610676086533001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1</v>
      </c>
      <c r="AQ22">
        <v>3</v>
      </c>
    </row>
    <row r="23" spans="1:43" x14ac:dyDescent="0.2">
      <c r="A23" t="s">
        <v>271</v>
      </c>
      <c r="B23" t="s">
        <v>272</v>
      </c>
      <c r="C23" t="s">
        <v>273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8.4</v>
      </c>
      <c r="AE23">
        <v>454</v>
      </c>
      <c r="AF23">
        <v>23.373493975903621</v>
      </c>
      <c r="AG23">
        <v>30.087412547884909</v>
      </c>
      <c r="AH23">
        <v>48.133396657103361</v>
      </c>
      <c r="AI23">
        <f>47.5988878217179*1</f>
        <v>47.598887821717902</v>
      </c>
      <c r="AJ23">
        <f>9.20764673276147*1</f>
        <v>9.2076467327614697</v>
      </c>
      <c r="AK23">
        <v>1</v>
      </c>
      <c r="AL23">
        <v>1</v>
      </c>
      <c r="AM23">
        <v>1</v>
      </c>
      <c r="AO23" t="s">
        <v>16</v>
      </c>
      <c r="AP23">
        <f>SUMPRODUCT(Table1[Selected],Table1[CHE])</f>
        <v>0</v>
      </c>
      <c r="AQ23">
        <v>3</v>
      </c>
    </row>
    <row r="24" spans="1:43" hidden="1" x14ac:dyDescent="0.2">
      <c r="A24" t="s">
        <v>95</v>
      </c>
      <c r="B24" t="s">
        <v>96</v>
      </c>
      <c r="C24" t="s">
        <v>96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5.5</v>
      </c>
      <c r="AE24">
        <v>83</v>
      </c>
      <c r="AF24">
        <v>22.814761787597671</v>
      </c>
      <c r="AG24">
        <v>11.943263923910919</v>
      </c>
      <c r="AH24">
        <v>26.711605219394499</v>
      </c>
      <c r="AI24">
        <f>25.9799648547424*1</f>
        <v>25.979964854742398</v>
      </c>
      <c r="AJ24">
        <f>4.1819247610141*1</f>
        <v>4.1819247610141002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97</v>
      </c>
      <c r="B25" t="s">
        <v>98</v>
      </c>
      <c r="C25" t="s">
        <v>99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85</v>
      </c>
      <c r="AF25">
        <v>10.749596997384479</v>
      </c>
      <c r="AG25">
        <v>8.2227587672698448</v>
      </c>
      <c r="AH25">
        <v>36.1</v>
      </c>
      <c r="AI25">
        <f>17.569324391257*1</f>
        <v>17.569324391256998</v>
      </c>
      <c r="AJ25">
        <f>3.4684420323286*1</f>
        <v>3.4684420323285998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3</v>
      </c>
      <c r="AQ25">
        <v>3</v>
      </c>
    </row>
    <row r="26" spans="1:43" hidden="1" x14ac:dyDescent="0.2">
      <c r="A26" t="s">
        <v>100</v>
      </c>
      <c r="B26" t="s">
        <v>101</v>
      </c>
      <c r="C26" t="s">
        <v>101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5.6</v>
      </c>
      <c r="AE26">
        <v>89</v>
      </c>
      <c r="AF26">
        <v>15.714285714285721</v>
      </c>
      <c r="AG26">
        <v>16.726554690248161</v>
      </c>
      <c r="AH26">
        <v>17.698545646293759</v>
      </c>
      <c r="AI26">
        <f>7.93112933036742*1</f>
        <v>7.93112933036742</v>
      </c>
      <c r="AJ26">
        <f>1.60261834178162*1</f>
        <v>1.60261834178162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0</v>
      </c>
      <c r="AQ26">
        <v>3</v>
      </c>
    </row>
    <row r="27" spans="1:43" hidden="1" x14ac:dyDescent="0.2">
      <c r="A27" t="s">
        <v>102</v>
      </c>
      <c r="B27" t="s">
        <v>103</v>
      </c>
      <c r="C27" t="s">
        <v>103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92</v>
      </c>
      <c r="AF27">
        <v>12.00787401574803</v>
      </c>
      <c r="AG27">
        <v>9.3639598619210034</v>
      </c>
      <c r="AH27">
        <v>13.570992559313529</v>
      </c>
      <c r="AI27">
        <f>9.72880422010239*1</f>
        <v>9.7288042201023899</v>
      </c>
      <c r="AJ27">
        <f>1.93093294825082*1</f>
        <v>1.93093294825082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hidden="1" x14ac:dyDescent="0.2">
      <c r="A28" t="s">
        <v>104</v>
      </c>
      <c r="B28" t="s">
        <v>105</v>
      </c>
      <c r="C28" t="s">
        <v>105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</v>
      </c>
      <c r="AE28">
        <v>93</v>
      </c>
      <c r="AF28">
        <v>16.81818181818182</v>
      </c>
      <c r="AG28">
        <v>20.55794486743795</v>
      </c>
      <c r="AH28">
        <v>22.9</v>
      </c>
      <c r="AI28">
        <f>13.4834782210463*1</f>
        <v>13.483478221046299</v>
      </c>
      <c r="AJ28">
        <f>2.53041974748556*1</f>
        <v>2.5304197474855599</v>
      </c>
      <c r="AK28">
        <v>1</v>
      </c>
      <c r="AL28">
        <v>0</v>
      </c>
      <c r="AM28">
        <v>0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106</v>
      </c>
      <c r="B29" t="s">
        <v>107</v>
      </c>
      <c r="C29" t="s">
        <v>107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4.4000000000000004</v>
      </c>
      <c r="AE29">
        <v>95</v>
      </c>
      <c r="AF29">
        <v>11.16071428571429</v>
      </c>
      <c r="AG29">
        <v>10.10517890476153</v>
      </c>
      <c r="AH29">
        <v>13.89081219815667</v>
      </c>
      <c r="AI29">
        <f>11.6214418777999*1</f>
        <v>11.621441877799899</v>
      </c>
      <c r="AJ29">
        <f>2.37808052199224*1</f>
        <v>2.3780805219922398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2</v>
      </c>
      <c r="AQ29">
        <v>3</v>
      </c>
    </row>
    <row r="30" spans="1:43" hidden="1" x14ac:dyDescent="0.2">
      <c r="A30" t="s">
        <v>108</v>
      </c>
      <c r="B30" t="s">
        <v>109</v>
      </c>
      <c r="C30" t="s">
        <v>110</v>
      </c>
      <c r="D30" t="s">
        <v>6</v>
      </c>
      <c r="E30">
        <v>0</v>
      </c>
      <c r="F30">
        <v>0</v>
      </c>
      <c r="G30">
        <v>0</v>
      </c>
      <c r="H30">
        <v>1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6.1</v>
      </c>
      <c r="AE30">
        <v>100</v>
      </c>
      <c r="AF30">
        <v>0</v>
      </c>
      <c r="AG30">
        <v>0</v>
      </c>
      <c r="AH30">
        <v>0</v>
      </c>
      <c r="AI30">
        <f>0*1</f>
        <v>0</v>
      </c>
      <c r="AJ30">
        <f>0*1</f>
        <v>0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hidden="1" x14ac:dyDescent="0.2">
      <c r="A31" t="s">
        <v>111</v>
      </c>
      <c r="B31" t="s">
        <v>112</v>
      </c>
      <c r="C31" t="s">
        <v>112</v>
      </c>
      <c r="D31" t="s">
        <v>4</v>
      </c>
      <c r="E31">
        <v>0</v>
      </c>
      <c r="F31">
        <v>1</v>
      </c>
      <c r="G31">
        <v>0</v>
      </c>
      <c r="H31">
        <v>0</v>
      </c>
      <c r="I31" t="s">
        <v>14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105</v>
      </c>
      <c r="AF31">
        <v>12.747252747252739</v>
      </c>
      <c r="AG31">
        <v>10.42904941015942</v>
      </c>
      <c r="AH31">
        <v>20.04433824531899</v>
      </c>
      <c r="AI31">
        <f>8.05651879730133*1</f>
        <v>8.0565187973013295</v>
      </c>
      <c r="AJ31">
        <f>1.42719953796517*1</f>
        <v>1.4271995379651701</v>
      </c>
      <c r="AK31">
        <v>1</v>
      </c>
      <c r="AL31">
        <v>0</v>
      </c>
      <c r="AM31">
        <v>0</v>
      </c>
      <c r="AO31" t="s">
        <v>24</v>
      </c>
      <c r="AP31">
        <f>SUMPRODUCT(Table1[Selected],Table1[MUN])</f>
        <v>1</v>
      </c>
      <c r="AQ31">
        <v>3</v>
      </c>
    </row>
    <row r="32" spans="1:43" x14ac:dyDescent="0.2">
      <c r="A32" t="s">
        <v>317</v>
      </c>
      <c r="B32" t="s">
        <v>318</v>
      </c>
      <c r="C32" t="s">
        <v>318</v>
      </c>
      <c r="D32" t="s">
        <v>3</v>
      </c>
      <c r="E32">
        <v>1</v>
      </c>
      <c r="F32">
        <v>0</v>
      </c>
      <c r="G32">
        <v>0</v>
      </c>
      <c r="H32">
        <v>0</v>
      </c>
      <c r="I32" t="s">
        <v>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4.7</v>
      </c>
      <c r="AE32">
        <v>541</v>
      </c>
      <c r="AF32">
        <v>15.3125</v>
      </c>
      <c r="AG32">
        <v>27.612218914614971</v>
      </c>
      <c r="AH32">
        <v>12.5</v>
      </c>
      <c r="AI32">
        <f>29.8360042251382*1</f>
        <v>29.8360042251382</v>
      </c>
      <c r="AJ32">
        <f>6.63532017071893*1</f>
        <v>6.6353201707189298</v>
      </c>
      <c r="AK32">
        <v>1</v>
      </c>
      <c r="AL32">
        <v>1</v>
      </c>
      <c r="AM32">
        <v>1</v>
      </c>
      <c r="AO32" t="s">
        <v>25</v>
      </c>
      <c r="AP32">
        <f>SUMPRODUCT(Table1[Selected],Table1[NEW])</f>
        <v>0</v>
      </c>
      <c r="AQ32">
        <v>3</v>
      </c>
    </row>
    <row r="33" spans="1:43" hidden="1" x14ac:dyDescent="0.2">
      <c r="A33" t="s">
        <v>115</v>
      </c>
      <c r="B33" t="s">
        <v>116</v>
      </c>
      <c r="C33" t="s">
        <v>116</v>
      </c>
      <c r="D33" t="s">
        <v>3</v>
      </c>
      <c r="E33">
        <v>1</v>
      </c>
      <c r="F33">
        <v>0</v>
      </c>
      <c r="G33">
        <v>0</v>
      </c>
      <c r="H33">
        <v>0</v>
      </c>
      <c r="I33" t="s">
        <v>14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</v>
      </c>
      <c r="AE33">
        <v>108</v>
      </c>
      <c r="AF33">
        <v>16.05769230769231</v>
      </c>
      <c r="AG33">
        <v>18.497361945317849</v>
      </c>
      <c r="AH33">
        <v>14.97920849108065</v>
      </c>
      <c r="AI33">
        <f>13.8585087096178*1</f>
        <v>13.8585087096178</v>
      </c>
      <c r="AJ33">
        <f>2.64990426149126*1</f>
        <v>2.64990426149126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3</v>
      </c>
      <c r="AQ33">
        <v>3</v>
      </c>
    </row>
    <row r="34" spans="1:43" hidden="1" x14ac:dyDescent="0.2">
      <c r="A34" t="s">
        <v>117</v>
      </c>
      <c r="B34" t="s">
        <v>118</v>
      </c>
      <c r="C34" t="s">
        <v>118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111</v>
      </c>
      <c r="AF34">
        <v>13.260869565217391</v>
      </c>
      <c r="AG34">
        <v>11.968577124302501</v>
      </c>
      <c r="AH34">
        <v>11.51816841458092</v>
      </c>
      <c r="AI34">
        <f>13.934545767222*1</f>
        <v>13.934545767222</v>
      </c>
      <c r="AJ34">
        <f>2.68459432625921*1</f>
        <v>2.68459432625921</v>
      </c>
      <c r="AK34">
        <v>1</v>
      </c>
      <c r="AL34">
        <v>0</v>
      </c>
      <c r="AM34">
        <v>0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119</v>
      </c>
      <c r="B35" t="s">
        <v>120</v>
      </c>
      <c r="C35" t="s">
        <v>120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14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7.6</v>
      </c>
      <c r="AE35">
        <v>116</v>
      </c>
      <c r="AF35">
        <v>28.58102358958865</v>
      </c>
      <c r="AG35">
        <v>19.09061504358159</v>
      </c>
      <c r="AH35">
        <v>51.657047890381222</v>
      </c>
      <c r="AI35">
        <f>20.6370461317266*1</f>
        <v>20.637046131726599</v>
      </c>
      <c r="AJ35">
        <f>4.16397848866602*1</f>
        <v>4.1639784886660198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0</v>
      </c>
      <c r="AQ35">
        <v>3</v>
      </c>
    </row>
    <row r="36" spans="1:43" hidden="1" x14ac:dyDescent="0.2">
      <c r="A36" t="s">
        <v>121</v>
      </c>
      <c r="B36" t="s">
        <v>122</v>
      </c>
      <c r="C36" t="s">
        <v>122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121</v>
      </c>
      <c r="AF36">
        <v>14.5631067961165</v>
      </c>
      <c r="AG36">
        <v>17.230483433898652</v>
      </c>
      <c r="AH36">
        <v>7.0692891579015784</v>
      </c>
      <c r="AI36">
        <f>8.42559447837497*1</f>
        <v>8.4255944783749701</v>
      </c>
      <c r="AJ36">
        <f>1.75881800804172*1</f>
        <v>1.7588180080417199</v>
      </c>
      <c r="AK36">
        <v>1</v>
      </c>
      <c r="AL36">
        <v>0</v>
      </c>
      <c r="AM36">
        <v>0</v>
      </c>
      <c r="AO36" t="s">
        <v>29</v>
      </c>
      <c r="AP36">
        <f>SUMPRODUCT(Table1[Selected],Table1[WHU])</f>
        <v>0</v>
      </c>
      <c r="AQ36">
        <v>3</v>
      </c>
    </row>
    <row r="37" spans="1:43" x14ac:dyDescent="0.2">
      <c r="A37" t="s">
        <v>59</v>
      </c>
      <c r="B37" t="s">
        <v>60</v>
      </c>
      <c r="C37" t="s">
        <v>60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10.6</v>
      </c>
      <c r="AE37">
        <v>13</v>
      </c>
      <c r="AF37">
        <v>34.167955511908033</v>
      </c>
      <c r="AG37">
        <v>25.48397859787902</v>
      </c>
      <c r="AH37">
        <v>31.172120161947419</v>
      </c>
      <c r="AI37">
        <f>31.6475041584594*1</f>
        <v>31.647504158459402</v>
      </c>
      <c r="AJ37">
        <f>6.2842539472435*1</f>
        <v>6.2842539472435002</v>
      </c>
      <c r="AK37">
        <v>1</v>
      </c>
      <c r="AL37">
        <v>1</v>
      </c>
      <c r="AM37">
        <v>1</v>
      </c>
      <c r="AO37" t="s">
        <v>30</v>
      </c>
      <c r="AP37">
        <f>SUMPRODUCT(Table1[Selected],Table1[WOL])</f>
        <v>1</v>
      </c>
      <c r="AQ37">
        <v>3</v>
      </c>
    </row>
    <row r="38" spans="1:43" hidden="1" x14ac:dyDescent="0.2">
      <c r="A38" t="s">
        <v>125</v>
      </c>
      <c r="B38" t="s">
        <v>126</v>
      </c>
      <c r="C38" t="s">
        <v>126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139</v>
      </c>
      <c r="AF38">
        <v>8.9743589743589798</v>
      </c>
      <c r="AG38">
        <v>10.78073120733238</v>
      </c>
      <c r="AH38">
        <v>27.148888888888891</v>
      </c>
      <c r="AI38">
        <f>19.1647242897428*1</f>
        <v>19.1647242897428</v>
      </c>
      <c r="AJ38">
        <f>3.16860061983616*1</f>
        <v>3.1686006198361598</v>
      </c>
      <c r="AK38">
        <v>1</v>
      </c>
      <c r="AL38">
        <v>0</v>
      </c>
      <c r="AM38">
        <v>0</v>
      </c>
    </row>
    <row r="39" spans="1:43" hidden="1" x14ac:dyDescent="0.2">
      <c r="A39" t="s">
        <v>127</v>
      </c>
      <c r="B39" t="s">
        <v>128</v>
      </c>
      <c r="C39" t="s">
        <v>127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6.6</v>
      </c>
      <c r="AE39">
        <v>159</v>
      </c>
      <c r="AF39">
        <v>0</v>
      </c>
      <c r="AG39">
        <v>0</v>
      </c>
      <c r="AH39">
        <v>0</v>
      </c>
      <c r="AI39">
        <f>0*1</f>
        <v>0</v>
      </c>
      <c r="AJ39">
        <f>0*1</f>
        <v>0</v>
      </c>
      <c r="AK39">
        <v>1</v>
      </c>
      <c r="AL39">
        <v>0</v>
      </c>
      <c r="AM39">
        <v>0</v>
      </c>
    </row>
    <row r="40" spans="1:43" hidden="1" x14ac:dyDescent="0.2">
      <c r="A40" t="s">
        <v>129</v>
      </c>
      <c r="B40" t="s">
        <v>130</v>
      </c>
      <c r="C40" t="s">
        <v>130</v>
      </c>
      <c r="D40" t="s">
        <v>6</v>
      </c>
      <c r="E40">
        <v>0</v>
      </c>
      <c r="F40">
        <v>0</v>
      </c>
      <c r="G40">
        <v>0</v>
      </c>
      <c r="H40">
        <v>1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5.8</v>
      </c>
      <c r="AE40">
        <v>171</v>
      </c>
      <c r="AF40">
        <v>15.41979931434447</v>
      </c>
      <c r="AG40">
        <v>11.81812192339059</v>
      </c>
      <c r="AH40">
        <v>8.9977403548832129</v>
      </c>
      <c r="AI40">
        <f>14.4158517325468*1</f>
        <v>14.4158517325468</v>
      </c>
      <c r="AJ40">
        <f>2.60248097992597*1</f>
        <v>2.6024809799259701</v>
      </c>
      <c r="AK40">
        <v>1</v>
      </c>
      <c r="AL40">
        <v>0</v>
      </c>
      <c r="AM40">
        <v>0</v>
      </c>
    </row>
    <row r="41" spans="1:43" x14ac:dyDescent="0.2">
      <c r="A41" t="s">
        <v>189</v>
      </c>
      <c r="B41" t="s">
        <v>190</v>
      </c>
      <c r="C41" t="s">
        <v>190</v>
      </c>
      <c r="D41" t="s">
        <v>3</v>
      </c>
      <c r="E41">
        <v>1</v>
      </c>
      <c r="F41">
        <v>0</v>
      </c>
      <c r="G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4.9000000000000004</v>
      </c>
      <c r="AE41">
        <v>279</v>
      </c>
      <c r="AF41">
        <v>18.258928571428569</v>
      </c>
      <c r="AG41">
        <v>16.84522064655793</v>
      </c>
      <c r="AH41">
        <v>31.49101996887951</v>
      </c>
      <c r="AI41">
        <f>30.406200437944*1</f>
        <v>30.406200437944001</v>
      </c>
      <c r="AJ41">
        <f>6.09747719731519*1</f>
        <v>6.0974771973151896</v>
      </c>
      <c r="AK41">
        <v>1</v>
      </c>
      <c r="AL41">
        <v>0</v>
      </c>
      <c r="AM41">
        <v>1</v>
      </c>
    </row>
    <row r="42" spans="1:43" hidden="1" x14ac:dyDescent="0.2">
      <c r="A42" t="s">
        <v>133</v>
      </c>
      <c r="B42" t="s">
        <v>134</v>
      </c>
      <c r="C42" t="s">
        <v>135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4.9000000000000004</v>
      </c>
      <c r="AE42">
        <v>189</v>
      </c>
      <c r="AF42">
        <v>16.28600756589443</v>
      </c>
      <c r="AG42">
        <v>8.4883090479954539</v>
      </c>
      <c r="AH42">
        <v>16.536595673615199</v>
      </c>
      <c r="AI42">
        <f>17.4422267009735*1</f>
        <v>17.442226700973499</v>
      </c>
      <c r="AJ42">
        <f>3.63675765449681*1</f>
        <v>3.6367576544968099</v>
      </c>
      <c r="AK42">
        <v>1</v>
      </c>
      <c r="AL42">
        <v>0</v>
      </c>
      <c r="AM42">
        <v>0</v>
      </c>
    </row>
    <row r="43" spans="1:43" hidden="1" x14ac:dyDescent="0.2">
      <c r="A43" t="s">
        <v>136</v>
      </c>
      <c r="B43" t="s">
        <v>137</v>
      </c>
      <c r="C43" t="s">
        <v>137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4.5999999999999996</v>
      </c>
      <c r="AE43">
        <v>193</v>
      </c>
      <c r="AF43">
        <v>12.962962962962971</v>
      </c>
      <c r="AG43">
        <v>15.064291408764619</v>
      </c>
      <c r="AH43">
        <v>17.44444444444445</v>
      </c>
      <c r="AI43">
        <f>6.17824033282038*1</f>
        <v>6.1782403328203799</v>
      </c>
      <c r="AJ43">
        <f>1.23625054606796*1</f>
        <v>1.23625054606796</v>
      </c>
      <c r="AK43">
        <v>1</v>
      </c>
      <c r="AL43">
        <v>0</v>
      </c>
      <c r="AM43">
        <v>0</v>
      </c>
    </row>
    <row r="44" spans="1:43" hidden="1" x14ac:dyDescent="0.2">
      <c r="A44" t="s">
        <v>138</v>
      </c>
      <c r="B44" t="s">
        <v>139</v>
      </c>
      <c r="C44" t="s">
        <v>140</v>
      </c>
      <c r="D44" t="s">
        <v>4</v>
      </c>
      <c r="E44">
        <v>0</v>
      </c>
      <c r="F44">
        <v>1</v>
      </c>
      <c r="G44">
        <v>0</v>
      </c>
      <c r="H44">
        <v>0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5.2</v>
      </c>
      <c r="AE44">
        <v>194</v>
      </c>
      <c r="AF44">
        <v>13.214285714285721</v>
      </c>
      <c r="AG44">
        <v>11.825238481613651</v>
      </c>
      <c r="AH44">
        <v>21.11428571428571</v>
      </c>
      <c r="AI44">
        <f>13.1660219306492*1</f>
        <v>13.166021930649199</v>
      </c>
      <c r="AJ44">
        <f>2.60429359260228*1</f>
        <v>2.6042935926022799</v>
      </c>
      <c r="AK44">
        <v>1</v>
      </c>
      <c r="AL44">
        <v>0</v>
      </c>
      <c r="AM44">
        <v>0</v>
      </c>
    </row>
    <row r="45" spans="1:43" hidden="1" x14ac:dyDescent="0.2">
      <c r="A45" t="s">
        <v>141</v>
      </c>
      <c r="B45" t="s">
        <v>142</v>
      </c>
      <c r="C45" t="s">
        <v>141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5.0999999999999996</v>
      </c>
      <c r="AE45">
        <v>199</v>
      </c>
      <c r="AF45">
        <v>15.702085517971661</v>
      </c>
      <c r="AG45">
        <v>10.961605742434941</v>
      </c>
      <c r="AH45">
        <v>28.994399644116161</v>
      </c>
      <c r="AI45">
        <f>24.9174634857419*1</f>
        <v>24.917463485741902</v>
      </c>
      <c r="AJ45">
        <f>5.28063725653631*1</f>
        <v>5.28063725653631</v>
      </c>
      <c r="AK45">
        <v>1</v>
      </c>
      <c r="AL45">
        <v>0</v>
      </c>
      <c r="AM45">
        <v>0</v>
      </c>
    </row>
    <row r="46" spans="1:43" hidden="1" x14ac:dyDescent="0.2">
      <c r="A46" t="s">
        <v>143</v>
      </c>
      <c r="B46" t="s">
        <v>144</v>
      </c>
      <c r="C46" t="s">
        <v>144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6.3</v>
      </c>
      <c r="AE46">
        <v>208</v>
      </c>
      <c r="AF46">
        <v>21.951618895986879</v>
      </c>
      <c r="AG46">
        <v>13.84117301189465</v>
      </c>
      <c r="AH46">
        <v>60.4</v>
      </c>
      <c r="AI46">
        <f>6.60302553716318*1</f>
        <v>6.6030255371631803</v>
      </c>
      <c r="AJ46">
        <f>1.24247836226349*1</f>
        <v>1.2424783622634901</v>
      </c>
      <c r="AK46">
        <v>1</v>
      </c>
      <c r="AL46">
        <v>0</v>
      </c>
      <c r="AM46">
        <v>0</v>
      </c>
    </row>
    <row r="47" spans="1:43" hidden="1" x14ac:dyDescent="0.2">
      <c r="A47" t="s">
        <v>145</v>
      </c>
      <c r="B47" t="s">
        <v>146</v>
      </c>
      <c r="C47" t="s">
        <v>147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8.1999999999999993</v>
      </c>
      <c r="AE47">
        <v>211</v>
      </c>
      <c r="AF47">
        <v>29.106871659973251</v>
      </c>
      <c r="AG47">
        <v>19.317090943351111</v>
      </c>
      <c r="AH47">
        <v>33.099383406057868</v>
      </c>
      <c r="AI47">
        <f>12.4102502788581*1</f>
        <v>12.410250278858101</v>
      </c>
      <c r="AJ47">
        <f>2.54005271439421*1</f>
        <v>2.5400527143942102</v>
      </c>
      <c r="AK47">
        <v>1</v>
      </c>
      <c r="AL47">
        <v>0</v>
      </c>
      <c r="AM47">
        <v>0</v>
      </c>
    </row>
    <row r="48" spans="1:43" hidden="1" x14ac:dyDescent="0.2">
      <c r="A48" t="s">
        <v>148</v>
      </c>
      <c r="B48" t="s">
        <v>149</v>
      </c>
      <c r="C48" t="s">
        <v>149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5.8</v>
      </c>
      <c r="AE48">
        <v>212</v>
      </c>
      <c r="AF48">
        <v>12</v>
      </c>
      <c r="AG48">
        <v>8.5187011697297077</v>
      </c>
      <c r="AH48">
        <v>7.2222222222222232</v>
      </c>
      <c r="AI48">
        <f>8.88302682372176*1</f>
        <v>8.8830268237217602</v>
      </c>
      <c r="AJ48">
        <f>1.93614072689395*1</f>
        <v>1.9361407268939499</v>
      </c>
      <c r="AK48">
        <v>1</v>
      </c>
      <c r="AL48">
        <v>0</v>
      </c>
      <c r="AM48">
        <v>0</v>
      </c>
    </row>
    <row r="49" spans="1:39" hidden="1" x14ac:dyDescent="0.2">
      <c r="A49" t="s">
        <v>150</v>
      </c>
      <c r="B49" t="s">
        <v>151</v>
      </c>
      <c r="C49" t="s">
        <v>151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11.2</v>
      </c>
      <c r="AE49">
        <v>213</v>
      </c>
      <c r="AF49">
        <v>40.710368889726318</v>
      </c>
      <c r="AG49">
        <v>31.901937192762929</v>
      </c>
      <c r="AH49">
        <v>67.437237444835489</v>
      </c>
      <c r="AI49">
        <f>13.0525542459603*1</f>
        <v>13.0525542459603</v>
      </c>
      <c r="AJ49">
        <f>2.63868559434364*1</f>
        <v>2.6386855943436398</v>
      </c>
      <c r="AK49">
        <v>1</v>
      </c>
      <c r="AL49">
        <v>1</v>
      </c>
      <c r="AM49">
        <v>0</v>
      </c>
    </row>
    <row r="50" spans="1:39" hidden="1" x14ac:dyDescent="0.2">
      <c r="A50" t="s">
        <v>152</v>
      </c>
      <c r="B50" t="s">
        <v>153</v>
      </c>
      <c r="C50" t="s">
        <v>153</v>
      </c>
      <c r="D50" t="s">
        <v>3</v>
      </c>
      <c r="E50">
        <v>1</v>
      </c>
      <c r="F50">
        <v>0</v>
      </c>
      <c r="G50">
        <v>0</v>
      </c>
      <c r="H50">
        <v>0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4.8</v>
      </c>
      <c r="AE50">
        <v>216</v>
      </c>
      <c r="AF50">
        <v>17.807017543859661</v>
      </c>
      <c r="AG50">
        <v>18.584874801272669</v>
      </c>
      <c r="AH50">
        <v>18.51548072092314</v>
      </c>
      <c r="AI50">
        <f>8.44061006020903*1</f>
        <v>8.4406100602090302</v>
      </c>
      <c r="AJ50">
        <f>1.72605293468267*1</f>
        <v>1.7260529346826701</v>
      </c>
      <c r="AK50">
        <v>1</v>
      </c>
      <c r="AL50">
        <v>0</v>
      </c>
      <c r="AM50">
        <v>0</v>
      </c>
    </row>
    <row r="51" spans="1:39" hidden="1" x14ac:dyDescent="0.2">
      <c r="A51" t="s">
        <v>154</v>
      </c>
      <c r="B51" t="s">
        <v>155</v>
      </c>
      <c r="C51" t="s">
        <v>156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6.2</v>
      </c>
      <c r="AE51">
        <v>220</v>
      </c>
      <c r="AF51">
        <v>14.445337869041341</v>
      </c>
      <c r="AG51">
        <v>17.523931275090291</v>
      </c>
      <c r="AH51">
        <v>14.70473848135474</v>
      </c>
      <c r="AI51">
        <f>16.0495779576641*1</f>
        <v>16.049577957664098</v>
      </c>
      <c r="AJ51">
        <f>3.4636061309472*1</f>
        <v>3.4636061309472002</v>
      </c>
      <c r="AK51">
        <v>1</v>
      </c>
      <c r="AL51">
        <v>0</v>
      </c>
      <c r="AM51">
        <v>0</v>
      </c>
    </row>
    <row r="52" spans="1:39" hidden="1" x14ac:dyDescent="0.2">
      <c r="A52" t="s">
        <v>157</v>
      </c>
      <c r="B52" t="s">
        <v>158</v>
      </c>
      <c r="C52" t="s">
        <v>158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6.6</v>
      </c>
      <c r="AE52">
        <v>235</v>
      </c>
      <c r="AF52">
        <v>19.369747899159659</v>
      </c>
      <c r="AG52">
        <v>17.631386603717829</v>
      </c>
      <c r="AH52">
        <v>12.73080982803161</v>
      </c>
      <c r="AI52">
        <f>3.99736383677969*1</f>
        <v>3.99736383677969</v>
      </c>
      <c r="AJ52">
        <f>0.823867867677536*1</f>
        <v>0.82386786767753595</v>
      </c>
      <c r="AK52">
        <v>1</v>
      </c>
      <c r="AL52">
        <v>0</v>
      </c>
      <c r="AM52">
        <v>0</v>
      </c>
    </row>
    <row r="53" spans="1:39" hidden="1" x14ac:dyDescent="0.2">
      <c r="A53" t="s">
        <v>138</v>
      </c>
      <c r="B53" t="s">
        <v>159</v>
      </c>
      <c r="C53" t="s">
        <v>159</v>
      </c>
      <c r="D53" t="s">
        <v>4</v>
      </c>
      <c r="E53">
        <v>0</v>
      </c>
      <c r="F53">
        <v>1</v>
      </c>
      <c r="G53">
        <v>0</v>
      </c>
      <c r="H53">
        <v>0</v>
      </c>
      <c r="I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</v>
      </c>
      <c r="AE53">
        <v>236</v>
      </c>
      <c r="AF53">
        <v>14.454545454545441</v>
      </c>
      <c r="AG53">
        <v>15.54602128002584</v>
      </c>
      <c r="AH53">
        <v>5.8916371988895939</v>
      </c>
      <c r="AI53">
        <f>6.10458027062519*1</f>
        <v>6.1045802706251902</v>
      </c>
      <c r="AJ53">
        <f>1.24883960092326*1</f>
        <v>1.2488396009232601</v>
      </c>
      <c r="AK53">
        <v>1</v>
      </c>
      <c r="AL53">
        <v>0</v>
      </c>
      <c r="AM53">
        <v>0</v>
      </c>
    </row>
    <row r="54" spans="1:39" hidden="1" x14ac:dyDescent="0.2">
      <c r="A54" t="s">
        <v>160</v>
      </c>
      <c r="B54" t="s">
        <v>161</v>
      </c>
      <c r="C54" t="s">
        <v>161</v>
      </c>
      <c r="D54" t="s">
        <v>3</v>
      </c>
      <c r="E54">
        <v>1</v>
      </c>
      <c r="F54">
        <v>0</v>
      </c>
      <c r="G54">
        <v>0</v>
      </c>
      <c r="H54">
        <v>0</v>
      </c>
      <c r="I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4.4000000000000004</v>
      </c>
      <c r="AE54">
        <v>237</v>
      </c>
      <c r="AF54">
        <v>19.183673469387749</v>
      </c>
      <c r="AG54">
        <v>22.140175594774782</v>
      </c>
      <c r="AH54">
        <v>14.10499154671445</v>
      </c>
      <c r="AI54">
        <f>16.5710526239528*1</f>
        <v>16.571052623952799</v>
      </c>
      <c r="AJ54">
        <f>3.61283444337251*1</f>
        <v>3.6128344433725101</v>
      </c>
      <c r="AK54">
        <v>1</v>
      </c>
      <c r="AL54">
        <v>0</v>
      </c>
      <c r="AM54">
        <v>0</v>
      </c>
    </row>
    <row r="55" spans="1:39" hidden="1" x14ac:dyDescent="0.2">
      <c r="A55" t="s">
        <v>162</v>
      </c>
      <c r="B55" t="s">
        <v>163</v>
      </c>
      <c r="C55" t="s">
        <v>163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4.9000000000000004</v>
      </c>
      <c r="AE55">
        <v>239</v>
      </c>
      <c r="AF55">
        <v>10.551724137931039</v>
      </c>
      <c r="AG55">
        <v>10.15355535261437</v>
      </c>
      <c r="AH55">
        <v>33.041594113488848</v>
      </c>
      <c r="AI55">
        <f>15.2823223437502*1</f>
        <v>15.2823223437502</v>
      </c>
      <c r="AJ55">
        <f>2.99515817380732*1</f>
        <v>2.9951581738073201</v>
      </c>
      <c r="AK55">
        <v>1</v>
      </c>
      <c r="AL55">
        <v>0</v>
      </c>
      <c r="AM55">
        <v>0</v>
      </c>
    </row>
    <row r="56" spans="1:39" hidden="1" x14ac:dyDescent="0.2">
      <c r="A56" t="s">
        <v>164</v>
      </c>
      <c r="B56" t="s">
        <v>165</v>
      </c>
      <c r="C56" t="s">
        <v>165</v>
      </c>
      <c r="D56" t="s">
        <v>6</v>
      </c>
      <c r="E56">
        <v>0</v>
      </c>
      <c r="F56">
        <v>0</v>
      </c>
      <c r="G56">
        <v>0</v>
      </c>
      <c r="H56">
        <v>1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7.2</v>
      </c>
      <c r="AE56">
        <v>242</v>
      </c>
      <c r="AF56">
        <v>19.700796200743799</v>
      </c>
      <c r="AG56">
        <v>12.29617518784125</v>
      </c>
      <c r="AH56">
        <v>15.741666666666671</v>
      </c>
      <c r="AI56">
        <f>12.3740878781824*1</f>
        <v>12.374087878182401</v>
      </c>
      <c r="AJ56">
        <f>2.55632169113864*1</f>
        <v>2.5563216911386402</v>
      </c>
      <c r="AK56">
        <v>1</v>
      </c>
      <c r="AL56">
        <v>0</v>
      </c>
      <c r="AM56">
        <v>0</v>
      </c>
    </row>
    <row r="57" spans="1:39" hidden="1" x14ac:dyDescent="0.2">
      <c r="A57" t="s">
        <v>166</v>
      </c>
      <c r="B57" t="s">
        <v>167</v>
      </c>
      <c r="C57" t="s">
        <v>167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</v>
      </c>
      <c r="AE57">
        <v>245</v>
      </c>
      <c r="AF57">
        <v>11.634570226840969</v>
      </c>
      <c r="AG57">
        <v>13.9962529153833</v>
      </c>
      <c r="AH57">
        <v>32.609804522147243</v>
      </c>
      <c r="AI57">
        <f>13.3646116312017*1</f>
        <v>13.364611631201701</v>
      </c>
      <c r="AJ57">
        <f>2.43139321415033*1</f>
        <v>2.4313932141503298</v>
      </c>
      <c r="AK57">
        <v>1</v>
      </c>
      <c r="AL57">
        <v>0</v>
      </c>
      <c r="AM57">
        <v>0</v>
      </c>
    </row>
    <row r="58" spans="1:39" hidden="1" x14ac:dyDescent="0.2">
      <c r="A58" t="s">
        <v>168</v>
      </c>
      <c r="B58" t="s">
        <v>169</v>
      </c>
      <c r="C58" t="s">
        <v>169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4.7</v>
      </c>
      <c r="AE58">
        <v>246</v>
      </c>
      <c r="AF58">
        <v>17.096774193548381</v>
      </c>
      <c r="AG58">
        <v>18.404091071826379</v>
      </c>
      <c r="AH58">
        <v>25.232477668784309</v>
      </c>
      <c r="AI58">
        <f>20.4910755123236*1</f>
        <v>20.491075512323601</v>
      </c>
      <c r="AJ58">
        <f>4.32635338048*1</f>
        <v>4.3263533804799996</v>
      </c>
      <c r="AK58">
        <v>1</v>
      </c>
      <c r="AL58">
        <v>0</v>
      </c>
      <c r="AM58">
        <v>0</v>
      </c>
    </row>
    <row r="59" spans="1:39" hidden="1" x14ac:dyDescent="0.2">
      <c r="A59" t="s">
        <v>170</v>
      </c>
      <c r="B59" t="s">
        <v>171</v>
      </c>
      <c r="C59" t="s">
        <v>172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5.7</v>
      </c>
      <c r="AE59">
        <v>253</v>
      </c>
      <c r="AF59">
        <v>18.29545454545454</v>
      </c>
      <c r="AG59">
        <v>12.86747382056803</v>
      </c>
      <c r="AH59">
        <v>22.301058312403772</v>
      </c>
      <c r="AI59">
        <f>21.4829677593859*1</f>
        <v>21.4829677593859</v>
      </c>
      <c r="AJ59">
        <f>4.30519546322869*1</f>
        <v>4.3051954632286904</v>
      </c>
      <c r="AK59">
        <v>1</v>
      </c>
      <c r="AL59">
        <v>0</v>
      </c>
      <c r="AM59">
        <v>0</v>
      </c>
    </row>
    <row r="60" spans="1:39" hidden="1" x14ac:dyDescent="0.2">
      <c r="A60" t="s">
        <v>173</v>
      </c>
      <c r="B60" t="s">
        <v>174</v>
      </c>
      <c r="C60" t="s">
        <v>174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4.5</v>
      </c>
      <c r="AE60">
        <v>258</v>
      </c>
      <c r="AF60">
        <v>0</v>
      </c>
      <c r="AG60">
        <v>0</v>
      </c>
      <c r="AH60">
        <v>0</v>
      </c>
      <c r="AI60">
        <f>0*1</f>
        <v>0</v>
      </c>
      <c r="AJ60">
        <f>0*1</f>
        <v>0</v>
      </c>
      <c r="AK60">
        <v>1</v>
      </c>
      <c r="AL60">
        <v>0</v>
      </c>
      <c r="AM60">
        <v>0</v>
      </c>
    </row>
    <row r="61" spans="1:39" hidden="1" x14ac:dyDescent="0.2">
      <c r="A61" t="s">
        <v>175</v>
      </c>
      <c r="B61" t="s">
        <v>176</v>
      </c>
      <c r="C61" t="s">
        <v>177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5.0999999999999996</v>
      </c>
      <c r="AE61">
        <v>262</v>
      </c>
      <c r="AF61">
        <v>15.57591623036649</v>
      </c>
      <c r="AG61">
        <v>15.792861048591931</v>
      </c>
      <c r="AH61">
        <v>12.125774963052169</v>
      </c>
      <c r="AI61">
        <f>11.4816295027493*1</f>
        <v>11.4816295027493</v>
      </c>
      <c r="AJ61">
        <f>2.18668772615659*1</f>
        <v>2.18668772615659</v>
      </c>
      <c r="AK61">
        <v>1</v>
      </c>
      <c r="AL61">
        <v>0</v>
      </c>
      <c r="AM61">
        <v>0</v>
      </c>
    </row>
    <row r="62" spans="1:39" hidden="1" x14ac:dyDescent="0.2">
      <c r="A62" t="s">
        <v>178</v>
      </c>
      <c r="B62" t="s">
        <v>179</v>
      </c>
      <c r="C62" t="s">
        <v>179</v>
      </c>
      <c r="D62" t="s">
        <v>6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</v>
      </c>
      <c r="AE62">
        <v>265</v>
      </c>
      <c r="AF62">
        <v>16.657477639080749</v>
      </c>
      <c r="AG62">
        <v>18.1703288917473</v>
      </c>
      <c r="AH62">
        <v>17.935512109292919</v>
      </c>
      <c r="AI62">
        <f>9.6713558002575*1</f>
        <v>9.6713558002574995</v>
      </c>
      <c r="AJ62">
        <f>1.7853303833086*1</f>
        <v>1.7853303833086001</v>
      </c>
      <c r="AK62">
        <v>1</v>
      </c>
      <c r="AL62">
        <v>0</v>
      </c>
      <c r="AM62">
        <v>0</v>
      </c>
    </row>
    <row r="63" spans="1:39" hidden="1" x14ac:dyDescent="0.2">
      <c r="A63" t="s">
        <v>180</v>
      </c>
      <c r="B63" t="s">
        <v>181</v>
      </c>
      <c r="C63" t="s">
        <v>182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4.9000000000000004</v>
      </c>
      <c r="AE63">
        <v>267</v>
      </c>
      <c r="AF63">
        <v>11.274493417657281</v>
      </c>
      <c r="AG63">
        <v>8.5728842492911514</v>
      </c>
      <c r="AH63">
        <v>11.766893010411881</v>
      </c>
      <c r="AI63">
        <f>8.38905971271173*1</f>
        <v>8.3890597127117292</v>
      </c>
      <c r="AJ63">
        <f>1.58233730277981*1</f>
        <v>1.58233730277981</v>
      </c>
      <c r="AK63">
        <v>1</v>
      </c>
      <c r="AL63">
        <v>0</v>
      </c>
      <c r="AM63">
        <v>0</v>
      </c>
    </row>
    <row r="64" spans="1:39" hidden="1" x14ac:dyDescent="0.2">
      <c r="A64" t="s">
        <v>183</v>
      </c>
      <c r="B64" t="s">
        <v>184</v>
      </c>
      <c r="C64" t="s">
        <v>184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5.4</v>
      </c>
      <c r="AE64">
        <v>275</v>
      </c>
      <c r="AF64">
        <v>16.411886341614011</v>
      </c>
      <c r="AG64">
        <v>15.10934559204148</v>
      </c>
      <c r="AH64">
        <v>20.065208390790129</v>
      </c>
      <c r="AI64">
        <f>13.4277343723215*1</f>
        <v>13.427734372321501</v>
      </c>
      <c r="AJ64">
        <f>2.70746701108695*1</f>
        <v>2.7074670110869499</v>
      </c>
      <c r="AK64">
        <v>1</v>
      </c>
      <c r="AL64">
        <v>0</v>
      </c>
      <c r="AM64">
        <v>0</v>
      </c>
    </row>
    <row r="65" spans="1:39" x14ac:dyDescent="0.2">
      <c r="A65" t="s">
        <v>113</v>
      </c>
      <c r="B65" t="s">
        <v>114</v>
      </c>
      <c r="C65" t="s">
        <v>114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14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106</v>
      </c>
      <c r="AF65">
        <v>24.83853031734397</v>
      </c>
      <c r="AG65">
        <v>7.0718939214549286</v>
      </c>
      <c r="AH65">
        <v>15.38418864515503</v>
      </c>
      <c r="AI65">
        <f>24.962560447404*1</f>
        <v>24.962560447404002</v>
      </c>
      <c r="AJ65">
        <f>5.58202744693939*1</f>
        <v>5.5820274469393896</v>
      </c>
      <c r="AK65">
        <v>1</v>
      </c>
      <c r="AL65">
        <v>1</v>
      </c>
      <c r="AM65">
        <v>1</v>
      </c>
    </row>
    <row r="66" spans="1:39" hidden="1" x14ac:dyDescent="0.2">
      <c r="A66" t="s">
        <v>187</v>
      </c>
      <c r="B66" t="s">
        <v>188</v>
      </c>
      <c r="C66" t="s">
        <v>188</v>
      </c>
      <c r="D66" t="s">
        <v>6</v>
      </c>
      <c r="E66">
        <v>0</v>
      </c>
      <c r="F66">
        <v>0</v>
      </c>
      <c r="G66">
        <v>0</v>
      </c>
      <c r="H66">
        <v>1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5.4</v>
      </c>
      <c r="AE66">
        <v>277</v>
      </c>
      <c r="AF66">
        <v>0</v>
      </c>
      <c r="AG66">
        <v>0</v>
      </c>
      <c r="AH66">
        <v>0</v>
      </c>
      <c r="AI66">
        <f>0*1</f>
        <v>0</v>
      </c>
      <c r="AJ66">
        <f>0*1</f>
        <v>0</v>
      </c>
      <c r="AK66">
        <v>1</v>
      </c>
      <c r="AL66">
        <v>0</v>
      </c>
      <c r="AM66">
        <v>0</v>
      </c>
    </row>
    <row r="67" spans="1:39" x14ac:dyDescent="0.2">
      <c r="A67" t="s">
        <v>185</v>
      </c>
      <c r="B67" t="s">
        <v>186</v>
      </c>
      <c r="C67" t="s">
        <v>186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4.3</v>
      </c>
      <c r="AE67">
        <v>276</v>
      </c>
      <c r="AF67">
        <v>15.27724115034558</v>
      </c>
      <c r="AG67">
        <v>17.116723455211559</v>
      </c>
      <c r="AH67">
        <v>25.788959706959709</v>
      </c>
      <c r="AI67">
        <f>26.2633586120522*1</f>
        <v>26.263358612052201</v>
      </c>
      <c r="AJ67">
        <f>5.1711157639748*1</f>
        <v>5.1711157639748002</v>
      </c>
      <c r="AK67">
        <v>1</v>
      </c>
      <c r="AL67">
        <v>0</v>
      </c>
      <c r="AM67">
        <v>1</v>
      </c>
    </row>
    <row r="68" spans="1:39" hidden="1" x14ac:dyDescent="0.2">
      <c r="A68" t="s">
        <v>191</v>
      </c>
      <c r="B68" t="s">
        <v>192</v>
      </c>
      <c r="C68" t="s">
        <v>192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4.8</v>
      </c>
      <c r="AE68">
        <v>280</v>
      </c>
      <c r="AF68">
        <v>14.10052203012976</v>
      </c>
      <c r="AG68">
        <v>13.84286051953417</v>
      </c>
      <c r="AH68">
        <v>27.110572184896931</v>
      </c>
      <c r="AI68">
        <f>20.9260154348823*1</f>
        <v>20.926015434882299</v>
      </c>
      <c r="AJ68">
        <f>4.01077532670796*1</f>
        <v>4.01077532670796</v>
      </c>
      <c r="AK68">
        <v>1</v>
      </c>
      <c r="AL68">
        <v>0</v>
      </c>
      <c r="AM68">
        <v>0</v>
      </c>
    </row>
    <row r="69" spans="1:39" x14ac:dyDescent="0.2">
      <c r="A69" t="s">
        <v>93</v>
      </c>
      <c r="B69" t="s">
        <v>94</v>
      </c>
      <c r="C69" t="s">
        <v>94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13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4.7</v>
      </c>
      <c r="AE69">
        <v>82</v>
      </c>
      <c r="AF69">
        <v>12.209302325581399</v>
      </c>
      <c r="AG69">
        <v>9.8348804938069225</v>
      </c>
      <c r="AH69">
        <v>25.927031650343839</v>
      </c>
      <c r="AI69">
        <f>25.918766367464*1</f>
        <v>25.918766367463999</v>
      </c>
      <c r="AJ69">
        <f>4.98734676145533*1</f>
        <v>4.9873467614553304</v>
      </c>
      <c r="AK69">
        <v>1</v>
      </c>
      <c r="AL69">
        <v>1</v>
      </c>
      <c r="AM69">
        <v>1</v>
      </c>
    </row>
    <row r="70" spans="1:39" hidden="1" x14ac:dyDescent="0.2">
      <c r="A70" t="s">
        <v>195</v>
      </c>
      <c r="B70" t="s">
        <v>196</v>
      </c>
      <c r="C70" t="s">
        <v>196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289</v>
      </c>
      <c r="AF70">
        <v>9.7413793103448256</v>
      </c>
      <c r="AG70">
        <v>7.8569066954614062</v>
      </c>
      <c r="AH70">
        <v>18.090835948083491</v>
      </c>
      <c r="AI70">
        <f>8.81284761406239*1</f>
        <v>8.8128476140623899</v>
      </c>
      <c r="AJ70">
        <f>1.77024520915558*1</f>
        <v>1.77024520915558</v>
      </c>
      <c r="AK70">
        <v>1</v>
      </c>
      <c r="AL70">
        <v>0</v>
      </c>
      <c r="AM70">
        <v>0</v>
      </c>
    </row>
    <row r="71" spans="1:39" hidden="1" x14ac:dyDescent="0.2">
      <c r="A71" t="s">
        <v>197</v>
      </c>
      <c r="B71" t="s">
        <v>198</v>
      </c>
      <c r="C71" t="s">
        <v>198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291</v>
      </c>
      <c r="AF71">
        <v>10.58287742507312</v>
      </c>
      <c r="AG71">
        <v>7.7209313886519046</v>
      </c>
      <c r="AH71">
        <v>11.08888888888889</v>
      </c>
      <c r="AI71">
        <f>8.31131094574947*1</f>
        <v>8.3113109457494705</v>
      </c>
      <c r="AJ71">
        <f>1.66970393176901*1</f>
        <v>1.6697039317690101</v>
      </c>
      <c r="AK71">
        <v>1</v>
      </c>
      <c r="AL71">
        <v>0</v>
      </c>
      <c r="AM71">
        <v>0</v>
      </c>
    </row>
    <row r="72" spans="1:39" hidden="1" x14ac:dyDescent="0.2">
      <c r="A72" t="s">
        <v>199</v>
      </c>
      <c r="B72" t="s">
        <v>200</v>
      </c>
      <c r="C72" t="s">
        <v>199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295</v>
      </c>
      <c r="AF72">
        <v>17.261904761904759</v>
      </c>
      <c r="AG72">
        <v>22.10425443644284</v>
      </c>
      <c r="AH72">
        <v>17.461188067660249</v>
      </c>
      <c r="AI72">
        <f>14.2801558190582*1</f>
        <v>14.2801558190582</v>
      </c>
      <c r="AJ72">
        <f>2.61174086999979*1</f>
        <v>2.6117408699997902</v>
      </c>
      <c r="AK72">
        <v>1</v>
      </c>
      <c r="AL72">
        <v>0</v>
      </c>
      <c r="AM72">
        <v>0</v>
      </c>
    </row>
    <row r="73" spans="1:39" hidden="1" x14ac:dyDescent="0.2">
      <c r="A73" t="s">
        <v>201</v>
      </c>
      <c r="B73" t="s">
        <v>202</v>
      </c>
      <c r="C73" t="s">
        <v>202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5.7</v>
      </c>
      <c r="AE73">
        <v>302</v>
      </c>
      <c r="AF73">
        <v>20.259450289066098</v>
      </c>
      <c r="AG73">
        <v>12.68045920328311</v>
      </c>
      <c r="AH73">
        <v>21.938635638250378</v>
      </c>
      <c r="AI73">
        <f>25.3128695138131*1</f>
        <v>25.312869513813101</v>
      </c>
      <c r="AJ73">
        <f>5.01232896802837*1</f>
        <v>5.0123289680283696</v>
      </c>
      <c r="AK73">
        <v>1</v>
      </c>
      <c r="AL73">
        <v>0</v>
      </c>
      <c r="AM73">
        <v>0</v>
      </c>
    </row>
    <row r="74" spans="1:39" hidden="1" x14ac:dyDescent="0.2">
      <c r="A74" t="s">
        <v>203</v>
      </c>
      <c r="B74" t="s">
        <v>204</v>
      </c>
      <c r="C74" t="s">
        <v>205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5.5</v>
      </c>
      <c r="AE74">
        <v>306</v>
      </c>
      <c r="AF74">
        <v>17.669190979857191</v>
      </c>
      <c r="AG74">
        <v>14.88407337438025</v>
      </c>
      <c r="AH74">
        <v>19.06666666666667</v>
      </c>
      <c r="AI74">
        <f>8.74051259758853*1</f>
        <v>8.7405125975885305</v>
      </c>
      <c r="AJ74">
        <f>1.50968954104534*1</f>
        <v>1.5096895410453399</v>
      </c>
      <c r="AK74">
        <v>1</v>
      </c>
      <c r="AL74">
        <v>0</v>
      </c>
      <c r="AM74">
        <v>0</v>
      </c>
    </row>
    <row r="75" spans="1:39" hidden="1" x14ac:dyDescent="0.2">
      <c r="A75" t="s">
        <v>206</v>
      </c>
      <c r="B75" t="s">
        <v>207</v>
      </c>
      <c r="C75" t="s">
        <v>206</v>
      </c>
      <c r="D75" t="s">
        <v>6</v>
      </c>
      <c r="E75">
        <v>0</v>
      </c>
      <c r="F75">
        <v>0</v>
      </c>
      <c r="G75">
        <v>0</v>
      </c>
      <c r="H75">
        <v>1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307</v>
      </c>
      <c r="AF75">
        <v>17.913919722668869</v>
      </c>
      <c r="AG75">
        <v>21.514611136605069</v>
      </c>
      <c r="AH75">
        <v>29.250383761958851</v>
      </c>
      <c r="AI75">
        <f>11.1562139895111*1</f>
        <v>11.1562139895111</v>
      </c>
      <c r="AJ75">
        <f>1.95101475002482*1</f>
        <v>1.9510147500248201</v>
      </c>
      <c r="AK75">
        <v>1</v>
      </c>
      <c r="AL75">
        <v>0</v>
      </c>
      <c r="AM75">
        <v>0</v>
      </c>
    </row>
    <row r="76" spans="1:39" hidden="1" x14ac:dyDescent="0.2">
      <c r="A76" t="s">
        <v>208</v>
      </c>
      <c r="B76" t="s">
        <v>209</v>
      </c>
      <c r="C76" t="s">
        <v>209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4.8</v>
      </c>
      <c r="AE76">
        <v>310</v>
      </c>
      <c r="AF76">
        <v>13.31858407079647</v>
      </c>
      <c r="AG76">
        <v>10.11003052271791</v>
      </c>
      <c r="AH76">
        <v>24.975108014991839</v>
      </c>
      <c r="AI76">
        <f>6.32300649345301*1</f>
        <v>6.3230064934530104</v>
      </c>
      <c r="AJ76">
        <f>1.08231127107013*1</f>
        <v>1.0823112710701299</v>
      </c>
      <c r="AK76">
        <v>1</v>
      </c>
      <c r="AL76">
        <v>0</v>
      </c>
      <c r="AM76">
        <v>0</v>
      </c>
    </row>
    <row r="77" spans="1:39" hidden="1" x14ac:dyDescent="0.2">
      <c r="A77" t="s">
        <v>210</v>
      </c>
      <c r="B77" t="s">
        <v>211</v>
      </c>
      <c r="C77" t="s">
        <v>211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4.5</v>
      </c>
      <c r="AE77">
        <v>312</v>
      </c>
      <c r="AF77">
        <v>11.53737424753761</v>
      </c>
      <c r="AG77">
        <v>12.713234615450149</v>
      </c>
      <c r="AH77">
        <v>17.184006391769429</v>
      </c>
      <c r="AI77">
        <f>8.11540933370329*1</f>
        <v>8.1154093337032904</v>
      </c>
      <c r="AJ77">
        <f>1.15715849197474*1</f>
        <v>1.15715849197474</v>
      </c>
      <c r="AK77">
        <v>1</v>
      </c>
      <c r="AL77">
        <v>0</v>
      </c>
      <c r="AM77">
        <v>0</v>
      </c>
    </row>
    <row r="78" spans="1:39" hidden="1" x14ac:dyDescent="0.2">
      <c r="A78" t="s">
        <v>212</v>
      </c>
      <c r="B78" t="s">
        <v>213</v>
      </c>
      <c r="C78" t="s">
        <v>213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5.0999999999999996</v>
      </c>
      <c r="AE78">
        <v>326</v>
      </c>
      <c r="AF78">
        <v>0</v>
      </c>
      <c r="AG78">
        <v>0</v>
      </c>
      <c r="AH78">
        <v>0</v>
      </c>
      <c r="AI78">
        <f>0*1</f>
        <v>0</v>
      </c>
      <c r="AJ78">
        <f>0*1</f>
        <v>0</v>
      </c>
      <c r="AK78">
        <v>1</v>
      </c>
      <c r="AL78">
        <v>0</v>
      </c>
      <c r="AM78">
        <v>0</v>
      </c>
    </row>
    <row r="79" spans="1:39" hidden="1" x14ac:dyDescent="0.2">
      <c r="A79" t="s">
        <v>214</v>
      </c>
      <c r="B79" t="s">
        <v>215</v>
      </c>
      <c r="C79" t="s">
        <v>216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5.2</v>
      </c>
      <c r="AE79">
        <v>335</v>
      </c>
      <c r="AF79">
        <v>0</v>
      </c>
      <c r="AG79">
        <v>0</v>
      </c>
      <c r="AH79">
        <v>0</v>
      </c>
      <c r="AI79">
        <f>0*1</f>
        <v>0</v>
      </c>
      <c r="AJ79">
        <f>0*1</f>
        <v>0</v>
      </c>
      <c r="AK79">
        <v>1</v>
      </c>
      <c r="AL79">
        <v>0</v>
      </c>
      <c r="AM79">
        <v>0</v>
      </c>
    </row>
    <row r="80" spans="1:39" hidden="1" x14ac:dyDescent="0.2">
      <c r="A80" t="s">
        <v>217</v>
      </c>
      <c r="B80" t="s">
        <v>218</v>
      </c>
      <c r="C80" t="s">
        <v>218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4.9000000000000004</v>
      </c>
      <c r="AE80">
        <v>339</v>
      </c>
      <c r="AF80">
        <v>0</v>
      </c>
      <c r="AG80">
        <v>0</v>
      </c>
      <c r="AH80">
        <v>0</v>
      </c>
      <c r="AI80">
        <f>0*1</f>
        <v>0</v>
      </c>
      <c r="AJ80">
        <f>0*1</f>
        <v>0</v>
      </c>
      <c r="AK80">
        <v>1</v>
      </c>
      <c r="AL80">
        <v>0</v>
      </c>
      <c r="AM80">
        <v>0</v>
      </c>
    </row>
    <row r="81" spans="1:39" hidden="1" x14ac:dyDescent="0.2">
      <c r="A81" t="s">
        <v>219</v>
      </c>
      <c r="B81" t="s">
        <v>220</v>
      </c>
      <c r="C81" t="s">
        <v>220</v>
      </c>
      <c r="D81" t="s">
        <v>3</v>
      </c>
      <c r="E81">
        <v>1</v>
      </c>
      <c r="F81">
        <v>0</v>
      </c>
      <c r="G81">
        <v>0</v>
      </c>
      <c r="H81">
        <v>0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4.4000000000000004</v>
      </c>
      <c r="AE81">
        <v>347</v>
      </c>
      <c r="AF81">
        <v>18.907858857358701</v>
      </c>
      <c r="AG81">
        <v>31.634069456058128</v>
      </c>
      <c r="AH81">
        <v>13.46788301158521</v>
      </c>
      <c r="AI81">
        <f>15.6392679983088*1</f>
        <v>15.639267998308799</v>
      </c>
      <c r="AJ81">
        <f>2.80462346920178*1</f>
        <v>2.80462346920178</v>
      </c>
      <c r="AK81">
        <v>1</v>
      </c>
      <c r="AL81">
        <v>0</v>
      </c>
      <c r="AM81">
        <v>0</v>
      </c>
    </row>
    <row r="82" spans="1:39" hidden="1" x14ac:dyDescent="0.2">
      <c r="A82" t="s">
        <v>217</v>
      </c>
      <c r="B82" t="s">
        <v>221</v>
      </c>
      <c r="C82" t="s">
        <v>221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5.8</v>
      </c>
      <c r="AE82">
        <v>349</v>
      </c>
      <c r="AF82">
        <v>0</v>
      </c>
      <c r="AG82">
        <v>0</v>
      </c>
      <c r="AH82">
        <v>0</v>
      </c>
      <c r="AI82">
        <f>0*1</f>
        <v>0</v>
      </c>
      <c r="AJ82">
        <f>0*1</f>
        <v>0</v>
      </c>
      <c r="AK82">
        <v>1</v>
      </c>
      <c r="AL82">
        <v>0</v>
      </c>
      <c r="AM82">
        <v>0</v>
      </c>
    </row>
    <row r="83" spans="1:39" hidden="1" x14ac:dyDescent="0.2">
      <c r="A83" t="s">
        <v>222</v>
      </c>
      <c r="B83" t="s">
        <v>223</v>
      </c>
      <c r="C83" t="s">
        <v>223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354</v>
      </c>
      <c r="AF83">
        <v>13.163265306122449</v>
      </c>
      <c r="AG83">
        <v>12.44231085634912</v>
      </c>
      <c r="AH83">
        <v>11.730017316017319</v>
      </c>
      <c r="AI83">
        <f>17.3267645842946*1</f>
        <v>17.326764584294601</v>
      </c>
      <c r="AJ83">
        <f>3.61865230206854*1</f>
        <v>3.6186523020685399</v>
      </c>
      <c r="AK83">
        <v>1</v>
      </c>
      <c r="AL83">
        <v>0</v>
      </c>
      <c r="AM83">
        <v>0</v>
      </c>
    </row>
    <row r="84" spans="1:39" hidden="1" x14ac:dyDescent="0.2">
      <c r="A84" t="s">
        <v>189</v>
      </c>
      <c r="B84" t="s">
        <v>224</v>
      </c>
      <c r="C84" t="s">
        <v>225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5.2</v>
      </c>
      <c r="AE84">
        <v>355</v>
      </c>
      <c r="AF84">
        <v>13.89162561576355</v>
      </c>
      <c r="AG84">
        <v>13.0374735227497</v>
      </c>
      <c r="AH84">
        <v>8.4389145921333277</v>
      </c>
      <c r="AI84">
        <f>15.2506754115645*1</f>
        <v>15.250675411564499</v>
      </c>
      <c r="AJ84">
        <f>2.95671666863513*1</f>
        <v>2.9567166686351301</v>
      </c>
      <c r="AK84">
        <v>1</v>
      </c>
      <c r="AL84">
        <v>0</v>
      </c>
      <c r="AM84">
        <v>0</v>
      </c>
    </row>
    <row r="85" spans="1:39" hidden="1" x14ac:dyDescent="0.2">
      <c r="A85" t="s">
        <v>226</v>
      </c>
      <c r="B85" t="s">
        <v>227</v>
      </c>
      <c r="C85" t="s">
        <v>227</v>
      </c>
      <c r="D85" t="s">
        <v>3</v>
      </c>
      <c r="E85">
        <v>1</v>
      </c>
      <c r="F85">
        <v>0</v>
      </c>
      <c r="G85">
        <v>0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</v>
      </c>
      <c r="AE85">
        <v>365</v>
      </c>
      <c r="AF85">
        <v>0</v>
      </c>
      <c r="AG85">
        <v>0</v>
      </c>
      <c r="AH85">
        <v>0</v>
      </c>
      <c r="AI85">
        <f>0*1</f>
        <v>0</v>
      </c>
      <c r="AJ85">
        <f>0*1</f>
        <v>0</v>
      </c>
      <c r="AK85">
        <v>1</v>
      </c>
      <c r="AL85">
        <v>0</v>
      </c>
      <c r="AM85">
        <v>0</v>
      </c>
    </row>
    <row r="86" spans="1:39" hidden="1" x14ac:dyDescent="0.2">
      <c r="A86" t="s">
        <v>228</v>
      </c>
      <c r="B86" t="s">
        <v>229</v>
      </c>
      <c r="C86" t="s">
        <v>229</v>
      </c>
      <c r="D86" t="s">
        <v>6</v>
      </c>
      <c r="E86">
        <v>0</v>
      </c>
      <c r="F86">
        <v>0</v>
      </c>
      <c r="G86">
        <v>0</v>
      </c>
      <c r="H86">
        <v>1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378</v>
      </c>
      <c r="AF86">
        <v>18.81962238671856</v>
      </c>
      <c r="AG86">
        <v>22.736771727758828</v>
      </c>
      <c r="AH86">
        <v>26.867205588401511</v>
      </c>
      <c r="AI86">
        <f>25.3202106558998*1</f>
        <v>25.3202106558998</v>
      </c>
      <c r="AJ86">
        <f>4.06379441892283*1</f>
        <v>4.0637944189228303</v>
      </c>
      <c r="AK86">
        <v>1</v>
      </c>
      <c r="AL86">
        <v>0</v>
      </c>
      <c r="AM86">
        <v>0</v>
      </c>
    </row>
    <row r="87" spans="1:39" x14ac:dyDescent="0.2">
      <c r="A87" t="s">
        <v>193</v>
      </c>
      <c r="B87" t="s">
        <v>194</v>
      </c>
      <c r="C87" t="s">
        <v>194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4.7</v>
      </c>
      <c r="AE87">
        <v>282</v>
      </c>
      <c r="AF87">
        <v>13.134328358208951</v>
      </c>
      <c r="AG87">
        <v>10.85504566534315</v>
      </c>
      <c r="AH87">
        <v>53.943527779912401</v>
      </c>
      <c r="AI87">
        <f>27.5140580777445*1</f>
        <v>27.514058077744501</v>
      </c>
      <c r="AJ87">
        <f>4.63769981988064*1</f>
        <v>4.6376998198806403</v>
      </c>
      <c r="AK87">
        <v>1</v>
      </c>
      <c r="AL87">
        <v>1</v>
      </c>
      <c r="AM87">
        <v>1</v>
      </c>
    </row>
    <row r="88" spans="1:39" hidden="1" x14ac:dyDescent="0.2">
      <c r="A88" t="s">
        <v>232</v>
      </c>
      <c r="B88" t="s">
        <v>233</v>
      </c>
      <c r="C88" t="s">
        <v>232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7.1</v>
      </c>
      <c r="AE88">
        <v>393</v>
      </c>
      <c r="AF88">
        <v>17.500000000000011</v>
      </c>
      <c r="AG88">
        <v>20.076050124619549</v>
      </c>
      <c r="AH88">
        <v>6.0123869720023562</v>
      </c>
      <c r="AI88">
        <f>12.7684639234781*1</f>
        <v>12.7684639234781</v>
      </c>
      <c r="AJ88">
        <f>2.31969116041794*1</f>
        <v>2.31969116041794</v>
      </c>
      <c r="AK88">
        <v>1</v>
      </c>
      <c r="AL88">
        <v>0</v>
      </c>
      <c r="AM88">
        <v>0</v>
      </c>
    </row>
    <row r="89" spans="1:39" hidden="1" x14ac:dyDescent="0.2">
      <c r="A89" t="s">
        <v>234</v>
      </c>
      <c r="B89" t="s">
        <v>235</v>
      </c>
      <c r="C89" t="s">
        <v>235</v>
      </c>
      <c r="D89" t="s">
        <v>6</v>
      </c>
      <c r="E89">
        <v>0</v>
      </c>
      <c r="F89">
        <v>0</v>
      </c>
      <c r="G89">
        <v>0</v>
      </c>
      <c r="H89">
        <v>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7.1</v>
      </c>
      <c r="AE89">
        <v>398</v>
      </c>
      <c r="AF89">
        <v>16.044776119402989</v>
      </c>
      <c r="AG89">
        <v>17.119403355362149</v>
      </c>
      <c r="AH89">
        <v>25.736111399067649</v>
      </c>
      <c r="AI89">
        <f>21.9938547683294*1</f>
        <v>21.993854768329399</v>
      </c>
      <c r="AJ89">
        <f>4.73961891304483*1</f>
        <v>4.7396189130448301</v>
      </c>
      <c r="AK89">
        <v>1</v>
      </c>
      <c r="AL89">
        <v>0</v>
      </c>
      <c r="AM89">
        <v>0</v>
      </c>
    </row>
    <row r="90" spans="1:39" hidden="1" x14ac:dyDescent="0.2">
      <c r="A90" t="s">
        <v>86</v>
      </c>
      <c r="B90" t="s">
        <v>236</v>
      </c>
      <c r="C90" t="s">
        <v>236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400</v>
      </c>
      <c r="AF90">
        <v>10.125</v>
      </c>
      <c r="AG90">
        <v>12.37071230763817</v>
      </c>
      <c r="AH90">
        <v>9.7333403348787968</v>
      </c>
      <c r="AI90">
        <f>5.57828228298281*1</f>
        <v>5.5782822829828103</v>
      </c>
      <c r="AJ90">
        <f>1.20447120799104*1</f>
        <v>1.20447120799104</v>
      </c>
      <c r="AK90">
        <v>1</v>
      </c>
      <c r="AL90">
        <v>0</v>
      </c>
      <c r="AM90">
        <v>0</v>
      </c>
    </row>
    <row r="91" spans="1:39" hidden="1" x14ac:dyDescent="0.2">
      <c r="A91" t="s">
        <v>237</v>
      </c>
      <c r="B91" t="s">
        <v>238</v>
      </c>
      <c r="C91" t="s">
        <v>238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5.3</v>
      </c>
      <c r="AE91">
        <v>401</v>
      </c>
      <c r="AF91">
        <v>11.42105263157895</v>
      </c>
      <c r="AG91">
        <v>9.1901268107284952</v>
      </c>
      <c r="AH91">
        <v>18.971428571428572</v>
      </c>
      <c r="AI91">
        <f>17.3489722461316*1</f>
        <v>17.348972246131598</v>
      </c>
      <c r="AJ91">
        <f>3.57711578045412*1</f>
        <v>3.57711578045412</v>
      </c>
      <c r="AK91">
        <v>1</v>
      </c>
      <c r="AL91">
        <v>0</v>
      </c>
      <c r="AM91">
        <v>0</v>
      </c>
    </row>
    <row r="92" spans="1:39" hidden="1" x14ac:dyDescent="0.2">
      <c r="A92" t="s">
        <v>239</v>
      </c>
      <c r="B92" t="s">
        <v>240</v>
      </c>
      <c r="C92" t="s">
        <v>241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7.4</v>
      </c>
      <c r="AE92">
        <v>404</v>
      </c>
      <c r="AF92">
        <v>19.53947368421052</v>
      </c>
      <c r="AG92">
        <v>14.22869548775151</v>
      </c>
      <c r="AH92">
        <v>12.856017184330859</v>
      </c>
      <c r="AI92">
        <f>4.44780776702431*1</f>
        <v>4.4478077670243099</v>
      </c>
      <c r="AJ92">
        <f>0.873834349662596*1</f>
        <v>0.87383434966259599</v>
      </c>
      <c r="AK92">
        <v>1</v>
      </c>
      <c r="AL92">
        <v>0</v>
      </c>
      <c r="AM92">
        <v>0</v>
      </c>
    </row>
    <row r="93" spans="1:39" x14ac:dyDescent="0.2">
      <c r="A93" t="s">
        <v>307</v>
      </c>
      <c r="B93" t="s">
        <v>308</v>
      </c>
      <c r="C93" t="s">
        <v>308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4.9000000000000004</v>
      </c>
      <c r="AE93">
        <v>520</v>
      </c>
      <c r="AF93">
        <v>17.75806315280898</v>
      </c>
      <c r="AG93">
        <v>15.21058532156869</v>
      </c>
      <c r="AH93">
        <v>11.19645149699144</v>
      </c>
      <c r="AI93">
        <f>18.559486249134*1</f>
        <v>18.559486249134</v>
      </c>
      <c r="AJ93">
        <f>4.12026307572033*1</f>
        <v>4.12026307572033</v>
      </c>
      <c r="AK93">
        <v>1</v>
      </c>
      <c r="AL93">
        <v>1</v>
      </c>
      <c r="AM93">
        <v>1</v>
      </c>
    </row>
    <row r="94" spans="1:39" hidden="1" x14ac:dyDescent="0.2">
      <c r="A94" t="s">
        <v>245</v>
      </c>
      <c r="B94" t="s">
        <v>246</v>
      </c>
      <c r="C94" t="s">
        <v>246</v>
      </c>
      <c r="D94" t="s">
        <v>4</v>
      </c>
      <c r="E94">
        <v>0</v>
      </c>
      <c r="F94">
        <v>1</v>
      </c>
      <c r="G94">
        <v>0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5.9</v>
      </c>
      <c r="AE94">
        <v>412</v>
      </c>
      <c r="AF94">
        <v>16.430471602539161</v>
      </c>
      <c r="AG94">
        <v>23.422493563375198</v>
      </c>
      <c r="AH94">
        <v>5.9310799767914357</v>
      </c>
      <c r="AI94">
        <f>7.30488073789776*1</f>
        <v>7.3048807378977596</v>
      </c>
      <c r="AJ94">
        <f>1.37983069779591*1</f>
        <v>1.3798306977959101</v>
      </c>
      <c r="AK94">
        <v>1</v>
      </c>
      <c r="AL94">
        <v>1</v>
      </c>
      <c r="AM94">
        <v>0</v>
      </c>
    </row>
    <row r="95" spans="1:39" hidden="1" x14ac:dyDescent="0.2">
      <c r="A95" t="s">
        <v>247</v>
      </c>
      <c r="B95" t="s">
        <v>248</v>
      </c>
      <c r="C95" t="s">
        <v>248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6.3</v>
      </c>
      <c r="AE95">
        <v>413</v>
      </c>
      <c r="AF95">
        <v>14.999999999999989</v>
      </c>
      <c r="AG95">
        <v>19.60771360577397</v>
      </c>
      <c r="AH95">
        <v>11.143708450719981</v>
      </c>
      <c r="AI95">
        <f>10.673137724416*1</f>
        <v>10.673137724416</v>
      </c>
      <c r="AJ95">
        <f>2.02427996875471*1</f>
        <v>2.0242799687547102</v>
      </c>
      <c r="AK95">
        <v>1</v>
      </c>
      <c r="AL95">
        <v>0</v>
      </c>
      <c r="AM95">
        <v>0</v>
      </c>
    </row>
    <row r="96" spans="1:39" hidden="1" x14ac:dyDescent="0.2">
      <c r="A96" t="s">
        <v>249</v>
      </c>
      <c r="B96" t="s">
        <v>250</v>
      </c>
      <c r="C96" t="s">
        <v>249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6.5</v>
      </c>
      <c r="AE96">
        <v>415</v>
      </c>
      <c r="AF96">
        <v>20.21105058891235</v>
      </c>
      <c r="AG96">
        <v>24.90210370906809</v>
      </c>
      <c r="AH96">
        <v>13.762287330610871</v>
      </c>
      <c r="AI96">
        <f>16.0079159499049*1</f>
        <v>16.007915949904898</v>
      </c>
      <c r="AJ96">
        <f>3.31163824011422*1</f>
        <v>3.3116382401142199</v>
      </c>
      <c r="AK96">
        <v>1</v>
      </c>
      <c r="AL96">
        <v>0</v>
      </c>
      <c r="AM96">
        <v>0</v>
      </c>
    </row>
    <row r="97" spans="1:39" hidden="1" x14ac:dyDescent="0.2">
      <c r="A97" t="s">
        <v>251</v>
      </c>
      <c r="B97" t="s">
        <v>252</v>
      </c>
      <c r="C97" t="s">
        <v>251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6.3</v>
      </c>
      <c r="AE97">
        <v>423</v>
      </c>
      <c r="AF97">
        <v>18.07692307692307</v>
      </c>
      <c r="AG97">
        <v>20.328334475031291</v>
      </c>
      <c r="AH97">
        <v>26.85862181574328</v>
      </c>
      <c r="AI97">
        <f>13.0650958530486*1</f>
        <v>13.0650958530486</v>
      </c>
      <c r="AJ97">
        <f>2.58420430110856*1</f>
        <v>2.58420430110856</v>
      </c>
      <c r="AK97">
        <v>1</v>
      </c>
      <c r="AL97">
        <v>0</v>
      </c>
      <c r="AM97">
        <v>0</v>
      </c>
    </row>
    <row r="98" spans="1:39" hidden="1" x14ac:dyDescent="0.2">
      <c r="A98" t="s">
        <v>253</v>
      </c>
      <c r="B98" t="s">
        <v>254</v>
      </c>
      <c r="C98" t="s">
        <v>254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6.2</v>
      </c>
      <c r="AE98">
        <v>427</v>
      </c>
      <c r="AF98">
        <v>17.30769230769231</v>
      </c>
      <c r="AG98">
        <v>18.39876785115105</v>
      </c>
      <c r="AH98">
        <v>14.525103831973439</v>
      </c>
      <c r="AI98">
        <f>13.7346595789824*1</f>
        <v>13.7346595789824</v>
      </c>
      <c r="AJ98">
        <f>2.80566390782682*1</f>
        <v>2.80566390782682</v>
      </c>
      <c r="AK98">
        <v>1</v>
      </c>
      <c r="AL98">
        <v>0</v>
      </c>
      <c r="AM98">
        <v>0</v>
      </c>
    </row>
    <row r="99" spans="1:39" hidden="1" x14ac:dyDescent="0.2">
      <c r="A99" t="s">
        <v>255</v>
      </c>
      <c r="B99" t="s">
        <v>256</v>
      </c>
      <c r="C99" t="s">
        <v>257</v>
      </c>
      <c r="D99" t="s">
        <v>3</v>
      </c>
      <c r="E99">
        <v>1</v>
      </c>
      <c r="F99">
        <v>0</v>
      </c>
      <c r="G99">
        <v>0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5.4</v>
      </c>
      <c r="AE99">
        <v>428</v>
      </c>
      <c r="AF99">
        <v>16.045089625927481</v>
      </c>
      <c r="AG99">
        <v>20.033657535147629</v>
      </c>
      <c r="AH99">
        <v>4.7994016355858458</v>
      </c>
      <c r="AI99">
        <f>5.78562373750715*1</f>
        <v>5.7856237375071498</v>
      </c>
      <c r="AJ99">
        <f>1.20758597609573*1</f>
        <v>1.2075859760957299</v>
      </c>
      <c r="AK99">
        <v>1</v>
      </c>
      <c r="AL99">
        <v>0</v>
      </c>
      <c r="AM99">
        <v>0</v>
      </c>
    </row>
    <row r="100" spans="1:39" hidden="1" x14ac:dyDescent="0.2">
      <c r="A100" t="s">
        <v>258</v>
      </c>
      <c r="B100" t="s">
        <v>259</v>
      </c>
      <c r="C100" t="s">
        <v>259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6.1</v>
      </c>
      <c r="AE100">
        <v>431</v>
      </c>
      <c r="AF100">
        <v>19.761904761904749</v>
      </c>
      <c r="AG100">
        <v>21.524101561986171</v>
      </c>
      <c r="AH100">
        <v>26.916251169902448</v>
      </c>
      <c r="AI100">
        <f>14.7717352713313*1</f>
        <v>14.7717352713313</v>
      </c>
      <c r="AJ100">
        <f>2.84927265390644*1</f>
        <v>2.8492726539064401</v>
      </c>
      <c r="AK100">
        <v>1</v>
      </c>
      <c r="AL100">
        <v>0</v>
      </c>
      <c r="AM100">
        <v>0</v>
      </c>
    </row>
    <row r="101" spans="1:39" hidden="1" x14ac:dyDescent="0.2">
      <c r="A101" t="s">
        <v>260</v>
      </c>
      <c r="B101" t="s">
        <v>261</v>
      </c>
      <c r="C101" t="s">
        <v>261</v>
      </c>
      <c r="D101" t="s">
        <v>6</v>
      </c>
      <c r="E101">
        <v>0</v>
      </c>
      <c r="F101">
        <v>0</v>
      </c>
      <c r="G101">
        <v>0</v>
      </c>
      <c r="H101">
        <v>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14.9</v>
      </c>
      <c r="AE101">
        <v>432</v>
      </c>
      <c r="AF101">
        <v>37.499999999999993</v>
      </c>
      <c r="AG101">
        <v>46.119054356983192</v>
      </c>
      <c r="AH101">
        <v>34.824761904761907</v>
      </c>
      <c r="AI101">
        <f>17.4225925766856*1</f>
        <v>17.422592576685599</v>
      </c>
      <c r="AJ101">
        <f>2.98936632986449*1</f>
        <v>2.9893663298644899</v>
      </c>
      <c r="AK101">
        <v>1</v>
      </c>
      <c r="AL101">
        <v>0</v>
      </c>
      <c r="AM101">
        <v>0</v>
      </c>
    </row>
    <row r="102" spans="1:39" hidden="1" x14ac:dyDescent="0.2">
      <c r="A102" t="s">
        <v>262</v>
      </c>
      <c r="B102" t="s">
        <v>263</v>
      </c>
      <c r="C102" t="s">
        <v>263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5.4</v>
      </c>
      <c r="AE102">
        <v>435</v>
      </c>
      <c r="AF102">
        <v>12.439024390243899</v>
      </c>
      <c r="AG102">
        <v>10.27155476218878</v>
      </c>
      <c r="AH102">
        <v>14.879517305089459</v>
      </c>
      <c r="AI102">
        <f>10.6372245618123*1</f>
        <v>10.6372245618123</v>
      </c>
      <c r="AJ102">
        <f>2.19680001880751*1</f>
        <v>2.1968000188075099</v>
      </c>
      <c r="AK102">
        <v>1</v>
      </c>
      <c r="AL102">
        <v>0</v>
      </c>
      <c r="AM102">
        <v>0</v>
      </c>
    </row>
    <row r="103" spans="1:39" hidden="1" x14ac:dyDescent="0.2">
      <c r="A103" t="s">
        <v>264</v>
      </c>
      <c r="B103" t="s">
        <v>265</v>
      </c>
      <c r="C103" t="s">
        <v>266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4.9000000000000004</v>
      </c>
      <c r="AE103">
        <v>437</v>
      </c>
      <c r="AF103">
        <v>11.015625</v>
      </c>
      <c r="AG103">
        <v>11.437052109200501</v>
      </c>
      <c r="AH103">
        <v>10.18140622272881</v>
      </c>
      <c r="AI103">
        <f>9.15479686937491*1</f>
        <v>9.1547968693749109</v>
      </c>
      <c r="AJ103">
        <f>1.75359096804832*1</f>
        <v>1.7535909680483199</v>
      </c>
      <c r="AK103">
        <v>1</v>
      </c>
      <c r="AL103">
        <v>0</v>
      </c>
      <c r="AM103">
        <v>0</v>
      </c>
    </row>
    <row r="104" spans="1:39" hidden="1" x14ac:dyDescent="0.2">
      <c r="A104" t="s">
        <v>267</v>
      </c>
      <c r="B104" t="s">
        <v>268</v>
      </c>
      <c r="C104" t="s">
        <v>267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5.4</v>
      </c>
      <c r="AE104">
        <v>441</v>
      </c>
      <c r="AF104">
        <v>14.30769230769231</v>
      </c>
      <c r="AG104">
        <v>19.093471975326729</v>
      </c>
      <c r="AH104">
        <v>8.4285714285714288</v>
      </c>
      <c r="AI104">
        <f>9.89961318811869*1</f>
        <v>9.8996131881186908</v>
      </c>
      <c r="AJ104">
        <f>2.43643247226319*1</f>
        <v>2.4364324722631898</v>
      </c>
      <c r="AK104">
        <v>1</v>
      </c>
      <c r="AL104">
        <v>0</v>
      </c>
      <c r="AM104">
        <v>0</v>
      </c>
    </row>
    <row r="105" spans="1:39" hidden="1" x14ac:dyDescent="0.2">
      <c r="A105" t="s">
        <v>269</v>
      </c>
      <c r="B105" t="s">
        <v>270</v>
      </c>
      <c r="C105" t="s">
        <v>269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5.2</v>
      </c>
      <c r="AE105">
        <v>452</v>
      </c>
      <c r="AF105">
        <v>18.8</v>
      </c>
      <c r="AG105">
        <v>13.306826759925229</v>
      </c>
      <c r="AH105">
        <v>31.008264811608129</v>
      </c>
      <c r="AI105">
        <f>23.4216255125374*1</f>
        <v>23.4216255125374</v>
      </c>
      <c r="AJ105">
        <f>4.30424721068128*1</f>
        <v>4.3042472106812797</v>
      </c>
      <c r="AK105">
        <v>1</v>
      </c>
      <c r="AL105">
        <v>0</v>
      </c>
      <c r="AM105">
        <v>0</v>
      </c>
    </row>
    <row r="106" spans="1:39" x14ac:dyDescent="0.2">
      <c r="A106" t="s">
        <v>123</v>
      </c>
      <c r="B106" t="s">
        <v>124</v>
      </c>
      <c r="C106" t="s">
        <v>124</v>
      </c>
      <c r="D106" t="s">
        <v>6</v>
      </c>
      <c r="E106">
        <v>0</v>
      </c>
      <c r="F106">
        <v>0</v>
      </c>
      <c r="G106">
        <v>0</v>
      </c>
      <c r="H106">
        <v>1</v>
      </c>
      <c r="I106" t="s">
        <v>14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6.2</v>
      </c>
      <c r="AE106">
        <v>127</v>
      </c>
      <c r="AF106">
        <v>24.976502308463939</v>
      </c>
      <c r="AG106">
        <v>15.02988264803867</v>
      </c>
      <c r="AH106">
        <v>20.941715980849558</v>
      </c>
      <c r="AI106">
        <f>16.0866679675529*1</f>
        <v>16.086667967552899</v>
      </c>
      <c r="AJ106">
        <f>3.32488286395817*1</f>
        <v>3.32488286395817</v>
      </c>
      <c r="AK106">
        <v>1</v>
      </c>
      <c r="AL106">
        <v>1</v>
      </c>
      <c r="AM106">
        <v>1</v>
      </c>
    </row>
    <row r="107" spans="1:39" hidden="1" x14ac:dyDescent="0.2">
      <c r="A107" t="s">
        <v>274</v>
      </c>
      <c r="B107" t="s">
        <v>275</v>
      </c>
      <c r="C107" t="s">
        <v>276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4.8</v>
      </c>
      <c r="AE107">
        <v>456</v>
      </c>
      <c r="AF107">
        <v>12.622950819672131</v>
      </c>
      <c r="AG107">
        <v>13.879081556088529</v>
      </c>
      <c r="AH107">
        <v>9.9550794836604144</v>
      </c>
      <c r="AI107">
        <f>11.4648381272363*1</f>
        <v>11.4648381272363</v>
      </c>
      <c r="AJ107">
        <f>2.22897465768172*1</f>
        <v>2.2289746576817202</v>
      </c>
      <c r="AK107">
        <v>1</v>
      </c>
      <c r="AL107">
        <v>0</v>
      </c>
      <c r="AM107">
        <v>0</v>
      </c>
    </row>
    <row r="108" spans="1:39" hidden="1" x14ac:dyDescent="0.2">
      <c r="A108" t="s">
        <v>277</v>
      </c>
      <c r="B108" t="s">
        <v>278</v>
      </c>
      <c r="C108" t="s">
        <v>279</v>
      </c>
      <c r="D108" t="s">
        <v>4</v>
      </c>
      <c r="E108">
        <v>0</v>
      </c>
      <c r="F108">
        <v>1</v>
      </c>
      <c r="G108">
        <v>0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5.2</v>
      </c>
      <c r="AE108">
        <v>457</v>
      </c>
      <c r="AF108">
        <v>16.8</v>
      </c>
      <c r="AG108">
        <v>22.399308999070019</v>
      </c>
      <c r="AH108">
        <v>9.3089399755104232</v>
      </c>
      <c r="AI108">
        <f>5.7464829207747*1</f>
        <v>5.7464829207747004</v>
      </c>
      <c r="AJ108">
        <f>1.30095417400391*1</f>
        <v>1.3009541740039099</v>
      </c>
      <c r="AK108">
        <v>1</v>
      </c>
      <c r="AL108">
        <v>0</v>
      </c>
      <c r="AM108">
        <v>0</v>
      </c>
    </row>
    <row r="109" spans="1:39" hidden="1" x14ac:dyDescent="0.2">
      <c r="A109" t="s">
        <v>280</v>
      </c>
      <c r="B109" t="s">
        <v>281</v>
      </c>
      <c r="C109" t="s">
        <v>281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6.2</v>
      </c>
      <c r="AE109">
        <v>460</v>
      </c>
      <c r="AF109">
        <v>13.77826389312893</v>
      </c>
      <c r="AG109">
        <v>15.63155702085731</v>
      </c>
      <c r="AH109">
        <v>13.1018292548481</v>
      </c>
      <c r="AI109">
        <f>13.3297625192214*1</f>
        <v>13.329762519221401</v>
      </c>
      <c r="AJ109">
        <f>2.48022858602574*1</f>
        <v>2.4802285860257398</v>
      </c>
      <c r="AK109">
        <v>1</v>
      </c>
      <c r="AL109">
        <v>0</v>
      </c>
      <c r="AM109">
        <v>0</v>
      </c>
    </row>
    <row r="110" spans="1:39" hidden="1" x14ac:dyDescent="0.2">
      <c r="A110" t="s">
        <v>282</v>
      </c>
      <c r="B110" t="s">
        <v>283</v>
      </c>
      <c r="C110" t="s">
        <v>77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4.4000000000000004</v>
      </c>
      <c r="AE110">
        <v>468</v>
      </c>
      <c r="AF110">
        <v>13.750000000000011</v>
      </c>
      <c r="AG110">
        <v>12.57887836030396</v>
      </c>
      <c r="AH110">
        <v>18.476054062953001</v>
      </c>
      <c r="AI110">
        <f>12.3821870995368*1</f>
        <v>12.3821870995368</v>
      </c>
      <c r="AJ110">
        <f>2.39331471082928*1</f>
        <v>2.39331471082928</v>
      </c>
      <c r="AK110">
        <v>1</v>
      </c>
      <c r="AL110">
        <v>0</v>
      </c>
      <c r="AM110">
        <v>0</v>
      </c>
    </row>
    <row r="111" spans="1:39" hidden="1" x14ac:dyDescent="0.2">
      <c r="A111" t="s">
        <v>284</v>
      </c>
      <c r="B111" t="s">
        <v>285</v>
      </c>
      <c r="C111" t="s">
        <v>285</v>
      </c>
      <c r="D111" t="s">
        <v>3</v>
      </c>
      <c r="E111">
        <v>1</v>
      </c>
      <c r="F111">
        <v>0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5.2</v>
      </c>
      <c r="AE111">
        <v>471</v>
      </c>
      <c r="AF111">
        <v>18.584905660377359</v>
      </c>
      <c r="AG111">
        <v>24.958227003437081</v>
      </c>
      <c r="AH111">
        <v>15.477079756899469</v>
      </c>
      <c r="AI111">
        <f>9.47507535970427*1</f>
        <v>9.4750753597042703</v>
      </c>
      <c r="AJ111">
        <f>2.11001888564733*1</f>
        <v>2.1100188856473299</v>
      </c>
      <c r="AK111">
        <v>1</v>
      </c>
      <c r="AL111">
        <v>1</v>
      </c>
      <c r="AM111">
        <v>0</v>
      </c>
    </row>
    <row r="112" spans="1:39" hidden="1" x14ac:dyDescent="0.2">
      <c r="A112" t="s">
        <v>104</v>
      </c>
      <c r="B112" t="s">
        <v>286</v>
      </c>
      <c r="C112" t="s">
        <v>286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6.8</v>
      </c>
      <c r="AE112">
        <v>473</v>
      </c>
      <c r="AF112">
        <v>21.827411167512679</v>
      </c>
      <c r="AG112">
        <v>22.870866810350709</v>
      </c>
      <c r="AH112">
        <v>15.361496366925509</v>
      </c>
      <c r="AI112">
        <f>17.4885378461387*1</f>
        <v>17.488537846138701</v>
      </c>
      <c r="AJ112">
        <f>3.55325029023484*1</f>
        <v>3.55325029023484</v>
      </c>
      <c r="AK112">
        <v>1</v>
      </c>
      <c r="AL112">
        <v>0</v>
      </c>
      <c r="AM112">
        <v>0</v>
      </c>
    </row>
    <row r="113" spans="1:39" hidden="1" x14ac:dyDescent="0.2">
      <c r="A113" t="s">
        <v>287</v>
      </c>
      <c r="B113" t="s">
        <v>288</v>
      </c>
      <c r="C113" t="s">
        <v>288</v>
      </c>
      <c r="D113" t="s">
        <v>6</v>
      </c>
      <c r="E113">
        <v>0</v>
      </c>
      <c r="F113">
        <v>0</v>
      </c>
      <c r="G113">
        <v>0</v>
      </c>
      <c r="H113">
        <v>1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6.6</v>
      </c>
      <c r="AE113">
        <v>475</v>
      </c>
      <c r="AF113">
        <v>0</v>
      </c>
      <c r="AG113">
        <v>0</v>
      </c>
      <c r="AH113">
        <v>0</v>
      </c>
      <c r="AI113">
        <f>0*1</f>
        <v>0</v>
      </c>
      <c r="AJ113">
        <f>0*1</f>
        <v>0</v>
      </c>
      <c r="AK113">
        <v>1</v>
      </c>
      <c r="AL113">
        <v>0</v>
      </c>
      <c r="AM113">
        <v>0</v>
      </c>
    </row>
    <row r="114" spans="1:39" hidden="1" x14ac:dyDescent="0.2">
      <c r="A114" t="s">
        <v>289</v>
      </c>
      <c r="B114" t="s">
        <v>290</v>
      </c>
      <c r="C114" t="s">
        <v>290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6.2</v>
      </c>
      <c r="AE114">
        <v>488</v>
      </c>
      <c r="AF114">
        <v>19.295866986108958</v>
      </c>
      <c r="AG114">
        <v>21.65054321543505</v>
      </c>
      <c r="AH114">
        <v>12.7398027899802</v>
      </c>
      <c r="AI114">
        <f>10.1183192348165*1</f>
        <v>10.1183192348165</v>
      </c>
      <c r="AJ114">
        <f>1.99219999158763*1</f>
        <v>1.9921999915876301</v>
      </c>
      <c r="AK114">
        <v>1</v>
      </c>
      <c r="AL114">
        <v>0</v>
      </c>
      <c r="AM114">
        <v>0</v>
      </c>
    </row>
    <row r="115" spans="1:39" hidden="1" x14ac:dyDescent="0.2">
      <c r="A115" t="s">
        <v>271</v>
      </c>
      <c r="B115" t="s">
        <v>291</v>
      </c>
      <c r="C115" t="s">
        <v>292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6.1</v>
      </c>
      <c r="AE115">
        <v>490</v>
      </c>
      <c r="AF115">
        <v>18.4375</v>
      </c>
      <c r="AG115">
        <v>17.034413603202729</v>
      </c>
      <c r="AH115">
        <v>21.867998050306831</v>
      </c>
      <c r="AI115">
        <f>13.8711570783913*1</f>
        <v>13.871157078391301</v>
      </c>
      <c r="AJ115">
        <f>2.72699552991236*1</f>
        <v>2.7269955299123598</v>
      </c>
      <c r="AK115">
        <v>1</v>
      </c>
      <c r="AL115">
        <v>0</v>
      </c>
      <c r="AM115">
        <v>0</v>
      </c>
    </row>
    <row r="116" spans="1:39" hidden="1" x14ac:dyDescent="0.2">
      <c r="A116" t="s">
        <v>293</v>
      </c>
      <c r="B116" t="s">
        <v>294</v>
      </c>
      <c r="C116" t="s">
        <v>294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4.4000000000000004</v>
      </c>
      <c r="AE116">
        <v>491</v>
      </c>
      <c r="AF116">
        <v>14.27472845731919</v>
      </c>
      <c r="AG116">
        <v>15.724237605878839</v>
      </c>
      <c r="AH116">
        <v>17.308895582644801</v>
      </c>
      <c r="AI116">
        <f>13.8396771204075*1</f>
        <v>13.839677120407501</v>
      </c>
      <c r="AJ116">
        <f>2.88303521469578*1</f>
        <v>2.8830352146957798</v>
      </c>
      <c r="AK116">
        <v>1</v>
      </c>
      <c r="AL116">
        <v>0</v>
      </c>
      <c r="AM116">
        <v>0</v>
      </c>
    </row>
    <row r="117" spans="1:39" hidden="1" x14ac:dyDescent="0.2">
      <c r="A117" t="s">
        <v>295</v>
      </c>
      <c r="B117" t="s">
        <v>296</v>
      </c>
      <c r="C117" t="s">
        <v>296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7.2</v>
      </c>
      <c r="AE117">
        <v>493</v>
      </c>
      <c r="AF117">
        <v>0</v>
      </c>
      <c r="AG117">
        <v>0</v>
      </c>
      <c r="AH117">
        <v>0</v>
      </c>
      <c r="AI117">
        <f>0*1</f>
        <v>0</v>
      </c>
      <c r="AJ117">
        <f>0*1</f>
        <v>0</v>
      </c>
      <c r="AK117">
        <v>1</v>
      </c>
      <c r="AL117">
        <v>0</v>
      </c>
      <c r="AM117">
        <v>0</v>
      </c>
    </row>
    <row r="118" spans="1:39" hidden="1" x14ac:dyDescent="0.2">
      <c r="A118" t="s">
        <v>88</v>
      </c>
      <c r="B118" t="s">
        <v>297</v>
      </c>
      <c r="C118" t="s">
        <v>297</v>
      </c>
      <c r="D118" t="s">
        <v>4</v>
      </c>
      <c r="E118">
        <v>0</v>
      </c>
      <c r="F118">
        <v>1</v>
      </c>
      <c r="G118">
        <v>0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4.5999999999999996</v>
      </c>
      <c r="AE118">
        <v>494</v>
      </c>
      <c r="AF118">
        <v>13.125</v>
      </c>
      <c r="AG118">
        <v>12.623859807264701</v>
      </c>
      <c r="AH118">
        <v>26.08</v>
      </c>
      <c r="AI118">
        <f>20.0182916510127*1</f>
        <v>20.018291651012699</v>
      </c>
      <c r="AJ118">
        <f>4.10827341022849*1</f>
        <v>4.1082734102284899</v>
      </c>
      <c r="AK118">
        <v>1</v>
      </c>
      <c r="AL118">
        <v>0</v>
      </c>
      <c r="AM118">
        <v>0</v>
      </c>
    </row>
    <row r="119" spans="1:39" hidden="1" x14ac:dyDescent="0.2">
      <c r="A119" t="s">
        <v>298</v>
      </c>
      <c r="B119" t="s">
        <v>299</v>
      </c>
      <c r="C119" t="s">
        <v>299</v>
      </c>
      <c r="D119" t="s">
        <v>6</v>
      </c>
      <c r="E119">
        <v>0</v>
      </c>
      <c r="F119">
        <v>0</v>
      </c>
      <c r="G119">
        <v>0</v>
      </c>
      <c r="H119">
        <v>1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8.6999999999999993</v>
      </c>
      <c r="AE119">
        <v>496</v>
      </c>
      <c r="AF119">
        <v>27.222222222222221</v>
      </c>
      <c r="AG119">
        <v>26.54171313883516</v>
      </c>
      <c r="AH119">
        <v>39.263403170696691</v>
      </c>
      <c r="AI119">
        <f>30.5510720274063*1</f>
        <v>30.551072027406299</v>
      </c>
      <c r="AJ119">
        <f>6.24128881867905*1</f>
        <v>6.2412888186790498</v>
      </c>
      <c r="AK119">
        <v>1</v>
      </c>
      <c r="AL119">
        <v>0</v>
      </c>
      <c r="AM119">
        <v>0</v>
      </c>
    </row>
    <row r="120" spans="1:39" hidden="1" x14ac:dyDescent="0.2">
      <c r="A120" t="s">
        <v>300</v>
      </c>
      <c r="B120" t="s">
        <v>301</v>
      </c>
      <c r="C120" t="s">
        <v>302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4.9000000000000004</v>
      </c>
      <c r="AE120">
        <v>497</v>
      </c>
      <c r="AF120">
        <v>17.870969499018582</v>
      </c>
      <c r="AG120">
        <v>10.369809310997971</v>
      </c>
      <c r="AH120">
        <v>31.941190794499619</v>
      </c>
      <c r="AI120">
        <f>23.9753121863831*1</f>
        <v>23.9753121863831</v>
      </c>
      <c r="AJ120">
        <f>4.55229674602471*1</f>
        <v>4.5522967460247097</v>
      </c>
      <c r="AK120">
        <v>1</v>
      </c>
      <c r="AL120">
        <v>0</v>
      </c>
      <c r="AM120">
        <v>0</v>
      </c>
    </row>
    <row r="121" spans="1:39" hidden="1" x14ac:dyDescent="0.2">
      <c r="A121" t="s">
        <v>303</v>
      </c>
      <c r="B121" t="s">
        <v>304</v>
      </c>
      <c r="C121" t="s">
        <v>304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4.5</v>
      </c>
      <c r="AE121">
        <v>504</v>
      </c>
      <c r="AF121">
        <v>10.52502913345038</v>
      </c>
      <c r="AG121">
        <v>16.036954237645531</v>
      </c>
      <c r="AH121">
        <v>10.277099054413499</v>
      </c>
      <c r="AI121">
        <f>11.102651744671*1</f>
        <v>11.102651744671</v>
      </c>
      <c r="AJ121">
        <f>2.52058513838878*1</f>
        <v>2.5205851383887801</v>
      </c>
      <c r="AK121">
        <v>1</v>
      </c>
      <c r="AL121">
        <v>0</v>
      </c>
      <c r="AM121">
        <v>0</v>
      </c>
    </row>
    <row r="122" spans="1:39" hidden="1" x14ac:dyDescent="0.2">
      <c r="A122" t="s">
        <v>305</v>
      </c>
      <c r="B122" t="s">
        <v>306</v>
      </c>
      <c r="C122" t="s">
        <v>306</v>
      </c>
      <c r="D122" t="s">
        <v>4</v>
      </c>
      <c r="E122">
        <v>0</v>
      </c>
      <c r="F122">
        <v>1</v>
      </c>
      <c r="G122">
        <v>0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5.4</v>
      </c>
      <c r="AE122">
        <v>510</v>
      </c>
      <c r="AF122">
        <v>16.037684917462531</v>
      </c>
      <c r="AG122">
        <v>16.91484266847165</v>
      </c>
      <c r="AH122">
        <v>13.42369857931827</v>
      </c>
      <c r="AI122">
        <f>11.8694344910756*1</f>
        <v>11.8694344910756</v>
      </c>
      <c r="AJ122">
        <f>2.15268729418943*1</f>
        <v>2.1526872941894299</v>
      </c>
      <c r="AK122">
        <v>1</v>
      </c>
      <c r="AL122">
        <v>0</v>
      </c>
      <c r="AM122">
        <v>0</v>
      </c>
    </row>
    <row r="123" spans="1:39" x14ac:dyDescent="0.2">
      <c r="A123" t="s">
        <v>319</v>
      </c>
      <c r="B123" t="s">
        <v>320</v>
      </c>
      <c r="C123" t="s">
        <v>320</v>
      </c>
      <c r="D123" t="s">
        <v>6</v>
      </c>
      <c r="E123">
        <v>0</v>
      </c>
      <c r="F123">
        <v>0</v>
      </c>
      <c r="G123">
        <v>0</v>
      </c>
      <c r="H123">
        <v>1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6.6</v>
      </c>
      <c r="AE123">
        <v>544</v>
      </c>
      <c r="AF123">
        <v>18.257812390014681</v>
      </c>
      <c r="AG123">
        <v>19.369840878019051</v>
      </c>
      <c r="AH123">
        <v>23.514747779840381</v>
      </c>
      <c r="AI123">
        <f>15.380839692938*1</f>
        <v>15.380839692938</v>
      </c>
      <c r="AJ123">
        <f>2.75204636651706*1</f>
        <v>2.7520463665170598</v>
      </c>
      <c r="AK123">
        <v>1</v>
      </c>
      <c r="AL123">
        <v>1</v>
      </c>
      <c r="AM123">
        <v>1</v>
      </c>
    </row>
    <row r="124" spans="1:39" hidden="1" x14ac:dyDescent="0.2">
      <c r="A124" t="s">
        <v>309</v>
      </c>
      <c r="B124" t="s">
        <v>310</v>
      </c>
      <c r="C124" t="s">
        <v>310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521</v>
      </c>
      <c r="AF124">
        <v>15.074181735829301</v>
      </c>
      <c r="AG124">
        <v>8.3284162200802854</v>
      </c>
      <c r="AH124">
        <v>16.600000000000001</v>
      </c>
      <c r="AI124">
        <f>16.3390260879156*1</f>
        <v>16.339026087915599</v>
      </c>
      <c r="AJ124">
        <f>3.72838010489474*1</f>
        <v>3.72838010489474</v>
      </c>
      <c r="AK124">
        <v>1</v>
      </c>
      <c r="AL124">
        <v>0</v>
      </c>
      <c r="AM124">
        <v>0</v>
      </c>
    </row>
    <row r="125" spans="1:39" hidden="1" x14ac:dyDescent="0.2">
      <c r="A125" t="s">
        <v>295</v>
      </c>
      <c r="B125" t="s">
        <v>311</v>
      </c>
      <c r="C125" t="s">
        <v>311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5.0999999999999996</v>
      </c>
      <c r="AE125">
        <v>530</v>
      </c>
      <c r="AF125">
        <v>12.98595079261777</v>
      </c>
      <c r="AG125">
        <v>16.45198789045773</v>
      </c>
      <c r="AH125">
        <v>13.21818181818182</v>
      </c>
      <c r="AI125">
        <f>12.2450337829171*1</f>
        <v>12.245033782917099</v>
      </c>
      <c r="AJ125">
        <f>2.44071656374885*1</f>
        <v>2.4407165637488499</v>
      </c>
      <c r="AK125">
        <v>1</v>
      </c>
      <c r="AL125">
        <v>0</v>
      </c>
      <c r="AM125">
        <v>0</v>
      </c>
    </row>
    <row r="126" spans="1:39" hidden="1" x14ac:dyDescent="0.2">
      <c r="A126" t="s">
        <v>80</v>
      </c>
      <c r="B126" t="s">
        <v>312</v>
      </c>
      <c r="C126" t="s">
        <v>312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6.3</v>
      </c>
      <c r="AE126">
        <v>531</v>
      </c>
      <c r="AF126">
        <v>21.12050669105529</v>
      </c>
      <c r="AG126">
        <v>14.148138002946689</v>
      </c>
      <c r="AH126">
        <v>45.825000000000003</v>
      </c>
      <c r="AI126">
        <f>11.0600611518107*1</f>
        <v>11.0600611518107</v>
      </c>
      <c r="AJ126">
        <f>2.1635721767314*1</f>
        <v>2.1635721767314</v>
      </c>
      <c r="AK126">
        <v>1</v>
      </c>
      <c r="AL126">
        <v>0</v>
      </c>
      <c r="AM126">
        <v>0</v>
      </c>
    </row>
    <row r="127" spans="1:39" hidden="1" x14ac:dyDescent="0.2">
      <c r="A127" t="s">
        <v>313</v>
      </c>
      <c r="B127" t="s">
        <v>314</v>
      </c>
      <c r="C127" t="s">
        <v>314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5.4</v>
      </c>
      <c r="AE127">
        <v>532</v>
      </c>
      <c r="AF127">
        <v>17.23722191726733</v>
      </c>
      <c r="AG127">
        <v>13.649126846777881</v>
      </c>
      <c r="AH127">
        <v>27.583954055394489</v>
      </c>
      <c r="AI127">
        <f>11.7418183070083*1</f>
        <v>11.7418183070083</v>
      </c>
      <c r="AJ127">
        <f>2.15423610548234*1</f>
        <v>2.1542361054823398</v>
      </c>
      <c r="AK127">
        <v>1</v>
      </c>
      <c r="AL127">
        <v>0</v>
      </c>
      <c r="AM127">
        <v>0</v>
      </c>
    </row>
    <row r="128" spans="1:39" hidden="1" x14ac:dyDescent="0.2">
      <c r="A128" t="s">
        <v>315</v>
      </c>
      <c r="B128" t="s">
        <v>316</v>
      </c>
      <c r="C128" t="s">
        <v>315</v>
      </c>
      <c r="D128" t="s">
        <v>4</v>
      </c>
      <c r="E128">
        <v>0</v>
      </c>
      <c r="F128">
        <v>1</v>
      </c>
      <c r="G128">
        <v>0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4.5999999999999996</v>
      </c>
      <c r="AE128">
        <v>534</v>
      </c>
      <c r="AF128">
        <v>11.770833333333339</v>
      </c>
      <c r="AG128">
        <v>10.444471996893929</v>
      </c>
      <c r="AH128">
        <v>5.34</v>
      </c>
      <c r="AI128">
        <f>16.8377093179446*1</f>
        <v>16.837709317944601</v>
      </c>
      <c r="AJ128">
        <f>3.36550477868897*1</f>
        <v>3.3655047786889698</v>
      </c>
      <c r="AK128">
        <v>1</v>
      </c>
      <c r="AL128">
        <v>0</v>
      </c>
      <c r="AM128">
        <v>0</v>
      </c>
    </row>
    <row r="129" spans="1:39" x14ac:dyDescent="0.2">
      <c r="A129" t="s">
        <v>365</v>
      </c>
      <c r="B129" t="s">
        <v>366</v>
      </c>
      <c r="C129" t="s">
        <v>367</v>
      </c>
      <c r="D129" t="s">
        <v>6</v>
      </c>
      <c r="E129">
        <v>0</v>
      </c>
      <c r="F129">
        <v>0</v>
      </c>
      <c r="G129">
        <v>0</v>
      </c>
      <c r="H129">
        <v>1</v>
      </c>
      <c r="I129" t="s">
        <v>30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7.1</v>
      </c>
      <c r="AE129">
        <v>670</v>
      </c>
      <c r="AF129">
        <v>27.217958126996951</v>
      </c>
      <c r="AG129">
        <v>19.588039217441938</v>
      </c>
      <c r="AH129">
        <v>37.237120998449278</v>
      </c>
      <c r="AI129">
        <f>13.3786464404498*1</f>
        <v>13.378646440449799</v>
      </c>
      <c r="AJ129">
        <f>2.29518365900812*1</f>
        <v>2.2951836590081198</v>
      </c>
      <c r="AK129">
        <v>1</v>
      </c>
      <c r="AL129">
        <v>1</v>
      </c>
      <c r="AM129">
        <v>1</v>
      </c>
    </row>
    <row r="130" spans="1:39" x14ac:dyDescent="0.2">
      <c r="A130" t="s">
        <v>230</v>
      </c>
      <c r="B130" t="s">
        <v>231</v>
      </c>
      <c r="C130" t="s">
        <v>231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E130">
        <v>389</v>
      </c>
      <c r="AF130">
        <v>24.986264454104361</v>
      </c>
      <c r="AG130">
        <v>27.24536126328713</v>
      </c>
      <c r="AH130">
        <v>24.472777804625171</v>
      </c>
      <c r="AI130">
        <f>11.7193722919072*1</f>
        <v>11.719372291907201</v>
      </c>
      <c r="AJ130">
        <f>2.05210245176291*1</f>
        <v>2.0521024517629098</v>
      </c>
      <c r="AK130">
        <v>1</v>
      </c>
      <c r="AL130">
        <v>1</v>
      </c>
      <c r="AM130">
        <v>1</v>
      </c>
    </row>
    <row r="131" spans="1:39" hidden="1" x14ac:dyDescent="0.2">
      <c r="A131" t="s">
        <v>321</v>
      </c>
      <c r="B131" t="s">
        <v>322</v>
      </c>
      <c r="C131" t="s">
        <v>322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4.5999999999999996</v>
      </c>
      <c r="AE131">
        <v>548</v>
      </c>
      <c r="AF131">
        <v>0</v>
      </c>
      <c r="AG131">
        <v>0</v>
      </c>
      <c r="AH131">
        <v>0</v>
      </c>
      <c r="AI131">
        <f>0*1</f>
        <v>0</v>
      </c>
      <c r="AJ131">
        <f>0*1</f>
        <v>0</v>
      </c>
      <c r="AK131">
        <v>1</v>
      </c>
      <c r="AL131">
        <v>0</v>
      </c>
      <c r="AM131">
        <v>0</v>
      </c>
    </row>
    <row r="132" spans="1:39" hidden="1" x14ac:dyDescent="0.2">
      <c r="A132" t="s">
        <v>323</v>
      </c>
      <c r="B132" t="s">
        <v>324</v>
      </c>
      <c r="C132" t="s">
        <v>324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4.9000000000000004</v>
      </c>
      <c r="AE132">
        <v>558</v>
      </c>
      <c r="AF132">
        <v>0</v>
      </c>
      <c r="AG132">
        <v>0</v>
      </c>
      <c r="AH132">
        <v>0</v>
      </c>
      <c r="AI132">
        <f>0*1</f>
        <v>0</v>
      </c>
      <c r="AJ132">
        <f>0*1</f>
        <v>0</v>
      </c>
      <c r="AK132">
        <v>1</v>
      </c>
      <c r="AL132">
        <v>0</v>
      </c>
      <c r="AM132">
        <v>0</v>
      </c>
    </row>
    <row r="133" spans="1:39" hidden="1" x14ac:dyDescent="0.2">
      <c r="A133" t="s">
        <v>102</v>
      </c>
      <c r="B133" t="s">
        <v>325</v>
      </c>
      <c r="C133" t="s">
        <v>325</v>
      </c>
      <c r="D133" t="s">
        <v>6</v>
      </c>
      <c r="E133">
        <v>0</v>
      </c>
      <c r="F133">
        <v>0</v>
      </c>
      <c r="G133">
        <v>0</v>
      </c>
      <c r="H133">
        <v>1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5.0999999999999996</v>
      </c>
      <c r="AE133">
        <v>559</v>
      </c>
      <c r="AF133">
        <v>10.864058496258</v>
      </c>
      <c r="AG133">
        <v>11.505459252644631</v>
      </c>
      <c r="AH133">
        <v>6.1948407510145058</v>
      </c>
      <c r="AI133">
        <f>13.5685318985066*1</f>
        <v>13.568531898506601</v>
      </c>
      <c r="AJ133">
        <f>2.55971806789197*1</f>
        <v>2.55971806789197</v>
      </c>
      <c r="AK133">
        <v>1</v>
      </c>
      <c r="AL133">
        <v>0</v>
      </c>
      <c r="AM133">
        <v>0</v>
      </c>
    </row>
    <row r="134" spans="1:39" hidden="1" x14ac:dyDescent="0.2">
      <c r="A134" t="s">
        <v>326</v>
      </c>
      <c r="B134" t="s">
        <v>327</v>
      </c>
      <c r="C134" t="s">
        <v>327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4.8</v>
      </c>
      <c r="AE134">
        <v>585</v>
      </c>
      <c r="AF134">
        <v>7.9411764705882346</v>
      </c>
      <c r="AG134">
        <v>6.7538898571345696</v>
      </c>
      <c r="AH134">
        <v>10.460795841954759</v>
      </c>
      <c r="AI134">
        <f>9.181394979089*1</f>
        <v>9.1813949790889993</v>
      </c>
      <c r="AJ134">
        <f>1.86364540405448*1</f>
        <v>1.8636454040544801</v>
      </c>
      <c r="AK134">
        <v>1</v>
      </c>
      <c r="AL134">
        <v>0</v>
      </c>
      <c r="AM134">
        <v>0</v>
      </c>
    </row>
    <row r="135" spans="1:39" hidden="1" x14ac:dyDescent="0.2">
      <c r="A135" t="s">
        <v>328</v>
      </c>
      <c r="B135" t="s">
        <v>329</v>
      </c>
      <c r="C135" t="s">
        <v>330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5</v>
      </c>
      <c r="AE135">
        <v>588</v>
      </c>
      <c r="AF135">
        <v>0</v>
      </c>
      <c r="AG135">
        <v>0</v>
      </c>
      <c r="AH135">
        <v>0</v>
      </c>
      <c r="AI135">
        <f>0*1</f>
        <v>0</v>
      </c>
      <c r="AJ135">
        <f>0*1</f>
        <v>0</v>
      </c>
      <c r="AK135">
        <v>1</v>
      </c>
      <c r="AL135">
        <v>0</v>
      </c>
      <c r="AM135">
        <v>0</v>
      </c>
    </row>
    <row r="136" spans="1:39" hidden="1" x14ac:dyDescent="0.2">
      <c r="A136" t="s">
        <v>178</v>
      </c>
      <c r="B136" t="s">
        <v>331</v>
      </c>
      <c r="C136" t="s">
        <v>332</v>
      </c>
      <c r="D136" t="s">
        <v>6</v>
      </c>
      <c r="E136">
        <v>0</v>
      </c>
      <c r="F136">
        <v>0</v>
      </c>
      <c r="G136">
        <v>0</v>
      </c>
      <c r="H136">
        <v>1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7.5</v>
      </c>
      <c r="AE136">
        <v>590</v>
      </c>
      <c r="AF136">
        <v>0</v>
      </c>
      <c r="AG136">
        <v>0</v>
      </c>
      <c r="AH136">
        <v>0</v>
      </c>
      <c r="AI136">
        <f>0*1</f>
        <v>0</v>
      </c>
      <c r="AJ136">
        <f>0*1</f>
        <v>0</v>
      </c>
      <c r="AK136">
        <v>1</v>
      </c>
      <c r="AL136">
        <v>0</v>
      </c>
      <c r="AM136">
        <v>0</v>
      </c>
    </row>
    <row r="137" spans="1:39" hidden="1" x14ac:dyDescent="0.2">
      <c r="A137" t="s">
        <v>333</v>
      </c>
      <c r="B137" t="s">
        <v>334</v>
      </c>
      <c r="C137" t="s">
        <v>334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6.6</v>
      </c>
      <c r="AE137">
        <v>604</v>
      </c>
      <c r="AF137">
        <v>18.081395348837219</v>
      </c>
      <c r="AG137">
        <v>16.972486985523641</v>
      </c>
      <c r="AH137">
        <v>33.200000000000003</v>
      </c>
      <c r="AI137">
        <f>7.0206407558186*1</f>
        <v>7.0206407558185999</v>
      </c>
      <c r="AJ137">
        <f>1.30213287839367*1</f>
        <v>1.3021328783936701</v>
      </c>
      <c r="AK137">
        <v>1</v>
      </c>
      <c r="AL137">
        <v>0</v>
      </c>
      <c r="AM137">
        <v>0</v>
      </c>
    </row>
    <row r="138" spans="1:39" hidden="1" x14ac:dyDescent="0.2">
      <c r="A138" t="s">
        <v>335</v>
      </c>
      <c r="B138" t="s">
        <v>336</v>
      </c>
      <c r="C138" t="s">
        <v>336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6.3</v>
      </c>
      <c r="AE138">
        <v>605</v>
      </c>
      <c r="AF138">
        <v>19.521276595744681</v>
      </c>
      <c r="AG138">
        <v>18.99478433327209</v>
      </c>
      <c r="AH138">
        <v>37.126764054182537</v>
      </c>
      <c r="AI138">
        <f>20.8768744234727*1</f>
        <v>20.8768744234727</v>
      </c>
      <c r="AJ138">
        <f>4.06987785354632*1</f>
        <v>4.0698778535463198</v>
      </c>
      <c r="AK138">
        <v>1</v>
      </c>
      <c r="AL138">
        <v>0</v>
      </c>
      <c r="AM138">
        <v>0</v>
      </c>
    </row>
    <row r="139" spans="1:39" hidden="1" x14ac:dyDescent="0.2">
      <c r="A139" t="s">
        <v>191</v>
      </c>
      <c r="B139" t="s">
        <v>337</v>
      </c>
      <c r="C139" t="s">
        <v>337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7.6</v>
      </c>
      <c r="AE139">
        <v>607</v>
      </c>
      <c r="AF139">
        <v>22.09999999999998</v>
      </c>
      <c r="AG139">
        <v>22.072234871638859</v>
      </c>
      <c r="AH139">
        <v>45.453078593328847</v>
      </c>
      <c r="AI139">
        <f>29.1231019665401*1</f>
        <v>29.123101966540101</v>
      </c>
      <c r="AJ139">
        <f>5.7131268336124*1</f>
        <v>5.7131268336124004</v>
      </c>
      <c r="AK139">
        <v>1</v>
      </c>
      <c r="AL139">
        <v>0</v>
      </c>
      <c r="AM139">
        <v>0</v>
      </c>
    </row>
    <row r="140" spans="1:39" hidden="1" x14ac:dyDescent="0.2">
      <c r="A140" t="s">
        <v>154</v>
      </c>
      <c r="B140" t="s">
        <v>338</v>
      </c>
      <c r="C140" t="s">
        <v>339</v>
      </c>
      <c r="D140" t="s">
        <v>4</v>
      </c>
      <c r="E140">
        <v>0</v>
      </c>
      <c r="F140">
        <v>1</v>
      </c>
      <c r="G140">
        <v>0</v>
      </c>
      <c r="H140">
        <v>0</v>
      </c>
      <c r="I140" t="s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5.6</v>
      </c>
      <c r="AE140">
        <v>608</v>
      </c>
      <c r="AF140">
        <v>19.21875</v>
      </c>
      <c r="AG140">
        <v>20.5899838053252</v>
      </c>
      <c r="AH140">
        <v>9.3097032569826688</v>
      </c>
      <c r="AI140">
        <f>18.9897053543513*1</f>
        <v>18.989705354351301</v>
      </c>
      <c r="AJ140">
        <f>3.93321662496957*1</f>
        <v>3.9332166249695701</v>
      </c>
      <c r="AK140">
        <v>1</v>
      </c>
      <c r="AL140">
        <v>0</v>
      </c>
      <c r="AM140">
        <v>0</v>
      </c>
    </row>
    <row r="141" spans="1:39" hidden="1" x14ac:dyDescent="0.2">
      <c r="A141" t="s">
        <v>340</v>
      </c>
      <c r="B141" t="s">
        <v>171</v>
      </c>
      <c r="C141" t="s">
        <v>341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4.8</v>
      </c>
      <c r="AE141">
        <v>612</v>
      </c>
      <c r="AF141">
        <v>11.1864406779661</v>
      </c>
      <c r="AG141">
        <v>10.603938263935371</v>
      </c>
      <c r="AH141">
        <v>19.733333333333331</v>
      </c>
      <c r="AI141">
        <f>10.3080847893699*1</f>
        <v>10.3080847893699</v>
      </c>
      <c r="AJ141">
        <f>1.95973314583881*1</f>
        <v>1.9597331458388101</v>
      </c>
      <c r="AK141">
        <v>1</v>
      </c>
      <c r="AL141">
        <v>0</v>
      </c>
      <c r="AM141">
        <v>0</v>
      </c>
    </row>
    <row r="142" spans="1:39" hidden="1" x14ac:dyDescent="0.2">
      <c r="A142" t="s">
        <v>342</v>
      </c>
      <c r="B142" t="s">
        <v>343</v>
      </c>
      <c r="C142" t="s">
        <v>342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9.8000000000000007</v>
      </c>
      <c r="AE142">
        <v>615</v>
      </c>
      <c r="AF142">
        <v>25.172160477756069</v>
      </c>
      <c r="AG142">
        <v>28.329364589647849</v>
      </c>
      <c r="AH142">
        <v>52.38333333333334</v>
      </c>
      <c r="AI142">
        <f>27.2488570490356*1</f>
        <v>27.2488570490356</v>
      </c>
      <c r="AJ142">
        <f>4.57523155609595*1</f>
        <v>4.5752315560959502</v>
      </c>
      <c r="AK142">
        <v>1</v>
      </c>
      <c r="AL142">
        <v>0</v>
      </c>
      <c r="AM142">
        <v>0</v>
      </c>
    </row>
    <row r="143" spans="1:39" hidden="1" x14ac:dyDescent="0.2">
      <c r="A143" t="s">
        <v>344</v>
      </c>
      <c r="B143" t="s">
        <v>345</v>
      </c>
      <c r="C143" t="s">
        <v>345</v>
      </c>
      <c r="D143" t="s">
        <v>4</v>
      </c>
      <c r="E143">
        <v>0</v>
      </c>
      <c r="F143">
        <v>1</v>
      </c>
      <c r="G143">
        <v>0</v>
      </c>
      <c r="H143">
        <v>0</v>
      </c>
      <c r="I143" t="s">
        <v>28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4.9000000000000004</v>
      </c>
      <c r="AE143">
        <v>617</v>
      </c>
      <c r="AF143">
        <v>12.84090909090909</v>
      </c>
      <c r="AG143">
        <v>13.7230696329437</v>
      </c>
      <c r="AH143">
        <v>8.1101273397424603</v>
      </c>
      <c r="AI143">
        <f>11.201086112715*1</f>
        <v>11.201086112715</v>
      </c>
      <c r="AJ143">
        <f>2.19318277442815*1</f>
        <v>2.1931827744281498</v>
      </c>
      <c r="AK143">
        <v>1</v>
      </c>
      <c r="AL143">
        <v>0</v>
      </c>
      <c r="AM143">
        <v>0</v>
      </c>
    </row>
    <row r="144" spans="1:39" hidden="1" x14ac:dyDescent="0.2">
      <c r="A144" t="s">
        <v>346</v>
      </c>
      <c r="B144" t="s">
        <v>347</v>
      </c>
      <c r="C144" t="s">
        <v>347</v>
      </c>
      <c r="D144" t="s">
        <v>3</v>
      </c>
      <c r="E144">
        <v>1</v>
      </c>
      <c r="F144">
        <v>0</v>
      </c>
      <c r="G144">
        <v>0</v>
      </c>
      <c r="H144">
        <v>0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4.9000000000000004</v>
      </c>
      <c r="AE144">
        <v>620</v>
      </c>
      <c r="AF144">
        <v>15.208333333333339</v>
      </c>
      <c r="AG144">
        <v>17.715423434142931</v>
      </c>
      <c r="AH144">
        <v>17.345940323385619</v>
      </c>
      <c r="AI144">
        <f>11.0663094680701*1</f>
        <v>11.0663094680701</v>
      </c>
      <c r="AJ144">
        <f>2.17739044644599*1</f>
        <v>2.1773904464459899</v>
      </c>
      <c r="AK144">
        <v>1</v>
      </c>
      <c r="AL144">
        <v>0</v>
      </c>
      <c r="AM144">
        <v>0</v>
      </c>
    </row>
    <row r="145" spans="1:39" hidden="1" x14ac:dyDescent="0.2">
      <c r="A145" t="s">
        <v>348</v>
      </c>
      <c r="B145" t="s">
        <v>349</v>
      </c>
      <c r="C145" t="s">
        <v>349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6.2</v>
      </c>
      <c r="AE145">
        <v>621</v>
      </c>
      <c r="AF145">
        <v>16.753246753246739</v>
      </c>
      <c r="AG145">
        <v>22.267666634966801</v>
      </c>
      <c r="AH145">
        <v>9.1480955155955144</v>
      </c>
      <c r="AI145">
        <f>11.9959432075583*1</f>
        <v>11.9959432075583</v>
      </c>
      <c r="AJ145">
        <f>2.35189951185065*1</f>
        <v>2.3518995118506498</v>
      </c>
      <c r="AK145">
        <v>1</v>
      </c>
      <c r="AL145">
        <v>0</v>
      </c>
      <c r="AM145">
        <v>0</v>
      </c>
    </row>
    <row r="146" spans="1:39" hidden="1" x14ac:dyDescent="0.2">
      <c r="A146" t="s">
        <v>350</v>
      </c>
      <c r="B146" t="s">
        <v>351</v>
      </c>
      <c r="C146" t="s">
        <v>351</v>
      </c>
      <c r="D146" t="s">
        <v>4</v>
      </c>
      <c r="E146">
        <v>0</v>
      </c>
      <c r="F146">
        <v>1</v>
      </c>
      <c r="G146">
        <v>0</v>
      </c>
      <c r="H146">
        <v>0</v>
      </c>
      <c r="I146" t="s">
        <v>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4.5999999999999996</v>
      </c>
      <c r="AE146">
        <v>631</v>
      </c>
      <c r="AF146">
        <v>16.184971098265919</v>
      </c>
      <c r="AG146">
        <v>16.651822914140102</v>
      </c>
      <c r="AH146">
        <v>9.9826114106109234</v>
      </c>
      <c r="AI146">
        <f>18.2259840591052*1</f>
        <v>18.225984059105201</v>
      </c>
      <c r="AJ146">
        <f>3.44407895829604*1</f>
        <v>3.44407895829604</v>
      </c>
      <c r="AK146">
        <v>1</v>
      </c>
      <c r="AL146">
        <v>0</v>
      </c>
      <c r="AM146">
        <v>0</v>
      </c>
    </row>
    <row r="147" spans="1:39" hidden="1" x14ac:dyDescent="0.2">
      <c r="A147" t="s">
        <v>352</v>
      </c>
      <c r="B147" t="s">
        <v>353</v>
      </c>
      <c r="C147" t="s">
        <v>353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7.4</v>
      </c>
      <c r="AE147">
        <v>635</v>
      </c>
      <c r="AF147">
        <v>22.270584078834521</v>
      </c>
      <c r="AG147">
        <v>24.650534996327838</v>
      </c>
      <c r="AH147">
        <v>41.636266061743939</v>
      </c>
      <c r="AI147">
        <f>12.8387792571288*1</f>
        <v>12.838779257128801</v>
      </c>
      <c r="AJ147">
        <f>2.08780689489182*1</f>
        <v>2.0878068948918198</v>
      </c>
      <c r="AK147">
        <v>1</v>
      </c>
      <c r="AL147">
        <v>0</v>
      </c>
      <c r="AM147">
        <v>0</v>
      </c>
    </row>
    <row r="148" spans="1:39" hidden="1" x14ac:dyDescent="0.2">
      <c r="A148" t="s">
        <v>354</v>
      </c>
      <c r="B148" t="s">
        <v>355</v>
      </c>
      <c r="C148" t="s">
        <v>354</v>
      </c>
      <c r="D148" t="s">
        <v>4</v>
      </c>
      <c r="E148">
        <v>0</v>
      </c>
      <c r="F148">
        <v>1</v>
      </c>
      <c r="G148">
        <v>0</v>
      </c>
      <c r="H148">
        <v>0</v>
      </c>
      <c r="I148" t="s">
        <v>29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4.4000000000000004</v>
      </c>
      <c r="AE148">
        <v>639</v>
      </c>
      <c r="AF148">
        <v>9.8682263476608032</v>
      </c>
      <c r="AG148">
        <v>12.5349599658024</v>
      </c>
      <c r="AH148">
        <v>6.48</v>
      </c>
      <c r="AI148">
        <f>12.9573407668386*1</f>
        <v>12.9573407668386</v>
      </c>
      <c r="AJ148">
        <f>2.60602941511731*1</f>
        <v>2.6060294151173098</v>
      </c>
      <c r="AK148">
        <v>1</v>
      </c>
      <c r="AL148">
        <v>0</v>
      </c>
      <c r="AM148">
        <v>0</v>
      </c>
    </row>
    <row r="149" spans="1:39" hidden="1" x14ac:dyDescent="0.2">
      <c r="A149" t="s">
        <v>356</v>
      </c>
      <c r="B149" t="s">
        <v>357</v>
      </c>
      <c r="C149" t="s">
        <v>357</v>
      </c>
      <c r="D149" t="s">
        <v>4</v>
      </c>
      <c r="E149">
        <v>0</v>
      </c>
      <c r="F149">
        <v>1</v>
      </c>
      <c r="G149">
        <v>0</v>
      </c>
      <c r="H149">
        <v>0</v>
      </c>
      <c r="I149" t="s">
        <v>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4.5</v>
      </c>
      <c r="AE149">
        <v>643</v>
      </c>
      <c r="AF149">
        <v>14.107142857142851</v>
      </c>
      <c r="AG149">
        <v>16.383581863192781</v>
      </c>
      <c r="AH149">
        <v>7.8591847358279612</v>
      </c>
      <c r="AI149">
        <f>11.0389552322563*1</f>
        <v>11.038955232256299</v>
      </c>
      <c r="AJ149">
        <f>1.93965541666762*1</f>
        <v>1.9396554166676201</v>
      </c>
      <c r="AK149">
        <v>1</v>
      </c>
      <c r="AL149">
        <v>0</v>
      </c>
      <c r="AM149">
        <v>0</v>
      </c>
    </row>
    <row r="150" spans="1:39" hidden="1" x14ac:dyDescent="0.2">
      <c r="A150" t="s">
        <v>358</v>
      </c>
      <c r="B150" t="s">
        <v>359</v>
      </c>
      <c r="C150" t="s">
        <v>360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5.7</v>
      </c>
      <c r="AE150">
        <v>646</v>
      </c>
      <c r="AF150">
        <v>12.28575891102555</v>
      </c>
      <c r="AG150">
        <v>18.70275394771112</v>
      </c>
      <c r="AH150">
        <v>26.12</v>
      </c>
      <c r="AI150">
        <f>11.4502308194307*1</f>
        <v>11.450230819430701</v>
      </c>
      <c r="AJ150">
        <f>1.67018088655303*1</f>
        <v>1.6701808865530301</v>
      </c>
      <c r="AK150">
        <v>1</v>
      </c>
      <c r="AL150">
        <v>0</v>
      </c>
      <c r="AM150">
        <v>0</v>
      </c>
    </row>
    <row r="151" spans="1:39" hidden="1" x14ac:dyDescent="0.2">
      <c r="A151" t="s">
        <v>361</v>
      </c>
      <c r="B151" t="s">
        <v>362</v>
      </c>
      <c r="C151" t="s">
        <v>362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4.9000000000000004</v>
      </c>
      <c r="AE151">
        <v>649</v>
      </c>
      <c r="AF151">
        <v>16.53846153846154</v>
      </c>
      <c r="AG151">
        <v>13.39387818876502</v>
      </c>
      <c r="AH151">
        <v>28.914285714285711</v>
      </c>
      <c r="AI151">
        <f>17.4907994941608*1</f>
        <v>17.4907994941608</v>
      </c>
      <c r="AJ151">
        <f>3.35449430454883*1</f>
        <v>3.35449430454883</v>
      </c>
      <c r="AK151">
        <v>1</v>
      </c>
      <c r="AL151">
        <v>0</v>
      </c>
      <c r="AM151">
        <v>0</v>
      </c>
    </row>
    <row r="152" spans="1:39" hidden="1" x14ac:dyDescent="0.2">
      <c r="A152" t="s">
        <v>363</v>
      </c>
      <c r="B152" t="s">
        <v>364</v>
      </c>
      <c r="C152" t="s">
        <v>364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664</v>
      </c>
      <c r="AF152">
        <v>10.69444444444445</v>
      </c>
      <c r="AG152">
        <v>13.7800437130283</v>
      </c>
      <c r="AH152">
        <v>9.747169188065314</v>
      </c>
      <c r="AI152">
        <f>6.65230314196084*1</f>
        <v>6.6523031419608403</v>
      </c>
      <c r="AJ152">
        <f>1.22422189805846*1</f>
        <v>1.22422189805846</v>
      </c>
      <c r="AK152">
        <v>1</v>
      </c>
      <c r="AL152">
        <v>0</v>
      </c>
      <c r="AM152">
        <v>0</v>
      </c>
    </row>
    <row r="153" spans="1:39" x14ac:dyDescent="0.2">
      <c r="A153" t="s">
        <v>131</v>
      </c>
      <c r="B153" t="s">
        <v>132</v>
      </c>
      <c r="C153" t="s">
        <v>131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15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5.5</v>
      </c>
      <c r="AE153">
        <v>177</v>
      </c>
      <c r="AF153">
        <v>12.71286012238834</v>
      </c>
      <c r="AG153">
        <v>21.106718050848151</v>
      </c>
      <c r="AH153">
        <v>11.854545454545461</v>
      </c>
      <c r="AI153">
        <f>6.38193720243481*1</f>
        <v>6.38193720243481</v>
      </c>
      <c r="AJ153">
        <f>1.1090150114822*1</f>
        <v>1.1090150114821999</v>
      </c>
      <c r="AK153">
        <v>1</v>
      </c>
      <c r="AL153">
        <v>1</v>
      </c>
      <c r="AM153">
        <v>1</v>
      </c>
    </row>
    <row r="154" spans="1:39" hidden="1" x14ac:dyDescent="0.2">
      <c r="A154" t="s">
        <v>368</v>
      </c>
      <c r="B154" t="s">
        <v>369</v>
      </c>
      <c r="C154" t="s">
        <v>370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5.3</v>
      </c>
      <c r="AE154">
        <v>677</v>
      </c>
      <c r="AF154">
        <v>10.57692307692307</v>
      </c>
      <c r="AG154">
        <v>9.7257137670093492</v>
      </c>
      <c r="AH154">
        <v>7.76</v>
      </c>
      <c r="AI154">
        <f>11.37305346479*1</f>
        <v>11.373053464790001</v>
      </c>
      <c r="AJ154">
        <f>2.20099317442708*1</f>
        <v>2.2009931744270799</v>
      </c>
      <c r="AK154">
        <v>1</v>
      </c>
      <c r="AL154">
        <v>0</v>
      </c>
      <c r="AM154">
        <v>0</v>
      </c>
    </row>
    <row r="155" spans="1:39" hidden="1" x14ac:dyDescent="0.2">
      <c r="A155" t="s">
        <v>371</v>
      </c>
      <c r="B155" t="s">
        <v>372</v>
      </c>
      <c r="C155" t="s">
        <v>373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4.9000000000000004</v>
      </c>
      <c r="AE155">
        <v>682</v>
      </c>
      <c r="AF155">
        <v>10.947914399042689</v>
      </c>
      <c r="AG155">
        <v>9.16386042188471</v>
      </c>
      <c r="AH155">
        <v>11.856666666666669</v>
      </c>
      <c r="AI155">
        <f>14.6262401736598*1</f>
        <v>14.6262401736598</v>
      </c>
      <c r="AJ155">
        <f>2.75810549129993*1</f>
        <v>2.7581054912999301</v>
      </c>
      <c r="AK155">
        <v>1</v>
      </c>
      <c r="AL155">
        <v>0</v>
      </c>
      <c r="AM155">
        <v>0</v>
      </c>
    </row>
    <row r="156" spans="1:39" hidden="1" x14ac:dyDescent="0.2">
      <c r="A156" t="s">
        <v>374</v>
      </c>
      <c r="B156" t="s">
        <v>375</v>
      </c>
      <c r="C156" t="s">
        <v>376</v>
      </c>
      <c r="D156" t="s">
        <v>5</v>
      </c>
      <c r="E156">
        <v>0</v>
      </c>
      <c r="F156">
        <v>0</v>
      </c>
      <c r="G156">
        <v>1</v>
      </c>
      <c r="H156">
        <v>0</v>
      </c>
      <c r="I156" t="s">
        <v>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686</v>
      </c>
      <c r="AF156">
        <v>11.65217391304347</v>
      </c>
      <c r="AG156">
        <v>10.23427398444935</v>
      </c>
      <c r="AH156">
        <v>13.11011301952478</v>
      </c>
      <c r="AI156">
        <f>8.8828343586752*1</f>
        <v>8.8828343586752005</v>
      </c>
      <c r="AJ156">
        <f>1.60682953749698*1</f>
        <v>1.6068295374969801</v>
      </c>
      <c r="AK156">
        <v>1</v>
      </c>
      <c r="AL156">
        <v>0</v>
      </c>
      <c r="AM156">
        <v>0</v>
      </c>
    </row>
    <row r="157" spans="1:39" hidden="1" x14ac:dyDescent="0.2">
      <c r="A157" t="s">
        <v>377</v>
      </c>
      <c r="B157" t="s">
        <v>378</v>
      </c>
      <c r="C157" t="s">
        <v>378</v>
      </c>
      <c r="D157" t="s">
        <v>6</v>
      </c>
      <c r="E157">
        <v>0</v>
      </c>
      <c r="F157">
        <v>0</v>
      </c>
      <c r="G157">
        <v>0</v>
      </c>
      <c r="H157">
        <v>1</v>
      </c>
      <c r="I157" t="s">
        <v>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5.7</v>
      </c>
      <c r="AE157">
        <v>694</v>
      </c>
      <c r="AF157">
        <v>0</v>
      </c>
      <c r="AG157">
        <v>0</v>
      </c>
      <c r="AH157">
        <v>0</v>
      </c>
      <c r="AI157">
        <f>0*1</f>
        <v>0</v>
      </c>
      <c r="AJ157">
        <f>0*1</f>
        <v>0</v>
      </c>
      <c r="AK157">
        <v>1</v>
      </c>
      <c r="AL157">
        <v>0</v>
      </c>
      <c r="AM157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2024-12-21T01:40:26Z</dcterms:created>
  <dcterms:modified xsi:type="dcterms:W3CDTF">2024-12-21T01:42:34Z</dcterms:modified>
</cp:coreProperties>
</file>