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2BB089CE-05F5-084E-B23A-7FE56F127479}" xr6:coauthVersionLast="47" xr6:coauthVersionMax="47" xr10:uidLastSave="{00000000-0000-0000-0000-000000000000}"/>
  <bookViews>
    <workbookView xWindow="240" yWindow="760" windowWidth="2334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2" i="1" l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81" i="1"/>
  <c r="AI81" i="1"/>
  <c r="AJ2" i="1"/>
  <c r="AI2" i="1"/>
  <c r="AJ127" i="1"/>
  <c r="AI127" i="1"/>
  <c r="AJ126" i="1"/>
  <c r="AI126" i="1"/>
  <c r="AJ125" i="1"/>
  <c r="AI125" i="1"/>
  <c r="AJ124" i="1"/>
  <c r="AI124" i="1"/>
  <c r="AJ35" i="1"/>
  <c r="AI35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90" i="1"/>
  <c r="AI90" i="1"/>
  <c r="AJ111" i="1"/>
  <c r="AI111" i="1"/>
  <c r="AJ123" i="1"/>
  <c r="AI123" i="1"/>
  <c r="AJ109" i="1"/>
  <c r="AI109" i="1"/>
  <c r="AJ129" i="1"/>
  <c r="AI129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88" i="1"/>
  <c r="AI88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128" i="1"/>
  <c r="AI128" i="1"/>
  <c r="AJ89" i="1"/>
  <c r="AI89" i="1"/>
  <c r="AJ43" i="1"/>
  <c r="AI43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112" i="1"/>
  <c r="AI112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108" i="1"/>
  <c r="AI108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2" i="1"/>
  <c r="AI32" i="1"/>
  <c r="AP34" i="1"/>
  <c r="AJ34" i="1"/>
  <c r="AI34" i="1"/>
  <c r="AP33" i="1"/>
  <c r="AJ33" i="1"/>
  <c r="AI33" i="1"/>
  <c r="AP32" i="1"/>
  <c r="AJ100" i="1"/>
  <c r="AI100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6" i="1"/>
  <c r="AI6" i="1"/>
  <c r="AJ5" i="1"/>
  <c r="AI5" i="1"/>
  <c r="AP4" i="1"/>
  <c r="AJ4" i="1"/>
  <c r="AI4" i="1"/>
  <c r="AJ3" i="1"/>
  <c r="AI3" i="1"/>
  <c r="AJ110" i="1"/>
  <c r="AI110" i="1"/>
  <c r="AP2" i="1" s="1"/>
  <c r="AP16" i="1" l="1"/>
</calcChain>
</file>

<file path=xl/sharedStrings.xml><?xml version="1.0" encoding="utf-8"?>
<sst xmlns="http://schemas.openxmlformats.org/spreadsheetml/2006/main" count="825" uniqueCount="356">
  <si>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</si>
  <si>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</si>
  <si>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</si>
  <si>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</si>
  <si>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</si>
  <si>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</si>
  <si>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</si>
  <si>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</si>
  <si>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</si>
  <si>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</si>
  <si>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</si>
  <si>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</si>
  <si>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</si>
  <si>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</si>
  <si>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</si>
  <si>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</si>
  <si>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</si>
  <si>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</si>
  <si>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</si>
  <si>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</si>
  <si>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</si>
  <si>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</si>
  <si>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</si>
  <si>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</si>
  <si>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</si>
  <si>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</si>
  <si>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</si>
  <si>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</si>
  <si>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</si>
  <si>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</si>
  <si>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</si>
  <si>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</si>
  <si>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</si>
  <si>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</si>
  <si>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</si>
  <si>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</si>
  <si>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</si>
  <si>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</si>
  <si>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</si>
  <si>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</si>
  <si>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</si>
  <si>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</si>
  <si>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</si>
  <si>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</si>
  <si>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</si>
  <si>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</si>
  <si>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</si>
  <si>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</si>
  <si>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</si>
  <si>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</si>
  <si>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</si>
  <si>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</si>
  <si>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</si>
  <si>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</si>
  <si>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Bukayo</t>
  </si>
  <si>
    <t>Saka</t>
  </si>
  <si>
    <t>Thomas</t>
  </si>
  <si>
    <t>Partey</t>
  </si>
  <si>
    <t>Leandro</t>
  </si>
  <si>
    <t>Trossard</t>
  </si>
  <si>
    <t>Benjamin</t>
  </si>
  <si>
    <t>White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</si>
  <si>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</si>
  <si>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</si>
  <si>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</si>
  <si>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</si>
  <si>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</si>
  <si>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</si>
  <si>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</si>
  <si>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</si>
  <si>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</si>
  <si>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</si>
  <si>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</si>
  <si>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</si>
  <si>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</si>
  <si>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</si>
  <si>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</si>
  <si>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</si>
  <si>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</si>
  <si>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</si>
  <si>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</si>
  <si>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</si>
  <si>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</si>
  <si>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</si>
  <si>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</si>
  <si>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</si>
  <si>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</si>
  <si>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</si>
  <si>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</si>
  <si>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</si>
  <si>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</si>
  <si>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</si>
  <si>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</si>
  <si>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Marcos</t>
  </si>
  <si>
    <t>Senesi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</si>
  <si>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</si>
  <si>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</si>
  <si>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</si>
  <si>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</si>
  <si>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</si>
  <si>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</si>
  <si>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</si>
  <si>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</si>
  <si>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</si>
  <si>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</si>
  <si>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</si>
  <si>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</si>
  <si>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</si>
  <si>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</si>
  <si>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</si>
  <si>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</si>
  <si>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</si>
  <si>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</si>
  <si>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</si>
  <si>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</si>
  <si>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</si>
  <si>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</si>
  <si>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</si>
  <si>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</si>
  <si>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</si>
  <si>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</si>
  <si>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</si>
  <si>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</si>
  <si>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Jack</t>
  </si>
  <si>
    <t>Hinshelwood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</si>
  <si>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</si>
  <si>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</si>
  <si>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</si>
  <si>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</si>
  <si>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</si>
  <si>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</si>
  <si>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</si>
  <si>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</si>
  <si>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</si>
  <si>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</si>
  <si>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</si>
  <si>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</si>
  <si>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</si>
  <si>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</si>
  <si>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</si>
  <si>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</si>
  <si>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</si>
  <si>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</si>
  <si>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</si>
  <si>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</si>
  <si>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</si>
  <si>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</si>
  <si>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</si>
  <si>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Eberechi</t>
  </si>
  <si>
    <t>Eze</t>
  </si>
  <si>
    <t>Marc</t>
  </si>
  <si>
    <t>Guéhi</t>
  </si>
  <si>
    <t>Dean</t>
  </si>
  <si>
    <t>Henderson</t>
  </si>
  <si>
    <t>Jean-Philippe</t>
  </si>
  <si>
    <t>Mateta</t>
  </si>
  <si>
    <t>Tyrick</t>
  </si>
  <si>
    <t>Mitchell</t>
  </si>
  <si>
    <t>Daniel</t>
  </si>
  <si>
    <t>Muñoz</t>
  </si>
  <si>
    <t>Abdoulaye</t>
  </si>
  <si>
    <t>Doucouré</t>
  </si>
  <si>
    <t>A.Doucoure</t>
  </si>
  <si>
    <t>Harrison</t>
  </si>
  <si>
    <t>Michael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</si>
  <si>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</si>
  <si>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</si>
  <si>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</si>
  <si>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</si>
  <si>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</si>
  <si>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</si>
  <si>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</si>
  <si>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</si>
  <si>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</si>
  <si>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</si>
  <si>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</si>
  <si>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</si>
  <si>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Adama</t>
  </si>
  <si>
    <t>Traoré</t>
  </si>
  <si>
    <t>Andreas</t>
  </si>
  <si>
    <t>Hoelgebaum Pereira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</si>
  <si>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</si>
  <si>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</si>
  <si>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</si>
  <si>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</si>
  <si>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</si>
  <si>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</si>
  <si>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</si>
  <si>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</si>
  <si>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</si>
  <si>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</si>
  <si>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</si>
  <si>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</si>
  <si>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</si>
  <si>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Arijanet</t>
  </si>
  <si>
    <t>Muric</t>
  </si>
  <si>
    <t>Facundo</t>
  </si>
  <si>
    <t>Buonanotte</t>
  </si>
  <si>
    <t>Ayew</t>
  </si>
  <si>
    <t>J.Ayew</t>
  </si>
  <si>
    <t>Wout</t>
  </si>
  <si>
    <t>Faes</t>
  </si>
  <si>
    <t>Wilfred</t>
  </si>
  <si>
    <t>Ndidi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</si>
  <si>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</si>
  <si>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</si>
  <si>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</si>
  <si>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</si>
  <si>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</si>
  <si>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</si>
  <si>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</si>
  <si>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</si>
  <si>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</si>
  <si>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</si>
  <si>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</si>
  <si>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</si>
  <si>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</si>
  <si>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</si>
  <si>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</si>
  <si>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</si>
  <si>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</si>
  <si>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</si>
  <si>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</si>
  <si>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</si>
  <si>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</si>
  <si>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</si>
  <si>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</si>
  <si>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</si>
  <si>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</si>
  <si>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</si>
  <si>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Virgil</t>
  </si>
  <si>
    <t>van Dijk</t>
  </si>
  <si>
    <t>Manuel</t>
  </si>
  <si>
    <t>Akanji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</si>
  <si>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</si>
  <si>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</si>
  <si>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</si>
  <si>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</si>
  <si>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</si>
  <si>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</si>
  <si>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</si>
  <si>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</si>
  <si>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</si>
  <si>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Grealish</t>
  </si>
  <si>
    <t>Joško</t>
  </si>
  <si>
    <t>Gvardiol</t>
  </si>
  <si>
    <t>Erling</t>
  </si>
  <si>
    <t>Haaland</t>
  </si>
  <si>
    <t>Mateo</t>
  </si>
  <si>
    <t>Kovačić</t>
  </si>
  <si>
    <t>Rico</t>
  </si>
  <si>
    <t>Matheus Luiz</t>
  </si>
  <si>
    <t>Nunes</t>
  </si>
  <si>
    <t>Matheus N.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</si>
  <si>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</si>
  <si>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</si>
  <si>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</si>
  <si>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</si>
  <si>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</si>
  <si>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</si>
  <si>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</si>
  <si>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</si>
  <si>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</si>
  <si>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</si>
  <si>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</si>
  <si>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</si>
  <si>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</si>
  <si>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</si>
  <si>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Alejandro</t>
  </si>
  <si>
    <t>Garnacho</t>
  </si>
  <si>
    <t>André</t>
  </si>
  <si>
    <t>Onana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</si>
  <si>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</si>
  <si>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</si>
  <si>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</si>
  <si>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</si>
  <si>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</si>
  <si>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</si>
  <si>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</si>
  <si>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</si>
  <si>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</si>
  <si>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</si>
  <si>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</si>
  <si>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</si>
  <si>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</si>
  <si>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</si>
  <si>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</si>
  <si>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</si>
  <si>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</si>
  <si>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</si>
  <si>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</si>
  <si>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Nick</t>
  </si>
  <si>
    <t>Pope</t>
  </si>
  <si>
    <t>Fabian</t>
  </si>
  <si>
    <t>Schär</t>
  </si>
  <si>
    <t>Ola</t>
  </si>
  <si>
    <t>Aina</t>
  </si>
  <si>
    <t>Elliot</t>
  </si>
  <si>
    <t>Anderson</t>
  </si>
  <si>
    <t>Elanga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</si>
  <si>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</si>
  <si>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</si>
  <si>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</si>
  <si>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</si>
  <si>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</si>
  <si>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</si>
  <si>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</si>
  <si>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</si>
  <si>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</si>
  <si>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</si>
  <si>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</si>
  <si>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</si>
  <si>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</si>
  <si>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Kyle</t>
  </si>
  <si>
    <t>Walker-Peters</t>
  </si>
  <si>
    <t>Yves</t>
  </si>
  <si>
    <t>Bissouma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</si>
  <si>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</si>
  <si>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</si>
  <si>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</si>
  <si>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</si>
  <si>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</si>
  <si>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</si>
  <si>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</si>
  <si>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</si>
  <si>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</si>
  <si>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</si>
  <si>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</si>
  <si>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</si>
  <si>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</si>
  <si>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</si>
  <si>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</si>
  <si>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</si>
  <si>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</si>
  <si>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</si>
  <si>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</si>
  <si>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Michail</t>
  </si>
  <si>
    <t>Antonio</t>
  </si>
  <si>
    <t>Jarrod</t>
  </si>
  <si>
    <t>Bowen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</si>
  <si>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</si>
  <si>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</si>
  <si>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</si>
  <si>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</si>
  <si>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</si>
  <si>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</si>
  <si>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</si>
  <si>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</si>
  <si>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</si>
  <si>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</si>
  <si>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</si>
  <si>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</si>
  <si>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</si>
  <si>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João Victor</t>
  </si>
  <si>
    <t>Gomes da Silva</t>
  </si>
  <si>
    <t>J.Gomes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</si>
</sst>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52" totalsRowShown="0">
  <autoFilter ref="A1:AM152" xr:uid="{00000000-0009-0000-0100-000001000000}">
    <filterColumn colId="38">
      <filters>
        <filter val="1"/>
      </filters>
    </filterColumn>
  </autoFilter>
  <sortState xmlns:xlrd2="http://schemas.microsoft.com/office/spreadsheetml/2017/richdata2" ref="A2:AM129">
    <sortCondition descending="1" ref="AJ1:AJ152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2"/>
  <sheetViews>
    <sheetView tabSelected="1" workbookViewId="0">
      <selection activeCell="AQ123" sqref="AQ12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x14ac:dyDescent="0.2">
      <c r="A2" t="s">
        <v>304</v>
      </c>
      <c r="B2" t="s">
        <v>305</v>
      </c>
      <c r="C2" t="s">
        <v>305</v>
      </c>
      <c r="D2" t="s">
        <v>3</v>
      </c>
      <c r="E2">
        <v>1</v>
      </c>
      <c r="F2">
        <v>0</v>
      </c>
      <c r="G2">
        <v>0</v>
      </c>
      <c r="H2">
        <v>0</v>
      </c>
      <c r="I2" t="s">
        <v>26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4.5999999999999996</v>
      </c>
      <c r="AE2">
        <v>524</v>
      </c>
      <c r="AF2">
        <v>30.275294519914809</v>
      </c>
      <c r="AG2">
        <v>15.838685618628199</v>
      </c>
      <c r="AH2">
        <v>37.746050358659048</v>
      </c>
      <c r="AI2">
        <f>52.7606414706728*1</f>
        <v>52.760641470672802</v>
      </c>
      <c r="AJ2">
        <f>9.26035117174428*1</f>
        <v>9.2603511717442792</v>
      </c>
      <c r="AK2">
        <v>1</v>
      </c>
      <c r="AL2">
        <v>0</v>
      </c>
      <c r="AM2">
        <v>1</v>
      </c>
      <c r="AO2" t="s">
        <v>0</v>
      </c>
      <c r="AP2">
        <f>SUMPRODUCT(Table1[Selected], Table1[PP])</f>
        <v>326.56304167377976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8.1</v>
      </c>
      <c r="AE3">
        <v>3</v>
      </c>
      <c r="AF3">
        <v>18.226254975531731</v>
      </c>
      <c r="AG3">
        <v>13.89496734245542</v>
      </c>
      <c r="AH3">
        <v>15.757518076907459</v>
      </c>
      <c r="AI3">
        <f>10.0692752860059*1</f>
        <v>10.069275286005899</v>
      </c>
      <c r="AJ3">
        <f>1.96019819170656*1</f>
        <v>1.9601981917065601</v>
      </c>
      <c r="AK3">
        <v>1</v>
      </c>
      <c r="AL3">
        <v>0</v>
      </c>
      <c r="AM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6.9</v>
      </c>
      <c r="AE4">
        <v>8</v>
      </c>
      <c r="AF4">
        <v>21.858974358974351</v>
      </c>
      <c r="AG4">
        <v>24.98512471730211</v>
      </c>
      <c r="AH4">
        <v>14.50742095112285</v>
      </c>
      <c r="AI4">
        <f>16.4971854085254*1</f>
        <v>16.4971854085254</v>
      </c>
      <c r="AJ4">
        <f>2.78816180919617*1</f>
        <v>2.7881618091961702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95.5</v>
      </c>
      <c r="AQ4">
        <v>99.5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11</v>
      </c>
      <c r="AF5">
        <v>20.64356435643565</v>
      </c>
      <c r="AG5">
        <v>20.223915450734481</v>
      </c>
      <c r="AH5">
        <v>10.644520435370399</v>
      </c>
      <c r="AI5">
        <f>8.53915603402053*1</f>
        <v>8.5391560340205306</v>
      </c>
      <c r="AJ5">
        <f>1.6267499064945*1</f>
        <v>1.6267499064944999</v>
      </c>
      <c r="AK5">
        <v>1</v>
      </c>
      <c r="AL5">
        <v>1</v>
      </c>
      <c r="AM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10.1</v>
      </c>
      <c r="AE6">
        <v>13</v>
      </c>
      <c r="AF6">
        <v>33.496455325026773</v>
      </c>
      <c r="AG6">
        <v>25.30046223212511</v>
      </c>
      <c r="AH6">
        <v>48.346756493255747</v>
      </c>
      <c r="AI6">
        <f>30.7668432861596*1</f>
        <v>30.766843286159599</v>
      </c>
      <c r="AJ6">
        <f>6.24602929587382*1</f>
        <v>6.2460292958738197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15</v>
      </c>
      <c r="AF7">
        <v>11.750000000000011</v>
      </c>
      <c r="AG7">
        <v>12.74966057570181</v>
      </c>
      <c r="AH7">
        <v>9.381052402343423</v>
      </c>
      <c r="AI7">
        <f>11.8417181934465*1</f>
        <v>11.8417181934465</v>
      </c>
      <c r="AJ7">
        <f>2.40793367404303*1</f>
        <v>2.4079336740430302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19.31428571428572</v>
      </c>
      <c r="AG8">
        <v>20.430911528391611</v>
      </c>
      <c r="AH8">
        <v>10.204749909504169</v>
      </c>
      <c r="AI8">
        <f>9.07229602187063*1</f>
        <v>9.0722960218706294</v>
      </c>
      <c r="AJ8">
        <f>1.69235942451466*1</f>
        <v>1.69235942451466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19</v>
      </c>
      <c r="AF9">
        <v>21.812499999999989</v>
      </c>
      <c r="AG9">
        <v>19.962640540913299</v>
      </c>
      <c r="AH9">
        <v>14.243094647147039</v>
      </c>
      <c r="AI9">
        <f>8.13169616475459*1</f>
        <v>8.1316961647545902</v>
      </c>
      <c r="AJ9">
        <f>1.78594846210661*1</f>
        <v>1.78594846210661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6.3</v>
      </c>
      <c r="AE10">
        <v>33</v>
      </c>
      <c r="AF10">
        <v>16.117021276595739</v>
      </c>
      <c r="AG10">
        <v>16.385455599106489</v>
      </c>
      <c r="AH10">
        <v>9.9033281930670025</v>
      </c>
      <c r="AI10">
        <f>8.58634253965668*1</f>
        <v>8.5863425396566804</v>
      </c>
      <c r="AJ10">
        <f>1.79023498970145*1</f>
        <v>1.79023498970145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4.7</v>
      </c>
      <c r="AE11">
        <v>41</v>
      </c>
      <c r="AF11">
        <v>13.87544538355421</v>
      </c>
      <c r="AG11">
        <v>16.597295044041989</v>
      </c>
      <c r="AH11">
        <v>21.400714994225389</v>
      </c>
      <c r="AI11">
        <f>20.9870062076536*1</f>
        <v>20.9870062076536</v>
      </c>
      <c r="AJ11">
        <f>4.78041181900444*1</f>
        <v>4.7804118190044402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3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49</v>
      </c>
      <c r="AF12">
        <v>13.825301204819279</v>
      </c>
      <c r="AG12">
        <v>14.886514642797991</v>
      </c>
      <c r="AH12">
        <v>7.4790151219951131</v>
      </c>
      <c r="AI12">
        <f>10.3669098435061*1</f>
        <v>10.3669098435061</v>
      </c>
      <c r="AJ12">
        <f>2.20036035672432*1</f>
        <v>2.2003603567243202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71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52</v>
      </c>
      <c r="AF13">
        <v>17.025316455696199</v>
      </c>
      <c r="AG13">
        <v>17.552591003067281</v>
      </c>
      <c r="AH13">
        <v>9.9821774521774529</v>
      </c>
      <c r="AI13">
        <f>13.0996277603579*1</f>
        <v>13.099627760357899</v>
      </c>
      <c r="AJ13">
        <f>2.85480383226726*1</f>
        <v>2.85480383226726</v>
      </c>
      <c r="AK13">
        <v>1</v>
      </c>
      <c r="AL13">
        <v>0</v>
      </c>
      <c r="AM13">
        <v>0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58</v>
      </c>
      <c r="AF14">
        <v>13.954545454545441</v>
      </c>
      <c r="AG14">
        <v>14.114838253586351</v>
      </c>
      <c r="AH14">
        <v>9.0764705882352938</v>
      </c>
      <c r="AI14">
        <f>9.9666041844952*1</f>
        <v>9.9666041844951998</v>
      </c>
      <c r="AJ14">
        <f>2.22512273371275*1</f>
        <v>2.2251227337127499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8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5.4</v>
      </c>
      <c r="AE15">
        <v>59</v>
      </c>
      <c r="AF15">
        <v>18.8095238095238</v>
      </c>
      <c r="AG15">
        <v>35.775319760853208</v>
      </c>
      <c r="AH15">
        <v>27.286617826617832</v>
      </c>
      <c r="AI15">
        <f>27.1549762964754*1</f>
        <v>27.1549762964754</v>
      </c>
      <c r="AJ15">
        <f>6.00401265996847*1</f>
        <v>6.0040126599684696</v>
      </c>
      <c r="AK15">
        <v>1</v>
      </c>
      <c r="AL15">
        <v>0</v>
      </c>
      <c r="AM15"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5.5</v>
      </c>
      <c r="AE16">
        <v>62</v>
      </c>
      <c r="AF16">
        <v>16.063829787234031</v>
      </c>
      <c r="AG16">
        <v>17.087974199847132</v>
      </c>
      <c r="AH16">
        <v>10.04132795069753</v>
      </c>
      <c r="AI16">
        <f>6.18588789194254*1</f>
        <v>6.1858878919425404</v>
      </c>
      <c r="AJ16">
        <f>1.36942616312547*1</f>
        <v>1.3694261631254701</v>
      </c>
      <c r="AK16">
        <v>1</v>
      </c>
      <c r="AL16">
        <v>0</v>
      </c>
      <c r="AM16">
        <v>0</v>
      </c>
      <c r="AO16" t="s">
        <v>10</v>
      </c>
      <c r="AP16">
        <f>AP2-AP14*5</f>
        <v>286.56304167377976</v>
      </c>
    </row>
    <row r="17" spans="1:43" hidden="1" x14ac:dyDescent="0.2">
      <c r="A17" t="s">
        <v>78</v>
      </c>
      <c r="B17" t="s">
        <v>79</v>
      </c>
      <c r="C17" t="s">
        <v>79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</v>
      </c>
      <c r="AE17">
        <v>63</v>
      </c>
      <c r="AF17">
        <v>27.462078229094281</v>
      </c>
      <c r="AG17">
        <v>21.90174293265089</v>
      </c>
      <c r="AH17">
        <v>22.976647597499031</v>
      </c>
      <c r="AI17">
        <f>22.8375204052012*1</f>
        <v>22.8375204052012</v>
      </c>
      <c r="AJ17">
        <f>4.57169275352833*1</f>
        <v>4.57169275352833</v>
      </c>
      <c r="AK17">
        <v>1</v>
      </c>
      <c r="AL17">
        <v>0</v>
      </c>
      <c r="AM17">
        <v>0</v>
      </c>
    </row>
    <row r="18" spans="1:43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74</v>
      </c>
      <c r="AF18">
        <v>10.72368421052632</v>
      </c>
      <c r="AG18">
        <v>8.7332146152280394</v>
      </c>
      <c r="AH18">
        <v>18.76079753579754</v>
      </c>
      <c r="AI18">
        <f>10.2917605080857*1</f>
        <v>10.2917605080857</v>
      </c>
      <c r="AJ18">
        <f>2.07350422427731*1</f>
        <v>2.0735042242773098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1</v>
      </c>
      <c r="AQ18">
        <v>3</v>
      </c>
    </row>
    <row r="19" spans="1:43" hidden="1" x14ac:dyDescent="0.2">
      <c r="A19" t="s">
        <v>82</v>
      </c>
      <c r="B19" t="s">
        <v>83</v>
      </c>
      <c r="C19" t="s">
        <v>83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75</v>
      </c>
      <c r="AF19">
        <v>12.46269472714603</v>
      </c>
      <c r="AG19">
        <v>7.1625278923798632</v>
      </c>
      <c r="AH19">
        <v>12.033938122548101</v>
      </c>
      <c r="AI19">
        <f>12.8544892150279*1</f>
        <v>12.8544892150279</v>
      </c>
      <c r="AJ19">
        <f>2.67890520489573*1</f>
        <v>2.67890520489573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84</v>
      </c>
      <c r="B20" t="s">
        <v>85</v>
      </c>
      <c r="C20" t="s">
        <v>85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4.4000000000000004</v>
      </c>
      <c r="AE20">
        <v>81</v>
      </c>
      <c r="AF20">
        <v>9.4752668260578634</v>
      </c>
      <c r="AG20">
        <v>9.7424382841378172</v>
      </c>
      <c r="AH20">
        <v>21.391448687214819</v>
      </c>
      <c r="AI20">
        <f>14.7455050207173*1</f>
        <v>14.7455050207173</v>
      </c>
      <c r="AJ20">
        <f>2.44189494831551*1</f>
        <v>2.4418949483155101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86</v>
      </c>
      <c r="B21" t="s">
        <v>87</v>
      </c>
      <c r="C21" t="s">
        <v>87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5.3</v>
      </c>
      <c r="AE21">
        <v>82</v>
      </c>
      <c r="AF21">
        <v>15.36585365853659</v>
      </c>
      <c r="AG21">
        <v>16.73944623265567</v>
      </c>
      <c r="AH21">
        <v>19.399999999999999</v>
      </c>
      <c r="AI21">
        <f>10.5026032969556*1</f>
        <v>10.5026032969556</v>
      </c>
      <c r="AJ21">
        <f>1.84606598430878*1</f>
        <v>1.8460659843087801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2</v>
      </c>
      <c r="AQ21">
        <v>3</v>
      </c>
    </row>
    <row r="22" spans="1:43" hidden="1" x14ac:dyDescent="0.2">
      <c r="A22" t="s">
        <v>88</v>
      </c>
      <c r="B22" t="s">
        <v>89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84</v>
      </c>
      <c r="AF22">
        <v>11.455841266899901</v>
      </c>
      <c r="AG22">
        <v>7.5157354375736114</v>
      </c>
      <c r="AH22">
        <v>9.5943503455608727</v>
      </c>
      <c r="AI22">
        <f>9.04991557654295*1</f>
        <v>9.0499155765429506</v>
      </c>
      <c r="AJ22">
        <f>2.24365771008495*1</f>
        <v>2.2436577100849502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1</v>
      </c>
      <c r="AQ22">
        <v>3</v>
      </c>
    </row>
    <row r="23" spans="1:43" hidden="1" x14ac:dyDescent="0.2">
      <c r="A23" t="s">
        <v>91</v>
      </c>
      <c r="B23" t="s">
        <v>92</v>
      </c>
      <c r="C23" t="s">
        <v>92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88</v>
      </c>
      <c r="AF23">
        <v>19.226598944037882</v>
      </c>
      <c r="AG23">
        <v>10.510621491724059</v>
      </c>
      <c r="AH23">
        <v>30.367154304029309</v>
      </c>
      <c r="AI23">
        <f>11.1688843603751*1</f>
        <v>11.168884360375101</v>
      </c>
      <c r="AJ23">
        <f>2.05737836668104*1</f>
        <v>2.0573783666810401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1</v>
      </c>
      <c r="AQ23">
        <v>3</v>
      </c>
    </row>
    <row r="24" spans="1:43" hidden="1" x14ac:dyDescent="0.2">
      <c r="A24" t="s">
        <v>93</v>
      </c>
      <c r="B24" t="s">
        <v>94</v>
      </c>
      <c r="C24" t="s">
        <v>94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89</v>
      </c>
      <c r="AF24">
        <v>13.55086489941842</v>
      </c>
      <c r="AG24">
        <v>12.28926323455385</v>
      </c>
      <c r="AH24">
        <v>24.54167389749627</v>
      </c>
      <c r="AI24">
        <f>3.87567074324844*1</f>
        <v>3.8756707432484401</v>
      </c>
      <c r="AJ24">
        <f>0.738490679606013*1</f>
        <v>0.738490679606013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95</v>
      </c>
      <c r="B25" t="s">
        <v>96</v>
      </c>
      <c r="C25" t="s">
        <v>96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92</v>
      </c>
      <c r="AF25">
        <v>16.885245901639351</v>
      </c>
      <c r="AG25">
        <v>22.298737858018981</v>
      </c>
      <c r="AH25">
        <v>12.96927295567385</v>
      </c>
      <c r="AI25">
        <f>14.3265179479532*1</f>
        <v>14.326517947953199</v>
      </c>
      <c r="AJ25">
        <f>2.57157862598179*1</f>
        <v>2.5715786259817901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0</v>
      </c>
      <c r="AQ25">
        <v>3</v>
      </c>
    </row>
    <row r="26" spans="1:43" hidden="1" x14ac:dyDescent="0.2">
      <c r="A26" t="s">
        <v>97</v>
      </c>
      <c r="B26" t="s">
        <v>98</v>
      </c>
      <c r="C26" t="s">
        <v>98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94</v>
      </c>
      <c r="AF26">
        <v>11.2</v>
      </c>
      <c r="AG26">
        <v>10.560861684215579</v>
      </c>
      <c r="AH26">
        <v>13.342203451781661</v>
      </c>
      <c r="AI26">
        <f>8.04152985609509*1</f>
        <v>8.0415298560950905</v>
      </c>
      <c r="AJ26">
        <f>1.60515105013288*1</f>
        <v>1.6051510501328801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102</v>
      </c>
      <c r="AF27">
        <v>12.470588235294111</v>
      </c>
      <c r="AG27">
        <v>9.0118958278181136</v>
      </c>
      <c r="AH27">
        <v>6.8709323521306072</v>
      </c>
      <c r="AI27">
        <f>9.26705426010926*1</f>
        <v>9.2670542601092603</v>
      </c>
      <c r="AJ27">
        <f>1.77478876690214*1</f>
        <v>1.77478876690214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101</v>
      </c>
      <c r="B28" t="s">
        <v>102</v>
      </c>
      <c r="C28" t="s">
        <v>102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103</v>
      </c>
      <c r="AF28">
        <v>24.67920726941794</v>
      </c>
      <c r="AG28">
        <v>7.6171106183013446</v>
      </c>
      <c r="AH28">
        <v>16.689889599596921</v>
      </c>
      <c r="AI28">
        <f>21.0961537486384*1</f>
        <v>21.0961537486384</v>
      </c>
      <c r="AJ28">
        <f>5.44346410640401*1</f>
        <v>5.4434641064040097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103</v>
      </c>
      <c r="B29" t="s">
        <v>104</v>
      </c>
      <c r="C29" t="s">
        <v>104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105</v>
      </c>
      <c r="AF29">
        <v>15.869565217391299</v>
      </c>
      <c r="AG29">
        <v>15.332769715536189</v>
      </c>
      <c r="AH29">
        <v>16.215384615384611</v>
      </c>
      <c r="AI29">
        <f>6.30747935045903*1</f>
        <v>6.3074793504590296</v>
      </c>
      <c r="AJ29">
        <f>1.07129999455126*1</f>
        <v>1.07129999455126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3</v>
      </c>
      <c r="AQ29">
        <v>3</v>
      </c>
    </row>
    <row r="30" spans="1:43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4.9000000000000004</v>
      </c>
      <c r="AE30">
        <v>108</v>
      </c>
      <c r="AF30">
        <v>13.36363636363636</v>
      </c>
      <c r="AG30">
        <v>10.531751146601399</v>
      </c>
      <c r="AH30">
        <v>17.929406072298939</v>
      </c>
      <c r="AI30">
        <f>11.6212557139763*1</f>
        <v>11.6212557139763</v>
      </c>
      <c r="AJ30">
        <f>2.32051288365051*1</f>
        <v>2.32051288365051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1</v>
      </c>
      <c r="AQ30">
        <v>3</v>
      </c>
    </row>
    <row r="31" spans="1:43" hidden="1" x14ac:dyDescent="0.2">
      <c r="A31" t="s">
        <v>107</v>
      </c>
      <c r="B31" t="s">
        <v>108</v>
      </c>
      <c r="C31" t="s">
        <v>108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112</v>
      </c>
      <c r="AF31">
        <v>11.530612244897959</v>
      </c>
      <c r="AG31">
        <v>8.7292316279238129</v>
      </c>
      <c r="AH31">
        <v>24.227407407407409</v>
      </c>
      <c r="AI31">
        <f>8.13838323902067*1</f>
        <v>8.1383832390206692</v>
      </c>
      <c r="AJ31">
        <f>1.65235307347813*1</f>
        <v>1.65235307347813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x14ac:dyDescent="0.2">
      <c r="A32" t="s">
        <v>115</v>
      </c>
      <c r="B32" t="s">
        <v>116</v>
      </c>
      <c r="C32" t="s">
        <v>116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124</v>
      </c>
      <c r="AF32">
        <v>22.946081725877079</v>
      </c>
      <c r="AG32">
        <v>15.300973354132569</v>
      </c>
      <c r="AH32">
        <v>37.015871471261732</v>
      </c>
      <c r="AI32">
        <f>38.8854132824486*1</f>
        <v>38.885413282448603</v>
      </c>
      <c r="AJ32">
        <f>8.03355561084157*1</f>
        <v>8.0335556108415709</v>
      </c>
      <c r="AK32">
        <v>1</v>
      </c>
      <c r="AL32">
        <v>0</v>
      </c>
      <c r="AM32">
        <v>1</v>
      </c>
      <c r="AO32" t="s">
        <v>25</v>
      </c>
      <c r="AP32">
        <f>SUMPRODUCT(Table1[Selected],Table1[NEW])</f>
        <v>1</v>
      </c>
      <c r="AQ32">
        <v>3</v>
      </c>
    </row>
    <row r="33" spans="1:43" hidden="1" x14ac:dyDescent="0.2">
      <c r="A33" t="s">
        <v>111</v>
      </c>
      <c r="B33" t="s">
        <v>112</v>
      </c>
      <c r="C33" t="s">
        <v>112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115</v>
      </c>
      <c r="AF33">
        <v>14.230769230769219</v>
      </c>
      <c r="AG33">
        <v>15.13896725653343</v>
      </c>
      <c r="AH33">
        <v>11.767358007486891</v>
      </c>
      <c r="AI33">
        <f>11.2948482318206*1</f>
        <v>11.2948482318206</v>
      </c>
      <c r="AJ33">
        <f>2.11306043539995*1</f>
        <v>2.1130604353999498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3</v>
      </c>
      <c r="AQ33">
        <v>3</v>
      </c>
    </row>
    <row r="34" spans="1:43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118</v>
      </c>
      <c r="AF34">
        <v>14.89690721649484</v>
      </c>
      <c r="AG34">
        <v>13.71056036465656</v>
      </c>
      <c r="AH34">
        <v>21.001639278491449</v>
      </c>
      <c r="AI34">
        <f>11.0235549164079*1</f>
        <v>11.0235549164079</v>
      </c>
      <c r="AJ34">
        <f>1.79659011118205*1</f>
        <v>1.7965901111820499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x14ac:dyDescent="0.2">
      <c r="A35" t="s">
        <v>295</v>
      </c>
      <c r="B35" t="s">
        <v>296</v>
      </c>
      <c r="C35" t="s">
        <v>296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26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503</v>
      </c>
      <c r="AF35">
        <v>17.76315789473685</v>
      </c>
      <c r="AG35">
        <v>15.83293729214258</v>
      </c>
      <c r="AH35">
        <v>22.25412489609106</v>
      </c>
      <c r="AI35">
        <f>29.7923954186475*1</f>
        <v>29.792395418647502</v>
      </c>
      <c r="AJ35">
        <f>6.03973591157645*1</f>
        <v>6.0397359115764502</v>
      </c>
      <c r="AK35">
        <v>1</v>
      </c>
      <c r="AL35">
        <v>0</v>
      </c>
      <c r="AM35">
        <v>1</v>
      </c>
      <c r="AO35" t="s">
        <v>28</v>
      </c>
      <c r="AP35">
        <f>SUMPRODUCT(Table1[Selected],Table1[TOT])</f>
        <v>0</v>
      </c>
      <c r="AQ35">
        <v>3</v>
      </c>
    </row>
    <row r="36" spans="1:43" hidden="1" x14ac:dyDescent="0.2">
      <c r="A36" t="s">
        <v>117</v>
      </c>
      <c r="B36" t="s">
        <v>118</v>
      </c>
      <c r="C36" t="s">
        <v>119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127</v>
      </c>
      <c r="AF36">
        <v>9.2258449750977505</v>
      </c>
      <c r="AG36">
        <v>9.9735763733584442</v>
      </c>
      <c r="AH36">
        <v>9.4666666666666668</v>
      </c>
      <c r="AI36">
        <f>8.55120112840698*1</f>
        <v>8.55120112840698</v>
      </c>
      <c r="AJ36">
        <f>1.1959161256394*1</f>
        <v>1.1959161256394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120</v>
      </c>
      <c r="B37" t="s">
        <v>121</v>
      </c>
      <c r="C37" t="s">
        <v>121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136</v>
      </c>
      <c r="AF37">
        <v>8.8235294117647065</v>
      </c>
      <c r="AG37">
        <v>6.7112432650518752</v>
      </c>
      <c r="AH37">
        <v>17.82637857037793</v>
      </c>
      <c r="AI37">
        <f>15.6773434103495*1</f>
        <v>15.677343410349501</v>
      </c>
      <c r="AJ37">
        <f>3.37921958380729*1</f>
        <v>3.37921958380729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82</v>
      </c>
      <c r="B38" t="s">
        <v>122</v>
      </c>
      <c r="C38" t="s">
        <v>122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140</v>
      </c>
      <c r="AF38">
        <v>15.725</v>
      </c>
      <c r="AG38">
        <v>16.583785304709529</v>
      </c>
      <c r="AH38">
        <v>8.4039052174432118</v>
      </c>
      <c r="AI38">
        <f>9.35390798491168*1</f>
        <v>9.3539079849116806</v>
      </c>
      <c r="AJ38">
        <f>1.71384291033264*1</f>
        <v>1.71384291033264</v>
      </c>
      <c r="AK38">
        <v>1</v>
      </c>
      <c r="AL38">
        <v>0</v>
      </c>
      <c r="AM38">
        <v>0</v>
      </c>
    </row>
    <row r="39" spans="1:43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146</v>
      </c>
      <c r="AF39">
        <v>18.506000434965241</v>
      </c>
      <c r="AG39">
        <v>21.011881589919241</v>
      </c>
      <c r="AH39">
        <v>14.77482385298617</v>
      </c>
      <c r="AI39">
        <f>8.9062867372891*1</f>
        <v>8.9062867372891006</v>
      </c>
      <c r="AJ39">
        <f>2.04290960151971*1</f>
        <v>2.0429096015197099</v>
      </c>
      <c r="AK39">
        <v>1</v>
      </c>
      <c r="AL39">
        <v>0</v>
      </c>
      <c r="AM39">
        <v>0</v>
      </c>
    </row>
    <row r="40" spans="1:43" hidden="1" x14ac:dyDescent="0.2">
      <c r="A40" t="s">
        <v>125</v>
      </c>
      <c r="B40" t="s">
        <v>126</v>
      </c>
      <c r="C40" t="s">
        <v>127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164</v>
      </c>
      <c r="AF40">
        <v>11.80482499197686</v>
      </c>
      <c r="AG40">
        <v>8.9829714222601957</v>
      </c>
      <c r="AH40">
        <v>10.12857142857143</v>
      </c>
      <c r="AI40">
        <f>5.11649474992113*1</f>
        <v>5.11649474992113</v>
      </c>
      <c r="AJ40">
        <f>1.01132719117928*1</f>
        <v>1.01132719117928</v>
      </c>
      <c r="AK40">
        <v>1</v>
      </c>
      <c r="AL40">
        <v>0</v>
      </c>
      <c r="AM40">
        <v>0</v>
      </c>
    </row>
    <row r="41" spans="1:43" hidden="1" x14ac:dyDescent="0.2">
      <c r="A41" t="s">
        <v>128</v>
      </c>
      <c r="B41" t="s">
        <v>129</v>
      </c>
      <c r="C41" t="s">
        <v>129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165</v>
      </c>
      <c r="AF41">
        <v>13.82282281741506</v>
      </c>
      <c r="AG41">
        <v>14.553737411710239</v>
      </c>
      <c r="AH41">
        <v>8.472581920507098</v>
      </c>
      <c r="AI41">
        <f>9.73989066880746*1</f>
        <v>9.73989066880746</v>
      </c>
      <c r="AJ41">
        <f>1.96156290529918*1</f>
        <v>1.9615629052991801</v>
      </c>
      <c r="AK41">
        <v>1</v>
      </c>
      <c r="AL41">
        <v>0</v>
      </c>
      <c r="AM41">
        <v>0</v>
      </c>
    </row>
    <row r="42" spans="1:43" hidden="1" x14ac:dyDescent="0.2">
      <c r="A42" t="s">
        <v>130</v>
      </c>
      <c r="B42" t="s">
        <v>131</v>
      </c>
      <c r="C42" t="s">
        <v>131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166</v>
      </c>
      <c r="AF42">
        <v>15.71428571428571</v>
      </c>
      <c r="AG42">
        <v>24.16107567289907</v>
      </c>
      <c r="AH42">
        <v>18.916425440148871</v>
      </c>
      <c r="AI42">
        <f>11.5133323132031*1</f>
        <v>11.513332313203099</v>
      </c>
      <c r="AJ42">
        <f>2.57219096660825*1</f>
        <v>2.5721909666082499</v>
      </c>
      <c r="AK42">
        <v>1</v>
      </c>
      <c r="AL42">
        <v>0</v>
      </c>
      <c r="AM42">
        <v>0</v>
      </c>
    </row>
    <row r="43" spans="1:43" x14ac:dyDescent="0.2">
      <c r="A43" t="s">
        <v>222</v>
      </c>
      <c r="B43" t="s">
        <v>223</v>
      </c>
      <c r="C43" t="s">
        <v>224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7.7</v>
      </c>
      <c r="AE43">
        <v>392</v>
      </c>
      <c r="AF43">
        <v>20.070422535211279</v>
      </c>
      <c r="AG43">
        <v>15.166515973906479</v>
      </c>
      <c r="AH43">
        <v>19.815382862725841</v>
      </c>
      <c r="AI43">
        <f>28.3070072070247*1</f>
        <v>28.3070072070247</v>
      </c>
      <c r="AJ43">
        <f>5.46455406220785*1</f>
        <v>5.4645540622078501</v>
      </c>
      <c r="AK43">
        <v>1</v>
      </c>
      <c r="AL43">
        <v>1</v>
      </c>
      <c r="AM43">
        <v>1</v>
      </c>
    </row>
    <row r="44" spans="1:43" hidden="1" x14ac:dyDescent="0.2">
      <c r="A44" t="s">
        <v>134</v>
      </c>
      <c r="B44" t="s">
        <v>135</v>
      </c>
      <c r="C44" t="s">
        <v>134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174</v>
      </c>
      <c r="AF44">
        <v>0</v>
      </c>
      <c r="AG44">
        <v>0</v>
      </c>
      <c r="AH44">
        <v>0</v>
      </c>
      <c r="AI44">
        <f>0*1</f>
        <v>0</v>
      </c>
      <c r="AJ44">
        <f>0*1</f>
        <v>0</v>
      </c>
      <c r="AK44">
        <v>1</v>
      </c>
      <c r="AL44">
        <v>0</v>
      </c>
      <c r="AM44">
        <v>0</v>
      </c>
    </row>
    <row r="45" spans="1:43" hidden="1" x14ac:dyDescent="0.2">
      <c r="A45" t="s">
        <v>136</v>
      </c>
      <c r="B45" t="s">
        <v>137</v>
      </c>
      <c r="C45" t="s">
        <v>138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4.9000000000000004</v>
      </c>
      <c r="AE45">
        <v>184</v>
      </c>
      <c r="AF45">
        <v>12.75011035542906</v>
      </c>
      <c r="AG45">
        <v>8.0692739070640727</v>
      </c>
      <c r="AH45">
        <v>32.582578695813993</v>
      </c>
      <c r="AI45">
        <f>8.59513840344308*1</f>
        <v>8.5951384034430802</v>
      </c>
      <c r="AJ45">
        <f>1.58154670746038*1</f>
        <v>1.58154670746038</v>
      </c>
      <c r="AK45">
        <v>1</v>
      </c>
      <c r="AL45">
        <v>0</v>
      </c>
      <c r="AM45">
        <v>0</v>
      </c>
    </row>
    <row r="46" spans="1:43" hidden="1" x14ac:dyDescent="0.2">
      <c r="A46" t="s">
        <v>139</v>
      </c>
      <c r="B46" t="s">
        <v>140</v>
      </c>
      <c r="C46" t="s">
        <v>140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6.4</v>
      </c>
      <c r="AE46">
        <v>203</v>
      </c>
      <c r="AF46">
        <v>17.54364095887027</v>
      </c>
      <c r="AG46">
        <v>24.84738885765568</v>
      </c>
      <c r="AH46">
        <v>17.899999999999999</v>
      </c>
      <c r="AI46">
        <f>13.8763844363831*1</f>
        <v>13.8763844363831</v>
      </c>
      <c r="AJ46">
        <f>3.00792440869346*1</f>
        <v>3.00792440869346</v>
      </c>
      <c r="AK46">
        <v>1</v>
      </c>
      <c r="AL46">
        <v>0</v>
      </c>
      <c r="AM46">
        <v>0</v>
      </c>
    </row>
    <row r="47" spans="1:43" hidden="1" x14ac:dyDescent="0.2">
      <c r="A47" t="s">
        <v>141</v>
      </c>
      <c r="B47" t="s">
        <v>142</v>
      </c>
      <c r="C47" t="s">
        <v>143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7.9</v>
      </c>
      <c r="AE47">
        <v>206</v>
      </c>
      <c r="AF47">
        <v>22.441860465116289</v>
      </c>
      <c r="AG47">
        <v>17.478281539244449</v>
      </c>
      <c r="AH47">
        <v>35.961411118278519</v>
      </c>
      <c r="AI47">
        <f>24.6888817527701*1</f>
        <v>24.688881752770101</v>
      </c>
      <c r="AJ47">
        <f>4.89827057845013*1</f>
        <v>4.8982705784501297</v>
      </c>
      <c r="AK47">
        <v>1</v>
      </c>
      <c r="AL47">
        <v>0</v>
      </c>
      <c r="AM47">
        <v>0</v>
      </c>
    </row>
    <row r="48" spans="1:43" x14ac:dyDescent="0.2">
      <c r="A48" t="s">
        <v>144</v>
      </c>
      <c r="B48" t="s">
        <v>145</v>
      </c>
      <c r="C48" t="s">
        <v>145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11</v>
      </c>
      <c r="AE48">
        <v>208</v>
      </c>
      <c r="AF48">
        <v>40.439894636278993</v>
      </c>
      <c r="AG48">
        <v>35.080082985243962</v>
      </c>
      <c r="AH48">
        <v>23.816666666666659</v>
      </c>
      <c r="AI48">
        <f>24.7560243579477*0.75</f>
        <v>18.567018268460778</v>
      </c>
      <c r="AJ48">
        <f>6.53009783399896*0.75</f>
        <v>4.8975733754992206</v>
      </c>
      <c r="AK48">
        <v>0.75</v>
      </c>
      <c r="AL48">
        <v>1</v>
      </c>
      <c r="AM48">
        <v>1</v>
      </c>
    </row>
    <row r="49" spans="1:39" hidden="1" x14ac:dyDescent="0.2">
      <c r="A49" t="s">
        <v>146</v>
      </c>
      <c r="B49" t="s">
        <v>147</v>
      </c>
      <c r="C49" t="s">
        <v>147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4.7</v>
      </c>
      <c r="AE49">
        <v>211</v>
      </c>
      <c r="AF49">
        <v>19.263957402183589</v>
      </c>
      <c r="AG49">
        <v>17.761197760494952</v>
      </c>
      <c r="AH49">
        <v>10.43333333333333</v>
      </c>
      <c r="AI49">
        <f>14.5949035105937*1</f>
        <v>14.594903510593699</v>
      </c>
      <c r="AJ49">
        <f>3.02182952186283*1</f>
        <v>3.0218295218628302</v>
      </c>
      <c r="AK49">
        <v>1</v>
      </c>
      <c r="AL49">
        <v>0</v>
      </c>
      <c r="AM49">
        <v>0</v>
      </c>
    </row>
    <row r="50" spans="1:39" hidden="1" x14ac:dyDescent="0.2">
      <c r="A50" t="s">
        <v>148</v>
      </c>
      <c r="B50" t="s">
        <v>149</v>
      </c>
      <c r="C50" t="s">
        <v>149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6.6</v>
      </c>
      <c r="AE50">
        <v>227</v>
      </c>
      <c r="AF50">
        <v>19.565217391304341</v>
      </c>
      <c r="AG50">
        <v>15.663476423339169</v>
      </c>
      <c r="AH50">
        <v>16.64141865470625</v>
      </c>
      <c r="AI50">
        <f>4.04596081537943*1</f>
        <v>4.0459608153794298</v>
      </c>
      <c r="AJ50">
        <f>0.748860480143272*1</f>
        <v>0.748860480143272</v>
      </c>
      <c r="AK50">
        <v>1</v>
      </c>
      <c r="AL50">
        <v>0</v>
      </c>
      <c r="AM50">
        <v>0</v>
      </c>
    </row>
    <row r="51" spans="1:39" hidden="1" x14ac:dyDescent="0.2">
      <c r="A51" t="s">
        <v>150</v>
      </c>
      <c r="B51" t="s">
        <v>151</v>
      </c>
      <c r="C51" t="s">
        <v>151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228</v>
      </c>
      <c r="AF51">
        <v>14.75961538461538</v>
      </c>
      <c r="AG51">
        <v>16.268881951828462</v>
      </c>
      <c r="AH51">
        <v>20.69089549667526</v>
      </c>
      <c r="AI51">
        <f>17.8807290122122*1</f>
        <v>17.8807290122122</v>
      </c>
      <c r="AJ51">
        <f>3.26838632775136*1</f>
        <v>3.2683863277513598</v>
      </c>
      <c r="AK51">
        <v>1</v>
      </c>
      <c r="AL51">
        <v>0</v>
      </c>
      <c r="AM51">
        <v>0</v>
      </c>
    </row>
    <row r="52" spans="1:39" hidden="1" x14ac:dyDescent="0.2">
      <c r="A52" t="s">
        <v>152</v>
      </c>
      <c r="B52" t="s">
        <v>153</v>
      </c>
      <c r="C52" t="s">
        <v>153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4.4000000000000004</v>
      </c>
      <c r="AE52">
        <v>229</v>
      </c>
      <c r="AF52">
        <v>18.9166549036932</v>
      </c>
      <c r="AG52">
        <v>20.515048297509839</v>
      </c>
      <c r="AH52">
        <v>15.190241793622191</v>
      </c>
      <c r="AI52">
        <f>15.4823296052961*1</f>
        <v>15.482329605296099</v>
      </c>
      <c r="AJ52">
        <f>2.58115737501322*1</f>
        <v>2.5811573750132202</v>
      </c>
      <c r="AK52">
        <v>1</v>
      </c>
      <c r="AL52">
        <v>0</v>
      </c>
      <c r="AM52">
        <v>0</v>
      </c>
    </row>
    <row r="53" spans="1:39" hidden="1" x14ac:dyDescent="0.2">
      <c r="A53" t="s">
        <v>154</v>
      </c>
      <c r="B53" t="s">
        <v>155</v>
      </c>
      <c r="C53" t="s">
        <v>155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7.3</v>
      </c>
      <c r="AE53">
        <v>234</v>
      </c>
      <c r="AF53">
        <v>22.43932573801866</v>
      </c>
      <c r="AG53">
        <v>11.468334799794119</v>
      </c>
      <c r="AH53">
        <v>25.65</v>
      </c>
      <c r="AI53">
        <f>4.97762408870629*1</f>
        <v>4.9776240887062899</v>
      </c>
      <c r="AJ53">
        <f>0.914621269534196*1</f>
        <v>0.91462126953419598</v>
      </c>
      <c r="AK53">
        <v>1</v>
      </c>
      <c r="AL53">
        <v>0</v>
      </c>
      <c r="AM53">
        <v>0</v>
      </c>
    </row>
    <row r="54" spans="1:39" hidden="1" x14ac:dyDescent="0.2">
      <c r="A54" t="s">
        <v>156</v>
      </c>
      <c r="B54" t="s">
        <v>157</v>
      </c>
      <c r="C54" t="s">
        <v>157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237</v>
      </c>
      <c r="AF54">
        <v>12.938420873827541</v>
      </c>
      <c r="AG54">
        <v>14.10510688768424</v>
      </c>
      <c r="AH54">
        <v>13.073374825316231</v>
      </c>
      <c r="AI54">
        <f>6.79297498003393*1</f>
        <v>6.7929749800339296</v>
      </c>
      <c r="AJ54">
        <f>1.15803348339354*1</f>
        <v>1.15803348339354</v>
      </c>
      <c r="AK54">
        <v>1</v>
      </c>
      <c r="AL54">
        <v>0</v>
      </c>
      <c r="AM54">
        <v>0</v>
      </c>
    </row>
    <row r="55" spans="1:39" hidden="1" x14ac:dyDescent="0.2">
      <c r="A55" t="s">
        <v>158</v>
      </c>
      <c r="B55" t="s">
        <v>159</v>
      </c>
      <c r="C55" t="s">
        <v>159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238</v>
      </c>
      <c r="AF55">
        <v>15.8</v>
      </c>
      <c r="AG55">
        <v>15.017651018252151</v>
      </c>
      <c r="AH55">
        <v>16.33125811688312</v>
      </c>
      <c r="AI55">
        <f>3.00107780008293*1</f>
        <v>3.0010778000829301</v>
      </c>
      <c r="AJ55">
        <f>0.583437920703956*1</f>
        <v>0.58343792070395595</v>
      </c>
      <c r="AK55">
        <v>1</v>
      </c>
      <c r="AL55">
        <v>0</v>
      </c>
      <c r="AM55">
        <v>0</v>
      </c>
    </row>
    <row r="56" spans="1:39" hidden="1" x14ac:dyDescent="0.2">
      <c r="A56" t="s">
        <v>160</v>
      </c>
      <c r="B56" t="s">
        <v>161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5.2</v>
      </c>
      <c r="AE56">
        <v>253</v>
      </c>
      <c r="AF56">
        <v>15.61827956989246</v>
      </c>
      <c r="AG56">
        <v>15.66768787945461</v>
      </c>
      <c r="AH56">
        <v>12.330831152829679</v>
      </c>
      <c r="AI56">
        <f>5.5037494112503*1</f>
        <v>5.5037494112502996</v>
      </c>
      <c r="AJ56">
        <f>1.08778930584088*1</f>
        <v>1.0877893058408801</v>
      </c>
      <c r="AK56">
        <v>1</v>
      </c>
      <c r="AL56">
        <v>0</v>
      </c>
      <c r="AM56">
        <v>0</v>
      </c>
    </row>
    <row r="57" spans="1:39" hidden="1" x14ac:dyDescent="0.2">
      <c r="A57" t="s">
        <v>123</v>
      </c>
      <c r="B57" t="s">
        <v>163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5.3</v>
      </c>
      <c r="AE57">
        <v>260</v>
      </c>
      <c r="AF57">
        <v>18.381294964028768</v>
      </c>
      <c r="AG57">
        <v>20.401963985370632</v>
      </c>
      <c r="AH57">
        <v>9.2887284877359058</v>
      </c>
      <c r="AI57">
        <f>8.58777949585547*1</f>
        <v>8.5877794958554698</v>
      </c>
      <c r="AJ57">
        <f>1.65238074486467*1</f>
        <v>1.6523807448646699</v>
      </c>
      <c r="AK57">
        <v>1</v>
      </c>
      <c r="AL57">
        <v>0</v>
      </c>
      <c r="AM57">
        <v>0</v>
      </c>
    </row>
    <row r="58" spans="1:39" hidden="1" x14ac:dyDescent="0.2">
      <c r="A58" t="s">
        <v>164</v>
      </c>
      <c r="B58" t="s">
        <v>107</v>
      </c>
      <c r="C58" t="s">
        <v>107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4.3</v>
      </c>
      <c r="AE58">
        <v>264</v>
      </c>
      <c r="AF58">
        <v>16.506410256410248</v>
      </c>
      <c r="AG58">
        <v>17.340052244661919</v>
      </c>
      <c r="AH58">
        <v>0</v>
      </c>
      <c r="AI58">
        <f>16.1698712289729*1</f>
        <v>16.169871228972902</v>
      </c>
      <c r="AJ58">
        <f>3.19244655191305*1</f>
        <v>3.1924465519130498</v>
      </c>
      <c r="AK58">
        <v>1</v>
      </c>
      <c r="AL58">
        <v>0</v>
      </c>
      <c r="AM58">
        <v>0</v>
      </c>
    </row>
    <row r="59" spans="1:39" hidden="1" x14ac:dyDescent="0.2">
      <c r="A59" t="s">
        <v>165</v>
      </c>
      <c r="B59" t="s">
        <v>166</v>
      </c>
      <c r="C59" t="s">
        <v>166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5.8</v>
      </c>
      <c r="AE59">
        <v>266</v>
      </c>
      <c r="AF59">
        <v>15.523809696179089</v>
      </c>
      <c r="AG59">
        <v>14.377854007972941</v>
      </c>
      <c r="AH59">
        <v>14.290963249038059</v>
      </c>
      <c r="AI59">
        <f>20.7420291445181*1</f>
        <v>20.742029144518099</v>
      </c>
      <c r="AJ59">
        <f>3.74750018496706*1</f>
        <v>3.7475001849670599</v>
      </c>
      <c r="AK59">
        <v>1</v>
      </c>
      <c r="AL59">
        <v>0</v>
      </c>
      <c r="AM59">
        <v>0</v>
      </c>
    </row>
    <row r="60" spans="1:39" hidden="1" x14ac:dyDescent="0.2">
      <c r="A60" t="s">
        <v>167</v>
      </c>
      <c r="B60" t="s">
        <v>168</v>
      </c>
      <c r="C60" t="s">
        <v>168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4.3</v>
      </c>
      <c r="AE60">
        <v>267</v>
      </c>
      <c r="AF60">
        <v>13.799755591054289</v>
      </c>
      <c r="AG60">
        <v>14.33544605998611</v>
      </c>
      <c r="AH60">
        <v>11.50534701668307</v>
      </c>
      <c r="AI60">
        <f>7.02987902590517*1</f>
        <v>7.0298790259051698</v>
      </c>
      <c r="AJ60">
        <f>1.27833999011139*1</f>
        <v>1.2783399901113901</v>
      </c>
      <c r="AK60">
        <v>1</v>
      </c>
      <c r="AL60">
        <v>0</v>
      </c>
      <c r="AM60">
        <v>0</v>
      </c>
    </row>
    <row r="61" spans="1:39" hidden="1" x14ac:dyDescent="0.2">
      <c r="A61" t="s">
        <v>169</v>
      </c>
      <c r="B61" t="s">
        <v>170</v>
      </c>
      <c r="C61" t="s">
        <v>170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270</v>
      </c>
      <c r="AF61">
        <v>17.968036529680351</v>
      </c>
      <c r="AG61">
        <v>17.304454345153761</v>
      </c>
      <c r="AH61">
        <v>14.573331542707839</v>
      </c>
      <c r="AI61">
        <f>17.5201342266475*1</f>
        <v>17.5201342266475</v>
      </c>
      <c r="AJ61">
        <f>3.35103296436305*1</f>
        <v>3.3510329643630499</v>
      </c>
      <c r="AK61">
        <v>1</v>
      </c>
      <c r="AL61">
        <v>0</v>
      </c>
      <c r="AM61">
        <v>0</v>
      </c>
    </row>
    <row r="62" spans="1:39" hidden="1" x14ac:dyDescent="0.2">
      <c r="A62" t="s">
        <v>171</v>
      </c>
      <c r="B62" t="s">
        <v>172</v>
      </c>
      <c r="C62" t="s">
        <v>172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4.8</v>
      </c>
      <c r="AE62">
        <v>271</v>
      </c>
      <c r="AF62">
        <v>15.06185283177421</v>
      </c>
      <c r="AG62">
        <v>15.08417788750921</v>
      </c>
      <c r="AH62">
        <v>5.573313119871484</v>
      </c>
      <c r="AI62">
        <f>11.1297798558488*1</f>
        <v>11.129779855848801</v>
      </c>
      <c r="AJ62">
        <f>2.10668637015089*1</f>
        <v>2.1066863701508902</v>
      </c>
      <c r="AK62">
        <v>1</v>
      </c>
      <c r="AL62">
        <v>0</v>
      </c>
      <c r="AM62">
        <v>0</v>
      </c>
    </row>
    <row r="63" spans="1:39" hidden="1" x14ac:dyDescent="0.2">
      <c r="A63" t="s">
        <v>173</v>
      </c>
      <c r="B63" t="s">
        <v>174</v>
      </c>
      <c r="C63" t="s">
        <v>174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273</v>
      </c>
      <c r="AF63">
        <v>12.36434108527132</v>
      </c>
      <c r="AG63">
        <v>9.4068740564190598</v>
      </c>
      <c r="AH63">
        <v>23.3149655793964</v>
      </c>
      <c r="AI63">
        <f>10.2761935948835*1</f>
        <v>10.2761935948835</v>
      </c>
      <c r="AJ63">
        <f>1.92805754715207*1</f>
        <v>1.92805754715207</v>
      </c>
      <c r="AK63">
        <v>1</v>
      </c>
      <c r="AL63">
        <v>0</v>
      </c>
      <c r="AM63">
        <v>0</v>
      </c>
    </row>
    <row r="64" spans="1:39" hidden="1" x14ac:dyDescent="0.2">
      <c r="A64" t="s">
        <v>175</v>
      </c>
      <c r="B64" t="s">
        <v>176</v>
      </c>
      <c r="C64" t="s">
        <v>176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5.7</v>
      </c>
      <c r="AE64">
        <v>282</v>
      </c>
      <c r="AF64">
        <v>16.491222557754291</v>
      </c>
      <c r="AG64">
        <v>14.69655950107113</v>
      </c>
      <c r="AH64">
        <v>10.924373928887791</v>
      </c>
      <c r="AI64">
        <f>18.7192079157441*1</f>
        <v>18.7192079157441</v>
      </c>
      <c r="AJ64">
        <f>3.4275009072042*1</f>
        <v>3.4275009072042</v>
      </c>
      <c r="AK64">
        <v>1</v>
      </c>
      <c r="AL64">
        <v>0</v>
      </c>
      <c r="AM64">
        <v>0</v>
      </c>
    </row>
    <row r="65" spans="1:39" hidden="1" x14ac:dyDescent="0.2">
      <c r="A65" t="s">
        <v>177</v>
      </c>
      <c r="B65" t="s">
        <v>178</v>
      </c>
      <c r="C65" t="s">
        <v>177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5.0999999999999996</v>
      </c>
      <c r="AE65">
        <v>284</v>
      </c>
      <c r="AF65">
        <v>13.34143249850413</v>
      </c>
      <c r="AG65">
        <v>13.898620455501829</v>
      </c>
      <c r="AH65">
        <v>13.876254142437761</v>
      </c>
      <c r="AI65">
        <f>11.0701622253562*1</f>
        <v>11.070162225356199</v>
      </c>
      <c r="AJ65">
        <f>2.21018210115433*1</f>
        <v>2.2101821011543299</v>
      </c>
      <c r="AK65">
        <v>1</v>
      </c>
      <c r="AL65">
        <v>0</v>
      </c>
      <c r="AM65">
        <v>0</v>
      </c>
    </row>
    <row r="66" spans="1:39" hidden="1" x14ac:dyDescent="0.2">
      <c r="A66" t="s">
        <v>179</v>
      </c>
      <c r="B66" t="s">
        <v>180</v>
      </c>
      <c r="C66" t="s">
        <v>179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5.2</v>
      </c>
      <c r="AE66">
        <v>285</v>
      </c>
      <c r="AF66">
        <v>17.531645569620249</v>
      </c>
      <c r="AG66">
        <v>17.111241340507959</v>
      </c>
      <c r="AH66">
        <v>13.85193761586013</v>
      </c>
      <c r="AI66">
        <f>13.7442785632547*1</f>
        <v>13.744278563254699</v>
      </c>
      <c r="AJ66">
        <f>2.73739848935249*1</f>
        <v>2.7373984893524899</v>
      </c>
      <c r="AK66">
        <v>1</v>
      </c>
      <c r="AL66">
        <v>0</v>
      </c>
      <c r="AM66">
        <v>0</v>
      </c>
    </row>
    <row r="67" spans="1:39" hidden="1" x14ac:dyDescent="0.2">
      <c r="A67" t="s">
        <v>181</v>
      </c>
      <c r="B67" t="s">
        <v>182</v>
      </c>
      <c r="C67" t="s">
        <v>182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292</v>
      </c>
      <c r="AF67">
        <v>17.103274828901601</v>
      </c>
      <c r="AG67">
        <v>13.104179981672059</v>
      </c>
      <c r="AH67">
        <v>24.547691931780989</v>
      </c>
      <c r="AI67">
        <f>22.8334209538609*1</f>
        <v>22.833420953860902</v>
      </c>
      <c r="AJ67">
        <f>4.48541214017505*1</f>
        <v>4.4854121401750504</v>
      </c>
      <c r="AK67">
        <v>1</v>
      </c>
      <c r="AL67">
        <v>0</v>
      </c>
      <c r="AM67">
        <v>0</v>
      </c>
    </row>
    <row r="68" spans="1:39" hidden="1" x14ac:dyDescent="0.2">
      <c r="A68" t="s">
        <v>183</v>
      </c>
      <c r="B68" t="s">
        <v>184</v>
      </c>
      <c r="C68" t="s">
        <v>184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293</v>
      </c>
      <c r="AF68">
        <v>18.090163695828739</v>
      </c>
      <c r="AG68">
        <v>18.929425321661419</v>
      </c>
      <c r="AH68">
        <v>10.75951880295543</v>
      </c>
      <c r="AI68">
        <f>12.9756974193621*1</f>
        <v>12.975697419362101</v>
      </c>
      <c r="AJ68">
        <f>2.69366906097079*1</f>
        <v>2.6936690609707901</v>
      </c>
      <c r="AK68">
        <v>1</v>
      </c>
      <c r="AL68">
        <v>0</v>
      </c>
      <c r="AM68">
        <v>0</v>
      </c>
    </row>
    <row r="69" spans="1:39" hidden="1" x14ac:dyDescent="0.2">
      <c r="A69" t="s">
        <v>185</v>
      </c>
      <c r="B69" t="s">
        <v>186</v>
      </c>
      <c r="C69" t="s">
        <v>187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5.6</v>
      </c>
      <c r="AE69">
        <v>296</v>
      </c>
      <c r="AF69">
        <v>15.06519173223179</v>
      </c>
      <c r="AG69">
        <v>19.207201965378921</v>
      </c>
      <c r="AH69">
        <v>8.3368313432599148</v>
      </c>
      <c r="AI69">
        <f>7.51070589689454*1</f>
        <v>7.5107058968945397</v>
      </c>
      <c r="AJ69">
        <f>1.16155642620202*1</f>
        <v>1.1615564262020199</v>
      </c>
      <c r="AK69">
        <v>1</v>
      </c>
      <c r="AL69">
        <v>0</v>
      </c>
      <c r="AM69">
        <v>0</v>
      </c>
    </row>
    <row r="70" spans="1:39" hidden="1" x14ac:dyDescent="0.2">
      <c r="A70" t="s">
        <v>188</v>
      </c>
      <c r="B70" t="s">
        <v>189</v>
      </c>
      <c r="C70" t="s">
        <v>188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297</v>
      </c>
      <c r="AF70">
        <v>20.490787092533239</v>
      </c>
      <c r="AG70">
        <v>21.074304200585889</v>
      </c>
      <c r="AH70">
        <v>10.525</v>
      </c>
      <c r="AI70">
        <f>11.9009605181775*1</f>
        <v>11.9009605181775</v>
      </c>
      <c r="AJ70">
        <f>2.244833494168*1</f>
        <v>2.2448334941680002</v>
      </c>
      <c r="AK70">
        <v>1</v>
      </c>
      <c r="AL70">
        <v>1</v>
      </c>
      <c r="AM70">
        <v>0</v>
      </c>
    </row>
    <row r="71" spans="1:39" hidden="1" x14ac:dyDescent="0.2">
      <c r="A71" t="s">
        <v>190</v>
      </c>
      <c r="B71" t="s">
        <v>191</v>
      </c>
      <c r="C71" t="s">
        <v>191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4.7</v>
      </c>
      <c r="AE71">
        <v>300</v>
      </c>
      <c r="AF71">
        <v>13.0841121495327</v>
      </c>
      <c r="AG71">
        <v>10.86580403656632</v>
      </c>
      <c r="AH71">
        <v>20.320987012987018</v>
      </c>
      <c r="AI71">
        <f>17.6505288803249*1</f>
        <v>17.650528880324899</v>
      </c>
      <c r="AJ71">
        <f>3.49170575117053*1</f>
        <v>3.4917057511705298</v>
      </c>
      <c r="AK71">
        <v>1</v>
      </c>
      <c r="AL71">
        <v>0</v>
      </c>
      <c r="AM71">
        <v>0</v>
      </c>
    </row>
    <row r="72" spans="1:39" hidden="1" x14ac:dyDescent="0.2">
      <c r="A72" t="s">
        <v>192</v>
      </c>
      <c r="B72" t="s">
        <v>193</v>
      </c>
      <c r="C72" t="s">
        <v>193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302</v>
      </c>
      <c r="AF72">
        <v>12.101388077718649</v>
      </c>
      <c r="AG72">
        <v>13.13669543003186</v>
      </c>
      <c r="AH72">
        <v>8.5885898673344609</v>
      </c>
      <c r="AI72">
        <f>8.25053453446364*1</f>
        <v>8.2505345344636396</v>
      </c>
      <c r="AJ72">
        <f>1.45707762390395*1</f>
        <v>1.45707762390395</v>
      </c>
      <c r="AK72">
        <v>1</v>
      </c>
      <c r="AL72">
        <v>0</v>
      </c>
      <c r="AM72">
        <v>0</v>
      </c>
    </row>
    <row r="73" spans="1:39" hidden="1" x14ac:dyDescent="0.2">
      <c r="A73" t="s">
        <v>194</v>
      </c>
      <c r="B73" t="s">
        <v>195</v>
      </c>
      <c r="C73" t="s">
        <v>195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4.4000000000000004</v>
      </c>
      <c r="AE73">
        <v>336</v>
      </c>
      <c r="AF73">
        <v>0</v>
      </c>
      <c r="AG73">
        <v>0</v>
      </c>
      <c r="AH73">
        <v>0</v>
      </c>
      <c r="AI73">
        <f>0*1</f>
        <v>0</v>
      </c>
      <c r="AJ73">
        <f>0*1</f>
        <v>0</v>
      </c>
      <c r="AK73">
        <v>1</v>
      </c>
      <c r="AL73">
        <v>0</v>
      </c>
      <c r="AM73">
        <v>0</v>
      </c>
    </row>
    <row r="74" spans="1:39" hidden="1" x14ac:dyDescent="0.2">
      <c r="A74" t="s">
        <v>196</v>
      </c>
      <c r="B74" t="s">
        <v>197</v>
      </c>
      <c r="C74" t="s">
        <v>197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5.0999999999999996</v>
      </c>
      <c r="AE74">
        <v>343</v>
      </c>
      <c r="AF74">
        <v>12.888888888888889</v>
      </c>
      <c r="AG74">
        <v>10.814752246848011</v>
      </c>
      <c r="AH74">
        <v>13.05</v>
      </c>
      <c r="AI74">
        <f>16.585989191586*1</f>
        <v>16.585989191585998</v>
      </c>
      <c r="AJ74">
        <f>3.56506813344479*1</f>
        <v>3.56506813344479</v>
      </c>
      <c r="AK74">
        <v>1</v>
      </c>
      <c r="AL74">
        <v>0</v>
      </c>
      <c r="AM74">
        <v>0</v>
      </c>
    </row>
    <row r="75" spans="1:39" hidden="1" x14ac:dyDescent="0.2">
      <c r="A75" t="s">
        <v>169</v>
      </c>
      <c r="B75" t="s">
        <v>198</v>
      </c>
      <c r="C75" t="s">
        <v>199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344</v>
      </c>
      <c r="AF75">
        <v>13.888888888888889</v>
      </c>
      <c r="AG75">
        <v>14.33617847364444</v>
      </c>
      <c r="AH75">
        <v>22.258932728155941</v>
      </c>
      <c r="AI75">
        <f>10.9843623518924*1</f>
        <v>10.984362351892401</v>
      </c>
      <c r="AJ75">
        <f>2.21265840198605*1</f>
        <v>2.21265840198605</v>
      </c>
      <c r="AK75">
        <v>1</v>
      </c>
      <c r="AL75">
        <v>0</v>
      </c>
      <c r="AM75">
        <v>0</v>
      </c>
    </row>
    <row r="76" spans="1:39" hidden="1" x14ac:dyDescent="0.2">
      <c r="A76" t="s">
        <v>200</v>
      </c>
      <c r="B76" t="s">
        <v>201</v>
      </c>
      <c r="C76" t="s">
        <v>201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4.2</v>
      </c>
      <c r="AE76">
        <v>352</v>
      </c>
      <c r="AF76">
        <v>12.375</v>
      </c>
      <c r="AG76">
        <v>7.6845590847051177</v>
      </c>
      <c r="AH76">
        <v>8.1078930957031226</v>
      </c>
      <c r="AI76">
        <f>2.72222178334759*1</f>
        <v>2.7222217833475901</v>
      </c>
      <c r="AJ76">
        <f>0.529438498667208*1</f>
        <v>0.52943849866720805</v>
      </c>
      <c r="AK76">
        <v>1</v>
      </c>
      <c r="AL76">
        <v>0</v>
      </c>
      <c r="AM76">
        <v>0</v>
      </c>
    </row>
    <row r="77" spans="1:39" hidden="1" x14ac:dyDescent="0.2">
      <c r="A77" t="s">
        <v>171</v>
      </c>
      <c r="B77" t="s">
        <v>86</v>
      </c>
      <c r="C77" t="s">
        <v>86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4.5999999999999996</v>
      </c>
      <c r="AE77">
        <v>356</v>
      </c>
      <c r="AF77">
        <v>17.071047155357491</v>
      </c>
      <c r="AG77">
        <v>14.708876743569061</v>
      </c>
      <c r="AH77">
        <v>16.05150544124875</v>
      </c>
      <c r="AI77">
        <f>16.1797678130181*1</f>
        <v>16.179767813018099</v>
      </c>
      <c r="AJ77">
        <f>3.58257822345236*1</f>
        <v>3.58257822345236</v>
      </c>
      <c r="AK77">
        <v>1</v>
      </c>
      <c r="AL77">
        <v>0</v>
      </c>
      <c r="AM77">
        <v>0</v>
      </c>
    </row>
    <row r="78" spans="1:39" hidden="1" x14ac:dyDescent="0.2">
      <c r="A78" t="s">
        <v>202</v>
      </c>
      <c r="B78" t="s">
        <v>203</v>
      </c>
      <c r="C78" t="s">
        <v>203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361</v>
      </c>
      <c r="AF78">
        <v>11.626490709380841</v>
      </c>
      <c r="AG78">
        <v>13.36843059979504</v>
      </c>
      <c r="AH78">
        <v>10.42126914146888</v>
      </c>
      <c r="AI78">
        <f>13.1744956223595*1</f>
        <v>13.174495622359499</v>
      </c>
      <c r="AJ78">
        <f>2.77223591197133*1</f>
        <v>2.7722359119713298</v>
      </c>
      <c r="AK78">
        <v>1</v>
      </c>
      <c r="AL78">
        <v>0</v>
      </c>
      <c r="AM78">
        <v>0</v>
      </c>
    </row>
    <row r="79" spans="1:39" hidden="1" x14ac:dyDescent="0.2">
      <c r="A79" t="s">
        <v>204</v>
      </c>
      <c r="B79" t="s">
        <v>205</v>
      </c>
      <c r="C79" t="s">
        <v>205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5.7</v>
      </c>
      <c r="AE79">
        <v>367</v>
      </c>
      <c r="AF79">
        <v>16.766948018001699</v>
      </c>
      <c r="AG79">
        <v>26.526861718289169</v>
      </c>
      <c r="AH79">
        <v>26.18424553085498</v>
      </c>
      <c r="AI79">
        <f>15.7738753967588*1</f>
        <v>15.7738753967588</v>
      </c>
      <c r="AJ79">
        <f>3.3582523619912*1</f>
        <v>3.3582523619911999</v>
      </c>
      <c r="AK79">
        <v>1</v>
      </c>
      <c r="AL79">
        <v>0</v>
      </c>
      <c r="AM79">
        <v>0</v>
      </c>
    </row>
    <row r="80" spans="1:39" hidden="1" x14ac:dyDescent="0.2">
      <c r="A80" t="s">
        <v>206</v>
      </c>
      <c r="B80" t="s">
        <v>207</v>
      </c>
      <c r="C80" t="s">
        <v>207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</v>
      </c>
      <c r="AE80">
        <v>370</v>
      </c>
      <c r="AF80">
        <v>9.3466243963165869</v>
      </c>
      <c r="AG80">
        <v>8.5312150336361867</v>
      </c>
      <c r="AH80">
        <v>9.2744121102651693</v>
      </c>
      <c r="AI80">
        <f>10.9719283583628*1</f>
        <v>10.971928358362799</v>
      </c>
      <c r="AJ80">
        <f>2.32557561512823*1</f>
        <v>2.3255756151282299</v>
      </c>
      <c r="AK80">
        <v>1</v>
      </c>
      <c r="AL80">
        <v>0</v>
      </c>
      <c r="AM80">
        <v>0</v>
      </c>
    </row>
    <row r="81" spans="1:39" x14ac:dyDescent="0.2">
      <c r="A81" t="s">
        <v>306</v>
      </c>
      <c r="B81" t="s">
        <v>307</v>
      </c>
      <c r="C81" t="s">
        <v>307</v>
      </c>
      <c r="D81" t="s">
        <v>6</v>
      </c>
      <c r="E81">
        <v>0</v>
      </c>
      <c r="F81">
        <v>0</v>
      </c>
      <c r="G81">
        <v>0</v>
      </c>
      <c r="H81">
        <v>1</v>
      </c>
      <c r="I81" t="s">
        <v>26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6.5</v>
      </c>
      <c r="AE81">
        <v>527</v>
      </c>
      <c r="AF81">
        <v>19.43597540926169</v>
      </c>
      <c r="AG81">
        <v>16.599851890459071</v>
      </c>
      <c r="AH81">
        <v>47.662237014286831</v>
      </c>
      <c r="AI81">
        <f>22.5218782278569*1</f>
        <v>22.521878227856899</v>
      </c>
      <c r="AJ81">
        <f>4.43563315724538*1</f>
        <v>4.4356331572453804</v>
      </c>
      <c r="AK81">
        <v>1</v>
      </c>
      <c r="AL81">
        <v>1</v>
      </c>
      <c r="AM81">
        <v>1</v>
      </c>
    </row>
    <row r="82" spans="1:39" hidden="1" x14ac:dyDescent="0.2">
      <c r="A82" t="s">
        <v>210</v>
      </c>
      <c r="B82" t="s">
        <v>211</v>
      </c>
      <c r="C82" t="s">
        <v>210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7.1</v>
      </c>
      <c r="AE82">
        <v>381</v>
      </c>
      <c r="AF82">
        <v>17.7536231884058</v>
      </c>
      <c r="AG82">
        <v>21.725952504205761</v>
      </c>
      <c r="AH82">
        <v>6.9881512533447534</v>
      </c>
      <c r="AI82">
        <f>7.54824823235744*1</f>
        <v>7.54824823235744</v>
      </c>
      <c r="AJ82">
        <f>1.35485279818674*1</f>
        <v>1.35485279818674</v>
      </c>
      <c r="AK82">
        <v>1</v>
      </c>
      <c r="AL82">
        <v>0</v>
      </c>
      <c r="AM82">
        <v>0</v>
      </c>
    </row>
    <row r="83" spans="1:39" hidden="1" x14ac:dyDescent="0.2">
      <c r="A83" t="s">
        <v>212</v>
      </c>
      <c r="B83" t="s">
        <v>213</v>
      </c>
      <c r="C83" t="s">
        <v>214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7.3</v>
      </c>
      <c r="AE83">
        <v>382</v>
      </c>
      <c r="AF83">
        <v>22.7659574468085</v>
      </c>
      <c r="AG83">
        <v>17.654773639377758</v>
      </c>
      <c r="AH83">
        <v>35.439731657231661</v>
      </c>
      <c r="AI83">
        <f>15.1650827731344*1</f>
        <v>15.165082773134399</v>
      </c>
      <c r="AJ83">
        <f>2.86049614949396*1</f>
        <v>2.8604961494939598</v>
      </c>
      <c r="AK83">
        <v>1</v>
      </c>
      <c r="AL83">
        <v>0</v>
      </c>
      <c r="AM83">
        <v>0</v>
      </c>
    </row>
    <row r="84" spans="1:39" hidden="1" x14ac:dyDescent="0.2">
      <c r="A84" t="s">
        <v>215</v>
      </c>
      <c r="B84" t="s">
        <v>216</v>
      </c>
      <c r="C84" t="s">
        <v>216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7.1</v>
      </c>
      <c r="AE84">
        <v>386</v>
      </c>
      <c r="AF84">
        <v>15.564516129032249</v>
      </c>
      <c r="AG84">
        <v>15.33704577805339</v>
      </c>
      <c r="AH84">
        <v>14.68095776087695</v>
      </c>
      <c r="AI84">
        <f>9.74367830794683*1</f>
        <v>9.7436783079468299</v>
      </c>
      <c r="AJ84">
        <f>1.98154382923887*1</f>
        <v>1.9815438292388701</v>
      </c>
      <c r="AK84">
        <v>1</v>
      </c>
      <c r="AL84">
        <v>0</v>
      </c>
      <c r="AM84">
        <v>0</v>
      </c>
    </row>
    <row r="85" spans="1:39" hidden="1" x14ac:dyDescent="0.2">
      <c r="A85" t="s">
        <v>80</v>
      </c>
      <c r="B85" t="s">
        <v>217</v>
      </c>
      <c r="C85" t="s">
        <v>217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388</v>
      </c>
      <c r="AF85">
        <v>9.7142857142857153</v>
      </c>
      <c r="AG85">
        <v>8.8581780504311887</v>
      </c>
      <c r="AH85">
        <v>13.82657542763582</v>
      </c>
      <c r="AI85">
        <f>9.71613650885572*1</f>
        <v>9.7161365088557208</v>
      </c>
      <c r="AJ85">
        <f>1.90757246913729*1</f>
        <v>1.9075724691372899</v>
      </c>
      <c r="AK85">
        <v>1</v>
      </c>
      <c r="AL85">
        <v>0</v>
      </c>
      <c r="AM85">
        <v>0</v>
      </c>
    </row>
    <row r="86" spans="1:39" hidden="1" x14ac:dyDescent="0.2">
      <c r="A86" t="s">
        <v>218</v>
      </c>
      <c r="B86" t="s">
        <v>219</v>
      </c>
      <c r="C86" t="s">
        <v>219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389</v>
      </c>
      <c r="AF86">
        <v>11.27777777777777</v>
      </c>
      <c r="AG86">
        <v>9.6051800446408357</v>
      </c>
      <c r="AH86">
        <v>12.53333333333333</v>
      </c>
      <c r="AI86">
        <f>13.8514443293386*1</f>
        <v>13.8514443293386</v>
      </c>
      <c r="AJ86">
        <f>2.80218769155673*1</f>
        <v>2.8021876915567301</v>
      </c>
      <c r="AK86">
        <v>1</v>
      </c>
      <c r="AL86">
        <v>0</v>
      </c>
      <c r="AM86">
        <v>0</v>
      </c>
    </row>
    <row r="87" spans="1:39" hidden="1" x14ac:dyDescent="0.2">
      <c r="A87" t="s">
        <v>220</v>
      </c>
      <c r="B87" t="s">
        <v>221</v>
      </c>
      <c r="C87" t="s">
        <v>221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5.3</v>
      </c>
      <c r="AE87">
        <v>391</v>
      </c>
      <c r="AF87">
        <v>15.08474576271186</v>
      </c>
      <c r="AG87">
        <v>14.85006472182701</v>
      </c>
      <c r="AH87">
        <v>8.8357443622062295</v>
      </c>
      <c r="AI87">
        <f>18.4318551468988*1</f>
        <v>18.431855146898801</v>
      </c>
      <c r="AJ87">
        <f>3.97179566141431*1</f>
        <v>3.9717956614143102</v>
      </c>
      <c r="AK87">
        <v>1</v>
      </c>
      <c r="AL87">
        <v>0</v>
      </c>
      <c r="AM87">
        <v>0</v>
      </c>
    </row>
    <row r="88" spans="1:39" x14ac:dyDescent="0.2">
      <c r="A88" t="s">
        <v>248</v>
      </c>
      <c r="B88" t="s">
        <v>249</v>
      </c>
      <c r="C88" t="s">
        <v>249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421</v>
      </c>
      <c r="AF88">
        <v>25.638184340477281</v>
      </c>
      <c r="AG88">
        <v>11.09056484813869</v>
      </c>
      <c r="AH88">
        <v>20.540821298864699</v>
      </c>
      <c r="AI88">
        <f>16.6108476202138*1</f>
        <v>16.6108476202138</v>
      </c>
      <c r="AJ88">
        <f>3.7442427439616*1</f>
        <v>3.7442427439616002</v>
      </c>
      <c r="AK88">
        <v>1</v>
      </c>
      <c r="AL88">
        <v>1</v>
      </c>
      <c r="AM88">
        <v>1</v>
      </c>
    </row>
    <row r="89" spans="1:39" hidden="1" x14ac:dyDescent="0.2">
      <c r="A89" t="s">
        <v>225</v>
      </c>
      <c r="B89" t="s">
        <v>226</v>
      </c>
      <c r="C89" t="s">
        <v>227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12.8</v>
      </c>
      <c r="AE89">
        <v>393</v>
      </c>
      <c r="AF89">
        <v>34.718309859154928</v>
      </c>
      <c r="AG89">
        <v>35.238466529100798</v>
      </c>
      <c r="AH89">
        <v>55.615660400866382</v>
      </c>
      <c r="AI89">
        <f>29.7491285832833*1</f>
        <v>29.749128583283301</v>
      </c>
      <c r="AJ89">
        <f>6.00504990581393*1</f>
        <v>6.0050499058139302</v>
      </c>
      <c r="AK89">
        <v>1</v>
      </c>
      <c r="AL89">
        <v>0</v>
      </c>
      <c r="AM89">
        <v>0</v>
      </c>
    </row>
    <row r="90" spans="1:39" x14ac:dyDescent="0.2">
      <c r="A90" t="s">
        <v>273</v>
      </c>
      <c r="B90" t="s">
        <v>274</v>
      </c>
      <c r="C90" t="s">
        <v>274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6.4</v>
      </c>
      <c r="AE90">
        <v>471</v>
      </c>
      <c r="AF90">
        <v>19.937164822774001</v>
      </c>
      <c r="AG90">
        <v>20.65217682493715</v>
      </c>
      <c r="AH90">
        <v>8.4062929003922928</v>
      </c>
      <c r="AI90">
        <f>18.4427535898762*1</f>
        <v>18.442753589876201</v>
      </c>
      <c r="AJ90">
        <f>3.63232885913778*1</f>
        <v>3.6323288591377798</v>
      </c>
      <c r="AK90">
        <v>1</v>
      </c>
      <c r="AL90">
        <v>1</v>
      </c>
      <c r="AM90">
        <v>1</v>
      </c>
    </row>
    <row r="91" spans="1:39" hidden="1" x14ac:dyDescent="0.2">
      <c r="A91" t="s">
        <v>230</v>
      </c>
      <c r="B91" t="s">
        <v>231</v>
      </c>
      <c r="C91" t="s">
        <v>230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6.2</v>
      </c>
      <c r="AE91">
        <v>403</v>
      </c>
      <c r="AF91">
        <v>23.027027027027032</v>
      </c>
      <c r="AG91">
        <v>22.4865041530715</v>
      </c>
      <c r="AH91">
        <v>26.52091868693665</v>
      </c>
      <c r="AI91">
        <f>20.4745067714601*1</f>
        <v>20.474506771460099</v>
      </c>
      <c r="AJ91">
        <f>3.37403696746884*1</f>
        <v>3.37403696746884</v>
      </c>
      <c r="AK91">
        <v>1</v>
      </c>
      <c r="AL91">
        <v>0</v>
      </c>
      <c r="AM91">
        <v>0</v>
      </c>
    </row>
    <row r="92" spans="1:39" hidden="1" x14ac:dyDescent="0.2">
      <c r="A92" t="s">
        <v>232</v>
      </c>
      <c r="B92" t="s">
        <v>233</v>
      </c>
      <c r="C92" t="s">
        <v>233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5.5</v>
      </c>
      <c r="AE92">
        <v>407</v>
      </c>
      <c r="AF92">
        <v>16.269841269841269</v>
      </c>
      <c r="AG92">
        <v>19.374592989585739</v>
      </c>
      <c r="AH92">
        <v>17.957398212047231</v>
      </c>
      <c r="AI92">
        <f>10.6611944726772*1</f>
        <v>10.661194472677201</v>
      </c>
      <c r="AJ92">
        <f>1.93520202186084*1</f>
        <v>1.9352020218608399</v>
      </c>
      <c r="AK92">
        <v>1</v>
      </c>
      <c r="AL92">
        <v>0</v>
      </c>
      <c r="AM92">
        <v>0</v>
      </c>
    </row>
    <row r="93" spans="1:39" hidden="1" x14ac:dyDescent="0.2">
      <c r="A93" t="s">
        <v>234</v>
      </c>
      <c r="B93" t="s">
        <v>235</v>
      </c>
      <c r="C93" t="s">
        <v>234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6.5</v>
      </c>
      <c r="AE93">
        <v>409</v>
      </c>
      <c r="AF93">
        <v>18.263888888888879</v>
      </c>
      <c r="AG93">
        <v>20.513355884422751</v>
      </c>
      <c r="AH93">
        <v>9.1076923076923073</v>
      </c>
      <c r="AI93">
        <f>7.85293183992648*1</f>
        <v>7.8529318399264803</v>
      </c>
      <c r="AJ93">
        <f>1.49407299298385*1</f>
        <v>1.4940729929838501</v>
      </c>
      <c r="AK93">
        <v>1</v>
      </c>
      <c r="AL93">
        <v>0</v>
      </c>
      <c r="AM93">
        <v>0</v>
      </c>
    </row>
    <row r="94" spans="1:39" hidden="1" x14ac:dyDescent="0.2">
      <c r="A94" t="s">
        <v>236</v>
      </c>
      <c r="B94" t="s">
        <v>237</v>
      </c>
      <c r="C94" t="s">
        <v>237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6.3</v>
      </c>
      <c r="AE94">
        <v>413</v>
      </c>
      <c r="AF94">
        <v>16.714285714285712</v>
      </c>
      <c r="AG94">
        <v>23.863852245244068</v>
      </c>
      <c r="AH94">
        <v>20.64</v>
      </c>
      <c r="AI94">
        <f>14.6898187440696*1</f>
        <v>14.6898187440696</v>
      </c>
      <c r="AJ94">
        <f>2.9346364323352*1</f>
        <v>2.9346364323351999</v>
      </c>
      <c r="AK94">
        <v>1</v>
      </c>
      <c r="AL94">
        <v>0</v>
      </c>
      <c r="AM94">
        <v>0</v>
      </c>
    </row>
    <row r="95" spans="1:39" hidden="1" x14ac:dyDescent="0.2">
      <c r="A95" t="s">
        <v>238</v>
      </c>
      <c r="B95" t="s">
        <v>239</v>
      </c>
      <c r="C95" t="s">
        <v>240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414</v>
      </c>
      <c r="AF95">
        <v>19.31279620853082</v>
      </c>
      <c r="AG95">
        <v>20.383167147754111</v>
      </c>
      <c r="AH95">
        <v>12.461992709879929</v>
      </c>
      <c r="AI95">
        <f>8.30282159686435*1</f>
        <v>8.3028215968643497</v>
      </c>
      <c r="AJ95">
        <f>1.64351237398897*1</f>
        <v>1.6435123739889701</v>
      </c>
      <c r="AK95">
        <v>1</v>
      </c>
      <c r="AL95">
        <v>0</v>
      </c>
      <c r="AM95">
        <v>0</v>
      </c>
    </row>
    <row r="96" spans="1:39" hidden="1" x14ac:dyDescent="0.2">
      <c r="A96" t="s">
        <v>241</v>
      </c>
      <c r="B96" t="s">
        <v>242</v>
      </c>
      <c r="C96" t="s">
        <v>242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9.3000000000000007</v>
      </c>
      <c r="AE96">
        <v>415</v>
      </c>
      <c r="AF96">
        <v>28.364681796261539</v>
      </c>
      <c r="AG96">
        <v>19.788879108879801</v>
      </c>
      <c r="AH96">
        <v>27.342178481762222</v>
      </c>
      <c r="AI96">
        <f>5.26805422751026*1</f>
        <v>5.2680542275102598</v>
      </c>
      <c r="AJ96">
        <f>0.972028335991008*1</f>
        <v>0.97202833599100802</v>
      </c>
      <c r="AK96">
        <v>1</v>
      </c>
      <c r="AL96">
        <v>0</v>
      </c>
      <c r="AM96">
        <v>0</v>
      </c>
    </row>
    <row r="97" spans="1:39" hidden="1" x14ac:dyDescent="0.2">
      <c r="A97" t="s">
        <v>123</v>
      </c>
      <c r="B97" t="s">
        <v>243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6.4</v>
      </c>
      <c r="AE97">
        <v>416</v>
      </c>
      <c r="AF97">
        <v>18.878010823123191</v>
      </c>
      <c r="AG97">
        <v>17.617985026303131</v>
      </c>
      <c r="AH97">
        <v>11.660766707549691</v>
      </c>
      <c r="AI97">
        <f>8.3428423984355*1</f>
        <v>8.3428423984355007</v>
      </c>
      <c r="AJ97">
        <f>1.7866672016518*1</f>
        <v>1.7866672016517999</v>
      </c>
      <c r="AK97">
        <v>1</v>
      </c>
      <c r="AL97">
        <v>0</v>
      </c>
      <c r="AM97">
        <v>0</v>
      </c>
    </row>
    <row r="98" spans="1:39" hidden="1" x14ac:dyDescent="0.2">
      <c r="A98" t="s">
        <v>244</v>
      </c>
      <c r="B98" t="s">
        <v>245</v>
      </c>
      <c r="C98" t="s">
        <v>245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6.3</v>
      </c>
      <c r="AE98">
        <v>417</v>
      </c>
      <c r="AF98">
        <v>20.405405405405421</v>
      </c>
      <c r="AG98">
        <v>23.58983593317112</v>
      </c>
      <c r="AH98">
        <v>35.039586437272369</v>
      </c>
      <c r="AI98">
        <f>15.7856764005682*1</f>
        <v>15.7856764005682</v>
      </c>
      <c r="AJ98">
        <f>3.20783500231927*1</f>
        <v>3.2078350023192699</v>
      </c>
      <c r="AK98">
        <v>1</v>
      </c>
      <c r="AL98">
        <v>0</v>
      </c>
      <c r="AM98">
        <v>0</v>
      </c>
    </row>
    <row r="99" spans="1:39" hidden="1" x14ac:dyDescent="0.2">
      <c r="A99" t="s">
        <v>246</v>
      </c>
      <c r="B99" t="s">
        <v>247</v>
      </c>
      <c r="C99" t="s">
        <v>247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15.3</v>
      </c>
      <c r="AE99">
        <v>418</v>
      </c>
      <c r="AF99">
        <v>39.071428571428562</v>
      </c>
      <c r="AG99">
        <v>38.948120421388332</v>
      </c>
      <c r="AH99">
        <v>26.035555555555561</v>
      </c>
      <c r="AI99">
        <f>28.7238432585153*1</f>
        <v>28.723843258515299</v>
      </c>
      <c r="AJ99">
        <f>5.58207065193556*1</f>
        <v>5.5820706519355596</v>
      </c>
      <c r="AK99">
        <v>1</v>
      </c>
      <c r="AL99">
        <v>0</v>
      </c>
      <c r="AM99">
        <v>0</v>
      </c>
    </row>
    <row r="100" spans="1:39" x14ac:dyDescent="0.2">
      <c r="A100" t="s">
        <v>109</v>
      </c>
      <c r="B100" t="s">
        <v>110</v>
      </c>
      <c r="C100" t="s">
        <v>110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14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7.9</v>
      </c>
      <c r="AE100">
        <v>113</v>
      </c>
      <c r="AF100">
        <v>28.526450591154848</v>
      </c>
      <c r="AG100">
        <v>20.302964690042661</v>
      </c>
      <c r="AH100">
        <v>49.345524497518298</v>
      </c>
      <c r="AI100">
        <f>19.6886196793542*1</f>
        <v>19.688619679354201</v>
      </c>
      <c r="AJ100">
        <f>3.44300029456593*1</f>
        <v>3.4430002945659299</v>
      </c>
      <c r="AK100">
        <v>1</v>
      </c>
      <c r="AL100">
        <v>1</v>
      </c>
      <c r="AM100">
        <v>1</v>
      </c>
    </row>
    <row r="101" spans="1:39" hidden="1" x14ac:dyDescent="0.2">
      <c r="A101" t="s">
        <v>250</v>
      </c>
      <c r="B101" t="s">
        <v>82</v>
      </c>
      <c r="C101" t="s">
        <v>82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422</v>
      </c>
      <c r="AF101">
        <v>15.35507093858163</v>
      </c>
      <c r="AG101">
        <v>17.506974553755409</v>
      </c>
      <c r="AH101">
        <v>18.151229277843711</v>
      </c>
      <c r="AI101">
        <f>11.8797655944242*1</f>
        <v>11.8797655944242</v>
      </c>
      <c r="AJ101">
        <f>2.01294088321332*1</f>
        <v>2.0129408832133202</v>
      </c>
      <c r="AK101">
        <v>1</v>
      </c>
      <c r="AL101">
        <v>0</v>
      </c>
      <c r="AM101">
        <v>0</v>
      </c>
    </row>
    <row r="102" spans="1:39" hidden="1" x14ac:dyDescent="0.2">
      <c r="A102" t="s">
        <v>251</v>
      </c>
      <c r="B102" t="s">
        <v>252</v>
      </c>
      <c r="C102" t="s">
        <v>253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423</v>
      </c>
      <c r="AF102">
        <v>10.9322033898305</v>
      </c>
      <c r="AG102">
        <v>13.10761076342351</v>
      </c>
      <c r="AH102">
        <v>9.6203471427886704</v>
      </c>
      <c r="AI102">
        <f>9.30220299354844*1</f>
        <v>9.3022029935484394</v>
      </c>
      <c r="AJ102">
        <f>1.85749835932864*1</f>
        <v>1.85749835932864</v>
      </c>
      <c r="AK102">
        <v>1</v>
      </c>
      <c r="AL102">
        <v>0</v>
      </c>
      <c r="AM102">
        <v>0</v>
      </c>
    </row>
    <row r="103" spans="1:39" hidden="1" x14ac:dyDescent="0.2">
      <c r="A103" t="s">
        <v>254</v>
      </c>
      <c r="B103" t="s">
        <v>255</v>
      </c>
      <c r="C103" t="s">
        <v>254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427</v>
      </c>
      <c r="AF103">
        <v>14.50819672131148</v>
      </c>
      <c r="AG103">
        <v>18.260308298916939</v>
      </c>
      <c r="AH103">
        <v>19.574999999999999</v>
      </c>
      <c r="AI103">
        <f>6.69458089404728*1</f>
        <v>6.69458089404728</v>
      </c>
      <c r="AJ103">
        <f>1.23918657400021*1</f>
        <v>1.2391865740002099</v>
      </c>
      <c r="AK103">
        <v>1</v>
      </c>
      <c r="AL103">
        <v>0</v>
      </c>
      <c r="AM103">
        <v>0</v>
      </c>
    </row>
    <row r="104" spans="1:39" hidden="1" x14ac:dyDescent="0.2">
      <c r="A104" t="s">
        <v>256</v>
      </c>
      <c r="B104" t="s">
        <v>257</v>
      </c>
      <c r="C104" t="s">
        <v>257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6.5</v>
      </c>
      <c r="AE104">
        <v>432</v>
      </c>
      <c r="AF104">
        <v>18.52725336381517</v>
      </c>
      <c r="AG104">
        <v>16.57566096663404</v>
      </c>
      <c r="AH104">
        <v>12.83451293978486</v>
      </c>
      <c r="AI104">
        <f>3.44389812424624*1</f>
        <v>3.4438981242462399</v>
      </c>
      <c r="AJ104">
        <f>0.662703322041039*1</f>
        <v>0.66270332204103899</v>
      </c>
      <c r="AK104">
        <v>1</v>
      </c>
      <c r="AL104">
        <v>0</v>
      </c>
      <c r="AM104">
        <v>0</v>
      </c>
    </row>
    <row r="105" spans="1:39" hidden="1" x14ac:dyDescent="0.2">
      <c r="A105" t="s">
        <v>258</v>
      </c>
      <c r="B105" t="s">
        <v>259</v>
      </c>
      <c r="C105" t="s">
        <v>258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4.9000000000000004</v>
      </c>
      <c r="AE105">
        <v>436</v>
      </c>
      <c r="AF105">
        <v>0</v>
      </c>
      <c r="AG105">
        <v>0</v>
      </c>
      <c r="AH105">
        <v>0</v>
      </c>
      <c r="AI105">
        <f>0*1</f>
        <v>0</v>
      </c>
      <c r="AJ105">
        <f>0*1</f>
        <v>0</v>
      </c>
      <c r="AK105">
        <v>1</v>
      </c>
      <c r="AL105">
        <v>0</v>
      </c>
      <c r="AM105">
        <v>0</v>
      </c>
    </row>
    <row r="106" spans="1:39" hidden="1" x14ac:dyDescent="0.2">
      <c r="A106" t="s">
        <v>260</v>
      </c>
      <c r="B106" t="s">
        <v>261</v>
      </c>
      <c r="C106" t="s">
        <v>262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8.1999999999999993</v>
      </c>
      <c r="AE106">
        <v>438</v>
      </c>
      <c r="AF106">
        <v>22.077922077922079</v>
      </c>
      <c r="AG106">
        <v>17.934924219028019</v>
      </c>
      <c r="AH106">
        <v>33.490909090909092</v>
      </c>
      <c r="AI106">
        <f>10.8304101075097*1</f>
        <v>10.830410107509699</v>
      </c>
      <c r="AJ106">
        <f>1.76462915900249*1</f>
        <v>1.7646291590024901</v>
      </c>
      <c r="AK106">
        <v>1</v>
      </c>
      <c r="AL106">
        <v>0</v>
      </c>
      <c r="AM106">
        <v>0</v>
      </c>
    </row>
    <row r="107" spans="1:39" hidden="1" x14ac:dyDescent="0.2">
      <c r="A107" t="s">
        <v>263</v>
      </c>
      <c r="B107" t="s">
        <v>264</v>
      </c>
      <c r="C107" t="s">
        <v>265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</v>
      </c>
      <c r="AE107">
        <v>440</v>
      </c>
      <c r="AF107">
        <v>12.67241379310345</v>
      </c>
      <c r="AG107">
        <v>13.47888781341034</v>
      </c>
      <c r="AH107">
        <v>14.206213086177989</v>
      </c>
      <c r="AI107">
        <f>11.6592104462272*1</f>
        <v>11.659210446227201</v>
      </c>
      <c r="AJ107">
        <f>2.35460590990419*1</f>
        <v>2.3546059099041901</v>
      </c>
      <c r="AK107">
        <v>1</v>
      </c>
      <c r="AL107">
        <v>0</v>
      </c>
      <c r="AM107">
        <v>0</v>
      </c>
    </row>
    <row r="108" spans="1:39" x14ac:dyDescent="0.2">
      <c r="A108" t="s">
        <v>132</v>
      </c>
      <c r="B108" t="s">
        <v>133</v>
      </c>
      <c r="C108" t="s">
        <v>133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15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5.9</v>
      </c>
      <c r="AE108">
        <v>168</v>
      </c>
      <c r="AF108">
        <v>16.567465948162109</v>
      </c>
      <c r="AG108">
        <v>15.19117206635948</v>
      </c>
      <c r="AH108">
        <v>32.4</v>
      </c>
      <c r="AI108">
        <f>14.928097935891*1</f>
        <v>14.928097935891</v>
      </c>
      <c r="AJ108">
        <f>3.40270554667854*1</f>
        <v>3.4027055466785399</v>
      </c>
      <c r="AK108">
        <v>1</v>
      </c>
      <c r="AL108">
        <v>1</v>
      </c>
      <c r="AM108">
        <v>1</v>
      </c>
    </row>
    <row r="109" spans="1:39" hidden="1" x14ac:dyDescent="0.2">
      <c r="A109" t="s">
        <v>268</v>
      </c>
      <c r="B109" t="s">
        <v>269</v>
      </c>
      <c r="C109" t="s">
        <v>269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6.3</v>
      </c>
      <c r="AE109">
        <v>444</v>
      </c>
      <c r="AF109">
        <v>19.182932366709149</v>
      </c>
      <c r="AG109">
        <v>17.361794097285649</v>
      </c>
      <c r="AH109">
        <v>18.2</v>
      </c>
      <c r="AI109">
        <f>18.3803933552022*1</f>
        <v>18.380393355202202</v>
      </c>
      <c r="AJ109">
        <f>3.8803830105739*1</f>
        <v>3.8803830105739001</v>
      </c>
      <c r="AK109">
        <v>1</v>
      </c>
      <c r="AL109">
        <v>0</v>
      </c>
      <c r="AM109">
        <v>0</v>
      </c>
    </row>
    <row r="110" spans="1:39" x14ac:dyDescent="0.2">
      <c r="A110" t="s">
        <v>45</v>
      </c>
      <c r="B110" t="s">
        <v>46</v>
      </c>
      <c r="C110" t="s">
        <v>45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6.2</v>
      </c>
      <c r="AE110">
        <v>2</v>
      </c>
      <c r="AF110">
        <v>19.287260988735291</v>
      </c>
      <c r="AG110">
        <v>19.504723240551311</v>
      </c>
      <c r="AH110">
        <v>8.4246070642527471</v>
      </c>
      <c r="AI110">
        <f>15.2130954215836*1</f>
        <v>15.213095421583599</v>
      </c>
      <c r="AJ110">
        <f>3.18315669208093*1</f>
        <v>3.1831566920809302</v>
      </c>
      <c r="AK110">
        <v>1</v>
      </c>
      <c r="AL110">
        <v>1</v>
      </c>
      <c r="AM110">
        <v>1</v>
      </c>
    </row>
    <row r="111" spans="1:39" hidden="1" x14ac:dyDescent="0.2">
      <c r="A111" t="s">
        <v>95</v>
      </c>
      <c r="B111" t="s">
        <v>272</v>
      </c>
      <c r="C111" t="s">
        <v>272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6.9</v>
      </c>
      <c r="AE111">
        <v>457</v>
      </c>
      <c r="AF111">
        <v>20.899805399002059</v>
      </c>
      <c r="AG111">
        <v>23.46288692817205</v>
      </c>
      <c r="AH111">
        <v>12.0172222701456</v>
      </c>
      <c r="AI111">
        <f>13.1701016849045*1</f>
        <v>13.1701016849045</v>
      </c>
      <c r="AJ111">
        <f>2.58877064300236*1</f>
        <v>2.58877064300236</v>
      </c>
      <c r="AK111">
        <v>1</v>
      </c>
      <c r="AL111">
        <v>0</v>
      </c>
      <c r="AM111">
        <v>0</v>
      </c>
    </row>
    <row r="112" spans="1:39" x14ac:dyDescent="0.2">
      <c r="A112" t="s">
        <v>208</v>
      </c>
      <c r="B112" t="s">
        <v>209</v>
      </c>
      <c r="C112" t="s">
        <v>209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>
        <v>377</v>
      </c>
      <c r="AF112">
        <v>25.31776414025494</v>
      </c>
      <c r="AG112">
        <v>29.547714089749022</v>
      </c>
      <c r="AH112">
        <v>15.908741223195999</v>
      </c>
      <c r="AI112">
        <f>15.5545675496582*1</f>
        <v>15.5545675496582</v>
      </c>
      <c r="AJ112">
        <f>2.9892734485628*1</f>
        <v>2.9892734485628001</v>
      </c>
      <c r="AK112">
        <v>1</v>
      </c>
      <c r="AL112">
        <v>1</v>
      </c>
      <c r="AM112">
        <v>1</v>
      </c>
    </row>
    <row r="113" spans="1:39" hidden="1" x14ac:dyDescent="0.2">
      <c r="A113" t="s">
        <v>260</v>
      </c>
      <c r="B113" t="s">
        <v>275</v>
      </c>
      <c r="C113" t="s">
        <v>276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473</v>
      </c>
      <c r="AF113">
        <v>18.388888888888889</v>
      </c>
      <c r="AG113">
        <v>15.944118817836459</v>
      </c>
      <c r="AH113">
        <v>16.962709745874541</v>
      </c>
      <c r="AI113">
        <f>6.58294468716487*1</f>
        <v>6.5829446871648702</v>
      </c>
      <c r="AJ113">
        <f>1.32562009812707*1</f>
        <v>1.32562009812707</v>
      </c>
      <c r="AK113">
        <v>1</v>
      </c>
      <c r="AL113">
        <v>0</v>
      </c>
      <c r="AM113">
        <v>0</v>
      </c>
    </row>
    <row r="114" spans="1:39" hidden="1" x14ac:dyDescent="0.2">
      <c r="A114" t="s">
        <v>277</v>
      </c>
      <c r="B114" t="s">
        <v>278</v>
      </c>
      <c r="C114" t="s">
        <v>278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4.4000000000000004</v>
      </c>
      <c r="AE114">
        <v>474</v>
      </c>
      <c r="AF114">
        <v>14.498095312984921</v>
      </c>
      <c r="AG114">
        <v>14.7342819490369</v>
      </c>
      <c r="AH114">
        <v>21.14614707758459</v>
      </c>
      <c r="AI114">
        <f>9.49243796663505*1</f>
        <v>9.49243796663505</v>
      </c>
      <c r="AJ114">
        <f>1.7107534321318*1</f>
        <v>1.7107534321318001</v>
      </c>
      <c r="AK114">
        <v>1</v>
      </c>
      <c r="AL114">
        <v>0</v>
      </c>
      <c r="AM114">
        <v>0</v>
      </c>
    </row>
    <row r="115" spans="1:39" hidden="1" x14ac:dyDescent="0.2">
      <c r="A115" t="s">
        <v>279</v>
      </c>
      <c r="B115" t="s">
        <v>280</v>
      </c>
      <c r="C115" t="s">
        <v>280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7.2</v>
      </c>
      <c r="AE115">
        <v>476</v>
      </c>
      <c r="AF115">
        <v>21.9323000419019</v>
      </c>
      <c r="AG115">
        <v>12.87992108859301</v>
      </c>
      <c r="AH115">
        <v>34.911444210656583</v>
      </c>
      <c r="AI115">
        <f>8.01193294889107*1</f>
        <v>8.0119329488910704</v>
      </c>
      <c r="AJ115">
        <f>1.76787190207842*1</f>
        <v>1.7678719020784199</v>
      </c>
      <c r="AK115">
        <v>1</v>
      </c>
      <c r="AL115">
        <v>0</v>
      </c>
      <c r="AM115">
        <v>0</v>
      </c>
    </row>
    <row r="116" spans="1:39" hidden="1" x14ac:dyDescent="0.2">
      <c r="A116" t="s">
        <v>82</v>
      </c>
      <c r="B116" t="s">
        <v>281</v>
      </c>
      <c r="C116" t="s">
        <v>281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4.3</v>
      </c>
      <c r="AE116">
        <v>477</v>
      </c>
      <c r="AF116">
        <v>12.205882352941179</v>
      </c>
      <c r="AG116">
        <v>11.58431163623065</v>
      </c>
      <c r="AH116">
        <v>24.06666666666667</v>
      </c>
      <c r="AI116">
        <f>7.00703807986555*1</f>
        <v>7.0070380798655503</v>
      </c>
      <c r="AJ116">
        <f>1.3285863473976*1</f>
        <v>1.3285863473976001</v>
      </c>
      <c r="AK116">
        <v>1</v>
      </c>
      <c r="AL116">
        <v>0</v>
      </c>
      <c r="AM116">
        <v>0</v>
      </c>
    </row>
    <row r="117" spans="1:39" hidden="1" x14ac:dyDescent="0.2">
      <c r="A117" t="s">
        <v>282</v>
      </c>
      <c r="B117" t="s">
        <v>283</v>
      </c>
      <c r="C117" t="s">
        <v>283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8.3000000000000007</v>
      </c>
      <c r="AE117">
        <v>479</v>
      </c>
      <c r="AF117">
        <v>26.22807017543861</v>
      </c>
      <c r="AG117">
        <v>23.224790054147689</v>
      </c>
      <c r="AH117">
        <v>29.369362728173989</v>
      </c>
      <c r="AI117">
        <f>16.4506054383998*1</f>
        <v>16.450605438399801</v>
      </c>
      <c r="AJ117">
        <f>3.30898492356048*1</f>
        <v>3.3089849235604798</v>
      </c>
      <c r="AK117">
        <v>1</v>
      </c>
      <c r="AL117">
        <v>0</v>
      </c>
      <c r="AM117">
        <v>0</v>
      </c>
    </row>
    <row r="118" spans="1:39" hidden="1" x14ac:dyDescent="0.2">
      <c r="A118" t="s">
        <v>72</v>
      </c>
      <c r="B118" t="s">
        <v>284</v>
      </c>
      <c r="C118" t="s">
        <v>285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</v>
      </c>
      <c r="AE118">
        <v>480</v>
      </c>
      <c r="AF118">
        <v>12.17054263565892</v>
      </c>
      <c r="AG118">
        <v>8.4853215308971208</v>
      </c>
      <c r="AH118">
        <v>9.652038753605801</v>
      </c>
      <c r="AI118">
        <f>3.78799149193094*1</f>
        <v>3.7879914919309399</v>
      </c>
      <c r="AJ118">
        <f>0.737468665555558*1</f>
        <v>0.73746866555555801</v>
      </c>
      <c r="AK118">
        <v>1</v>
      </c>
      <c r="AL118">
        <v>0</v>
      </c>
      <c r="AM118">
        <v>0</v>
      </c>
    </row>
    <row r="119" spans="1:39" hidden="1" x14ac:dyDescent="0.2">
      <c r="A119" t="s">
        <v>286</v>
      </c>
      <c r="B119" t="s">
        <v>287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481</v>
      </c>
      <c r="AF119">
        <v>12.80864197530866</v>
      </c>
      <c r="AG119">
        <v>12.86870208937254</v>
      </c>
      <c r="AH119">
        <v>10.574999999999999</v>
      </c>
      <c r="AI119">
        <f>3.08257391239836*1</f>
        <v>3.08257391239836</v>
      </c>
      <c r="AJ119">
        <f>0.608235400484489*1</f>
        <v>0.60823540048448899</v>
      </c>
      <c r="AK119">
        <v>1</v>
      </c>
      <c r="AL119">
        <v>0</v>
      </c>
      <c r="AM119">
        <v>0</v>
      </c>
    </row>
    <row r="120" spans="1:39" hidden="1" x14ac:dyDescent="0.2">
      <c r="A120" t="s">
        <v>289</v>
      </c>
      <c r="B120" t="s">
        <v>290</v>
      </c>
      <c r="C120" t="s">
        <v>290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</v>
      </c>
      <c r="AE120">
        <v>487</v>
      </c>
      <c r="AF120">
        <v>10.575032065288941</v>
      </c>
      <c r="AG120">
        <v>11.53357811094028</v>
      </c>
      <c r="AH120">
        <v>10.963407837103571</v>
      </c>
      <c r="AI120">
        <f>7.7072488566277*1</f>
        <v>7.7072488566277002</v>
      </c>
      <c r="AJ120">
        <f>1.23245800295733*1</f>
        <v>1.23245800295733</v>
      </c>
      <c r="AK120">
        <v>1</v>
      </c>
      <c r="AL120">
        <v>0</v>
      </c>
      <c r="AM120">
        <v>0</v>
      </c>
    </row>
    <row r="121" spans="1:39" hidden="1" x14ac:dyDescent="0.2">
      <c r="A121" t="s">
        <v>291</v>
      </c>
      <c r="B121" t="s">
        <v>292</v>
      </c>
      <c r="C121" t="s">
        <v>292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491</v>
      </c>
      <c r="AF121">
        <v>20.573248407643309</v>
      </c>
      <c r="AG121">
        <v>21.004388726584772</v>
      </c>
      <c r="AH121">
        <v>17.650485064593951</v>
      </c>
      <c r="AI121">
        <f>12.4349272469358*1</f>
        <v>12.4349272469358</v>
      </c>
      <c r="AJ121">
        <f>2.29546474611672*1</f>
        <v>2.2954647461167199</v>
      </c>
      <c r="AK121">
        <v>1</v>
      </c>
      <c r="AL121">
        <v>0</v>
      </c>
      <c r="AM121">
        <v>0</v>
      </c>
    </row>
    <row r="122" spans="1:39" hidden="1" x14ac:dyDescent="0.2">
      <c r="A122" t="s">
        <v>293</v>
      </c>
      <c r="B122" t="s">
        <v>294</v>
      </c>
      <c r="C122" t="s">
        <v>294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493</v>
      </c>
      <c r="AF122">
        <v>14.91779515791535</v>
      </c>
      <c r="AG122">
        <v>18.684283964805221</v>
      </c>
      <c r="AH122">
        <v>12.708193265973691</v>
      </c>
      <c r="AI122">
        <f>10.7817957187281*1</f>
        <v>10.7817957187281</v>
      </c>
      <c r="AJ122">
        <f>2.10432950909189*1</f>
        <v>2.1043295090918899</v>
      </c>
      <c r="AK122">
        <v>1</v>
      </c>
      <c r="AL122">
        <v>0</v>
      </c>
      <c r="AM122">
        <v>0</v>
      </c>
    </row>
    <row r="123" spans="1:39" x14ac:dyDescent="0.2">
      <c r="A123" t="s">
        <v>270</v>
      </c>
      <c r="B123" t="s">
        <v>271</v>
      </c>
      <c r="C123" t="s">
        <v>271</v>
      </c>
      <c r="D123" t="s">
        <v>3</v>
      </c>
      <c r="E123">
        <v>1</v>
      </c>
      <c r="F123">
        <v>0</v>
      </c>
      <c r="G123">
        <v>0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</v>
      </c>
      <c r="AE123">
        <v>455</v>
      </c>
      <c r="AF123">
        <v>18.51063829787233</v>
      </c>
      <c r="AG123">
        <v>12.478357123751939</v>
      </c>
      <c r="AH123">
        <v>15.71259835930446</v>
      </c>
      <c r="AI123">
        <f>15.3907995558404*1</f>
        <v>15.390799555840401</v>
      </c>
      <c r="AJ123">
        <f>2.95462847423336*1</f>
        <v>2.9546284742333602</v>
      </c>
      <c r="AK123">
        <v>1</v>
      </c>
      <c r="AL123">
        <v>1</v>
      </c>
      <c r="AM123">
        <v>1</v>
      </c>
    </row>
    <row r="124" spans="1:39" hidden="1" x14ac:dyDescent="0.2">
      <c r="A124" t="s">
        <v>297</v>
      </c>
      <c r="B124" t="s">
        <v>298</v>
      </c>
      <c r="C124" t="s">
        <v>298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504</v>
      </c>
      <c r="AF124">
        <v>8.7961652222418572</v>
      </c>
      <c r="AG124">
        <v>7.3092429402655643</v>
      </c>
      <c r="AH124">
        <v>16.350000000000001</v>
      </c>
      <c r="AI124">
        <f>14.247824012556*1</f>
        <v>14.247824012556</v>
      </c>
      <c r="AJ124">
        <f>2.71138131977241*1</f>
        <v>2.7113813197724101</v>
      </c>
      <c r="AK124">
        <v>1</v>
      </c>
      <c r="AL124">
        <v>0</v>
      </c>
      <c r="AM124">
        <v>0</v>
      </c>
    </row>
    <row r="125" spans="1:39" hidden="1" x14ac:dyDescent="0.2">
      <c r="A125" t="s">
        <v>279</v>
      </c>
      <c r="B125" t="s">
        <v>299</v>
      </c>
      <c r="C125" t="s">
        <v>299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5.2</v>
      </c>
      <c r="AE125">
        <v>513</v>
      </c>
      <c r="AF125">
        <v>11.37105827524392</v>
      </c>
      <c r="AG125">
        <v>14.948481729248369</v>
      </c>
      <c r="AH125">
        <v>9.5661937968040913</v>
      </c>
      <c r="AI125">
        <f>6.46954879246416*1</f>
        <v>6.4695487924641597</v>
      </c>
      <c r="AJ125">
        <f>1.23272558401876*1</f>
        <v>1.2327255840187601</v>
      </c>
      <c r="AK125">
        <v>1</v>
      </c>
      <c r="AL125">
        <v>0</v>
      </c>
      <c r="AM125">
        <v>0</v>
      </c>
    </row>
    <row r="126" spans="1:39" hidden="1" x14ac:dyDescent="0.2">
      <c r="A126" t="s">
        <v>300</v>
      </c>
      <c r="B126" t="s">
        <v>301</v>
      </c>
      <c r="C126" t="s">
        <v>301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5.4</v>
      </c>
      <c r="AE126">
        <v>515</v>
      </c>
      <c r="AF126">
        <v>18.370328142505759</v>
      </c>
      <c r="AG126">
        <v>12.91386641910554</v>
      </c>
      <c r="AH126">
        <v>30.6</v>
      </c>
      <c r="AI126">
        <f>9.49392034842591*1</f>
        <v>9.4939203484259096</v>
      </c>
      <c r="AJ126">
        <f>1.6089412660865*1</f>
        <v>1.6089412660864999</v>
      </c>
      <c r="AK126">
        <v>1</v>
      </c>
      <c r="AL126">
        <v>0</v>
      </c>
      <c r="AM126">
        <v>0</v>
      </c>
    </row>
    <row r="127" spans="1:39" hidden="1" x14ac:dyDescent="0.2">
      <c r="A127" t="s">
        <v>302</v>
      </c>
      <c r="B127" t="s">
        <v>303</v>
      </c>
      <c r="C127" t="s">
        <v>302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4.5</v>
      </c>
      <c r="AE127">
        <v>517</v>
      </c>
      <c r="AF127">
        <v>11.3095238095238</v>
      </c>
      <c r="AG127">
        <v>10.60099634395713</v>
      </c>
      <c r="AH127">
        <v>25.8</v>
      </c>
      <c r="AI127">
        <f>24.4357588272257*1</f>
        <v>24.435758827225701</v>
      </c>
      <c r="AJ127">
        <f>4.75245278548791*1</f>
        <v>4.7524527854879102</v>
      </c>
      <c r="AK127">
        <v>1</v>
      </c>
      <c r="AL127">
        <v>0</v>
      </c>
      <c r="AM127">
        <v>0</v>
      </c>
    </row>
    <row r="128" spans="1:39" x14ac:dyDescent="0.2">
      <c r="A128" t="s">
        <v>228</v>
      </c>
      <c r="B128" t="s">
        <v>229</v>
      </c>
      <c r="C128" t="s">
        <v>229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5.9</v>
      </c>
      <c r="AE128">
        <v>400</v>
      </c>
      <c r="AF128">
        <v>18.197075676694471</v>
      </c>
      <c r="AG128">
        <v>26.181136109494851</v>
      </c>
      <c r="AH128">
        <v>9.7752410334123692</v>
      </c>
      <c r="AI128">
        <f>9.55270187542112*1</f>
        <v>9.5527018754211195</v>
      </c>
      <c r="AJ128">
        <f>1.98171568427933*1</f>
        <v>1.98171568427933</v>
      </c>
      <c r="AK128">
        <v>1</v>
      </c>
      <c r="AL128">
        <v>1</v>
      </c>
      <c r="AM128">
        <v>1</v>
      </c>
    </row>
    <row r="129" spans="1:39" x14ac:dyDescent="0.2">
      <c r="A129" t="s">
        <v>212</v>
      </c>
      <c r="B129" t="s">
        <v>266</v>
      </c>
      <c r="C129" t="s">
        <v>267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5.0999999999999996</v>
      </c>
      <c r="AE129">
        <v>441</v>
      </c>
      <c r="AF129">
        <v>17.318840579710152</v>
      </c>
      <c r="AG129">
        <v>13.92215531052336</v>
      </c>
      <c r="AH129">
        <v>11.04882094101241</v>
      </c>
      <c r="AI129">
        <f>10.34720457083*1</f>
        <v>10.34720457083</v>
      </c>
      <c r="AJ129">
        <f>1.86783349091017*1</f>
        <v>1.8678334909101699</v>
      </c>
      <c r="AK129">
        <v>1</v>
      </c>
      <c r="AL129">
        <v>1</v>
      </c>
      <c r="AM129">
        <v>1</v>
      </c>
    </row>
    <row r="130" spans="1:39" hidden="1" x14ac:dyDescent="0.2">
      <c r="A130" t="s">
        <v>80</v>
      </c>
      <c r="B130" t="s">
        <v>308</v>
      </c>
      <c r="C130" t="s">
        <v>308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4.9000000000000004</v>
      </c>
      <c r="AE130">
        <v>529</v>
      </c>
      <c r="AF130">
        <v>9.929577464788732</v>
      </c>
      <c r="AG130">
        <v>7.6803471963684693</v>
      </c>
      <c r="AH130">
        <v>13.66375928318134</v>
      </c>
      <c r="AI130">
        <f>8.99739450542359*1</f>
        <v>8.9973945054235909</v>
      </c>
      <c r="AJ130">
        <f>1.92940880483892*1</f>
        <v>1.92940880483892</v>
      </c>
      <c r="AK130">
        <v>1</v>
      </c>
      <c r="AL130">
        <v>0</v>
      </c>
      <c r="AM130">
        <v>0</v>
      </c>
    </row>
    <row r="131" spans="1:39" hidden="1" x14ac:dyDescent="0.2">
      <c r="A131" t="s">
        <v>309</v>
      </c>
      <c r="B131" t="s">
        <v>310</v>
      </c>
      <c r="C131" t="s">
        <v>310</v>
      </c>
      <c r="D131" t="s">
        <v>3</v>
      </c>
      <c r="E131">
        <v>1</v>
      </c>
      <c r="F131">
        <v>0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4.4000000000000004</v>
      </c>
      <c r="AE131">
        <v>535</v>
      </c>
      <c r="AF131">
        <v>17.932433068382259</v>
      </c>
      <c r="AG131">
        <v>19.80313376353547</v>
      </c>
      <c r="AH131">
        <v>27.499223858899089</v>
      </c>
      <c r="AI131">
        <f>15.8525533883605*1</f>
        <v>15.8525533883605</v>
      </c>
      <c r="AJ131">
        <f>3.02529861459573*1</f>
        <v>3.0252986145957301</v>
      </c>
      <c r="AK131">
        <v>1</v>
      </c>
      <c r="AL131">
        <v>0</v>
      </c>
      <c r="AM131">
        <v>0</v>
      </c>
    </row>
    <row r="132" spans="1:39" hidden="1" x14ac:dyDescent="0.2">
      <c r="A132" t="s">
        <v>311</v>
      </c>
      <c r="B132" t="s">
        <v>312</v>
      </c>
      <c r="C132" t="s">
        <v>312</v>
      </c>
      <c r="D132" t="s">
        <v>6</v>
      </c>
      <c r="E132">
        <v>0</v>
      </c>
      <c r="F132">
        <v>0</v>
      </c>
      <c r="G132">
        <v>0</v>
      </c>
      <c r="H132">
        <v>1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5</v>
      </c>
      <c r="AE132">
        <v>536</v>
      </c>
      <c r="AF132">
        <v>11.97916666666667</v>
      </c>
      <c r="AG132">
        <v>16.440364976249441</v>
      </c>
      <c r="AH132">
        <v>19.456164021164021</v>
      </c>
      <c r="AI132">
        <f>12.8326487612189*1</f>
        <v>12.8326487612189</v>
      </c>
      <c r="AJ132">
        <f>2.25559389602179*1</f>
        <v>2.2555938960217898</v>
      </c>
      <c r="AK132">
        <v>1</v>
      </c>
      <c r="AL132">
        <v>0</v>
      </c>
      <c r="AM132">
        <v>0</v>
      </c>
    </row>
    <row r="133" spans="1:39" hidden="1" x14ac:dyDescent="0.2">
      <c r="A133" t="s">
        <v>313</v>
      </c>
      <c r="B133" t="s">
        <v>314</v>
      </c>
      <c r="C133" t="s">
        <v>314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4.4000000000000004</v>
      </c>
      <c r="AE133">
        <v>565</v>
      </c>
      <c r="AF133">
        <v>9.4539373179529491</v>
      </c>
      <c r="AG133">
        <v>16.03762167553295</v>
      </c>
      <c r="AH133">
        <v>11.69197523862357</v>
      </c>
      <c r="AI133">
        <f>12.0700704497096*1</f>
        <v>12.070070449709601</v>
      </c>
      <c r="AJ133">
        <f>2.10947138423899*1</f>
        <v>2.1094713842389901</v>
      </c>
      <c r="AK133">
        <v>1</v>
      </c>
      <c r="AL133">
        <v>0</v>
      </c>
      <c r="AM133">
        <v>0</v>
      </c>
    </row>
    <row r="134" spans="1:39" hidden="1" x14ac:dyDescent="0.2">
      <c r="A134" t="s">
        <v>315</v>
      </c>
      <c r="B134" t="s">
        <v>316</v>
      </c>
      <c r="C134" t="s">
        <v>316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4.9000000000000004</v>
      </c>
      <c r="AE134">
        <v>577</v>
      </c>
      <c r="AF134">
        <v>9.5151515151515191</v>
      </c>
      <c r="AG134">
        <v>8.8553541083497507</v>
      </c>
      <c r="AH134">
        <v>12.28281866415457</v>
      </c>
      <c r="AI134">
        <f>12.9626763008952*1</f>
        <v>12.9626763008952</v>
      </c>
      <c r="AJ134">
        <f>2.93395558805135*1</f>
        <v>2.9339555880513499</v>
      </c>
      <c r="AK134">
        <v>1</v>
      </c>
      <c r="AL134">
        <v>0</v>
      </c>
      <c r="AM134">
        <v>0</v>
      </c>
    </row>
    <row r="135" spans="1:39" hidden="1" x14ac:dyDescent="0.2">
      <c r="A135" t="s">
        <v>317</v>
      </c>
      <c r="B135" t="s">
        <v>318</v>
      </c>
      <c r="C135" t="s">
        <v>318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6.7</v>
      </c>
      <c r="AE135">
        <v>586</v>
      </c>
      <c r="AF135">
        <v>17.937499999999989</v>
      </c>
      <c r="AG135">
        <v>14.833844757426929</v>
      </c>
      <c r="AH135">
        <v>29.055885132762722</v>
      </c>
      <c r="AI135">
        <f>19.1953427259797*1</f>
        <v>19.1953427259797</v>
      </c>
      <c r="AJ135">
        <f>3.60706343782898*1</f>
        <v>3.6070634378289799</v>
      </c>
      <c r="AK135">
        <v>1</v>
      </c>
      <c r="AL135">
        <v>0</v>
      </c>
      <c r="AM135">
        <v>0</v>
      </c>
    </row>
    <row r="136" spans="1:39" hidden="1" x14ac:dyDescent="0.2">
      <c r="A136" t="s">
        <v>319</v>
      </c>
      <c r="B136" t="s">
        <v>320</v>
      </c>
      <c r="C136" t="s">
        <v>320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6.3</v>
      </c>
      <c r="AE136">
        <v>587</v>
      </c>
      <c r="AF136">
        <v>19.375</v>
      </c>
      <c r="AG136">
        <v>22.413408804854431</v>
      </c>
      <c r="AH136">
        <v>21.865698005698011</v>
      </c>
      <c r="AI136">
        <f>16.2041101236406*1</f>
        <v>16.2041101236406</v>
      </c>
      <c r="AJ136">
        <f>3.29645874006599*1</f>
        <v>3.2964587400659902</v>
      </c>
      <c r="AK136">
        <v>1</v>
      </c>
      <c r="AL136">
        <v>0</v>
      </c>
      <c r="AM136">
        <v>0</v>
      </c>
    </row>
    <row r="137" spans="1:39" hidden="1" x14ac:dyDescent="0.2">
      <c r="A137" t="s">
        <v>171</v>
      </c>
      <c r="B137" t="s">
        <v>321</v>
      </c>
      <c r="C137" t="s">
        <v>321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7.6</v>
      </c>
      <c r="AE137">
        <v>589</v>
      </c>
      <c r="AF137">
        <v>22.45278916856827</v>
      </c>
      <c r="AG137">
        <v>22.7097240547353</v>
      </c>
      <c r="AH137">
        <v>20.520324401772669</v>
      </c>
      <c r="AI137">
        <f>18.6662616411781*1</f>
        <v>18.666261641178099</v>
      </c>
      <c r="AJ137">
        <f>3.63095707604442*1</f>
        <v>3.6309570760444201</v>
      </c>
      <c r="AK137">
        <v>1</v>
      </c>
      <c r="AL137">
        <v>0</v>
      </c>
      <c r="AM137">
        <v>0</v>
      </c>
    </row>
    <row r="138" spans="1:39" hidden="1" x14ac:dyDescent="0.2">
      <c r="A138" t="s">
        <v>322</v>
      </c>
      <c r="B138" t="s">
        <v>323</v>
      </c>
      <c r="C138" t="s">
        <v>324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5.5</v>
      </c>
      <c r="AE138">
        <v>590</v>
      </c>
      <c r="AF138">
        <v>18.620689655172409</v>
      </c>
      <c r="AG138">
        <v>17.146119464030171</v>
      </c>
      <c r="AH138">
        <v>8.6284623600800057</v>
      </c>
      <c r="AI138">
        <f>5.5119738373053*1</f>
        <v>5.5119738373053</v>
      </c>
      <c r="AJ138">
        <f>0.938505127021955*1</f>
        <v>0.93850512702195499</v>
      </c>
      <c r="AK138">
        <v>1</v>
      </c>
      <c r="AL138">
        <v>1</v>
      </c>
      <c r="AM138">
        <v>0</v>
      </c>
    </row>
    <row r="139" spans="1:39" hidden="1" x14ac:dyDescent="0.2">
      <c r="A139" t="s">
        <v>325</v>
      </c>
      <c r="B139" t="s">
        <v>326</v>
      </c>
      <c r="C139" t="s">
        <v>326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5.0999999999999996</v>
      </c>
      <c r="AE139">
        <v>593</v>
      </c>
      <c r="AF139">
        <v>14.88505747126437</v>
      </c>
      <c r="AG139">
        <v>16.27918238412013</v>
      </c>
      <c r="AH139">
        <v>6.3362508425779858</v>
      </c>
      <c r="AI139">
        <f>14.0446796746388*1</f>
        <v>14.0446796746388</v>
      </c>
      <c r="AJ139">
        <f>2.98514091043475*1</f>
        <v>2.9851409104347502</v>
      </c>
      <c r="AK139">
        <v>1</v>
      </c>
      <c r="AL139">
        <v>0</v>
      </c>
      <c r="AM139">
        <v>0</v>
      </c>
    </row>
    <row r="140" spans="1:39" hidden="1" x14ac:dyDescent="0.2">
      <c r="A140" t="s">
        <v>327</v>
      </c>
      <c r="B140" t="s">
        <v>328</v>
      </c>
      <c r="C140" t="s">
        <v>327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9.9</v>
      </c>
      <c r="AE140">
        <v>597</v>
      </c>
      <c r="AF140">
        <v>26.842208342094061</v>
      </c>
      <c r="AG140">
        <v>27.154097269821001</v>
      </c>
      <c r="AH140">
        <v>36.56560195240975</v>
      </c>
      <c r="AI140">
        <f>24.2425705926619*1</f>
        <v>24.242570592661899</v>
      </c>
      <c r="AJ140">
        <f>4.07423854672161*1</f>
        <v>4.0742385467216096</v>
      </c>
      <c r="AK140">
        <v>1</v>
      </c>
      <c r="AL140">
        <v>0</v>
      </c>
      <c r="AM140">
        <v>0</v>
      </c>
    </row>
    <row r="141" spans="1:39" hidden="1" x14ac:dyDescent="0.2">
      <c r="A141" t="s">
        <v>329</v>
      </c>
      <c r="B141" t="s">
        <v>330</v>
      </c>
      <c r="C141" t="s">
        <v>330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4.9000000000000004</v>
      </c>
      <c r="AE141">
        <v>599</v>
      </c>
      <c r="AF141">
        <v>13.289473684210529</v>
      </c>
      <c r="AG141">
        <v>8.7904745639105162</v>
      </c>
      <c r="AH141">
        <v>10.116155692711271</v>
      </c>
      <c r="AI141">
        <f>10.048914845568*1</f>
        <v>10.048914845568</v>
      </c>
      <c r="AJ141">
        <f>1.98188401631231*1</f>
        <v>1.9818840163123099</v>
      </c>
      <c r="AK141">
        <v>1</v>
      </c>
      <c r="AL141">
        <v>0</v>
      </c>
      <c r="AM141">
        <v>0</v>
      </c>
    </row>
    <row r="142" spans="1:39" hidden="1" x14ac:dyDescent="0.2">
      <c r="A142" t="s">
        <v>331</v>
      </c>
      <c r="B142" t="s">
        <v>332</v>
      </c>
      <c r="C142" t="s">
        <v>333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4.5999999999999996</v>
      </c>
      <c r="AE142">
        <v>600</v>
      </c>
      <c r="AF142">
        <v>14.54545454545454</v>
      </c>
      <c r="AG142">
        <v>16.286532839811638</v>
      </c>
      <c r="AH142">
        <v>9.1857142857142868</v>
      </c>
      <c r="AI142">
        <f>24.0406701933774*1</f>
        <v>24.040670193377402</v>
      </c>
      <c r="AJ142">
        <f>4.9048527522075*1</f>
        <v>4.9048527522074998</v>
      </c>
      <c r="AK142">
        <v>1</v>
      </c>
      <c r="AL142">
        <v>0</v>
      </c>
      <c r="AM142">
        <v>0</v>
      </c>
    </row>
    <row r="143" spans="1:39" hidden="1" x14ac:dyDescent="0.2">
      <c r="A143" t="s">
        <v>334</v>
      </c>
      <c r="B143" t="s">
        <v>335</v>
      </c>
      <c r="C143" t="s">
        <v>335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</v>
      </c>
      <c r="AE143">
        <v>602</v>
      </c>
      <c r="AF143">
        <v>14.891304347826081</v>
      </c>
      <c r="AG143">
        <v>20.883524089728279</v>
      </c>
      <c r="AH143">
        <v>10.975035111293311</v>
      </c>
      <c r="AI143">
        <f>11.1735674472178*1</f>
        <v>11.173567447217801</v>
      </c>
      <c r="AJ143">
        <f>2.27596635558257*1</f>
        <v>2.27596635558257</v>
      </c>
      <c r="AK143">
        <v>1</v>
      </c>
      <c r="AL143">
        <v>0</v>
      </c>
      <c r="AM143">
        <v>0</v>
      </c>
    </row>
    <row r="144" spans="1:39" hidden="1" x14ac:dyDescent="0.2">
      <c r="A144" t="s">
        <v>336</v>
      </c>
      <c r="B144" t="s">
        <v>337</v>
      </c>
      <c r="C144" t="s">
        <v>337</v>
      </c>
      <c r="D144" t="s">
        <v>6</v>
      </c>
      <c r="E144">
        <v>0</v>
      </c>
      <c r="F144">
        <v>0</v>
      </c>
      <c r="G144">
        <v>0</v>
      </c>
      <c r="H144">
        <v>1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5.4</v>
      </c>
      <c r="AE144">
        <v>610</v>
      </c>
      <c r="AF144">
        <v>17.934782608695659</v>
      </c>
      <c r="AG144">
        <v>17.907788554311651</v>
      </c>
      <c r="AH144">
        <v>8.1525023461585882</v>
      </c>
      <c r="AI144">
        <f>15.9682003180341*1</f>
        <v>15.9682003180341</v>
      </c>
      <c r="AJ144">
        <f>2.95034768758979*1</f>
        <v>2.9503476875897898</v>
      </c>
      <c r="AK144">
        <v>1</v>
      </c>
      <c r="AL144">
        <v>0</v>
      </c>
      <c r="AM144">
        <v>0</v>
      </c>
    </row>
    <row r="145" spans="1:39" hidden="1" x14ac:dyDescent="0.2">
      <c r="A145" t="s">
        <v>338</v>
      </c>
      <c r="B145" t="s">
        <v>339</v>
      </c>
      <c r="C145" t="s">
        <v>339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7.5</v>
      </c>
      <c r="AE145">
        <v>612</v>
      </c>
      <c r="AF145">
        <v>23.09062900564081</v>
      </c>
      <c r="AG145">
        <v>21.384505731607231</v>
      </c>
      <c r="AH145">
        <v>23.70056460464971</v>
      </c>
      <c r="AI145">
        <f>22.6462654077169*1</f>
        <v>22.6462654077169</v>
      </c>
      <c r="AJ145">
        <f>4.62355674404397*1</f>
        <v>4.6235567440439702</v>
      </c>
      <c r="AK145">
        <v>1</v>
      </c>
      <c r="AL145">
        <v>0</v>
      </c>
      <c r="AM145">
        <v>0</v>
      </c>
    </row>
    <row r="146" spans="1:39" hidden="1" x14ac:dyDescent="0.2">
      <c r="A146" t="s">
        <v>340</v>
      </c>
      <c r="B146" t="s">
        <v>341</v>
      </c>
      <c r="C146" t="s">
        <v>341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6.2</v>
      </c>
      <c r="AE146">
        <v>621</v>
      </c>
      <c r="AF146">
        <v>18.92989137747746</v>
      </c>
      <c r="AG146">
        <v>26.237890983907469</v>
      </c>
      <c r="AH146">
        <v>16.359128590328389</v>
      </c>
      <c r="AI146">
        <f>14.1756167539574*1</f>
        <v>14.175616753957399</v>
      </c>
      <c r="AJ146">
        <f>2.42302913683008*1</f>
        <v>2.4230291368300798</v>
      </c>
      <c r="AK146">
        <v>1</v>
      </c>
      <c r="AL146">
        <v>0</v>
      </c>
      <c r="AM146">
        <v>0</v>
      </c>
    </row>
    <row r="147" spans="1:39" hidden="1" x14ac:dyDescent="0.2">
      <c r="A147" t="s">
        <v>64</v>
      </c>
      <c r="B147" t="s">
        <v>342</v>
      </c>
      <c r="C147" t="s">
        <v>343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5.8</v>
      </c>
      <c r="AE147">
        <v>623</v>
      </c>
      <c r="AF147">
        <v>18.322709893989028</v>
      </c>
      <c r="AG147">
        <v>18.24639015049258</v>
      </c>
      <c r="AH147">
        <v>12.91687527242312</v>
      </c>
      <c r="AI147">
        <f>9.7449415445611*1</f>
        <v>9.7449415445610992</v>
      </c>
      <c r="AJ147">
        <f>1.82927163096682*1</f>
        <v>1.82927163096682</v>
      </c>
      <c r="AK147">
        <v>1</v>
      </c>
      <c r="AL147">
        <v>0</v>
      </c>
      <c r="AM147">
        <v>0</v>
      </c>
    </row>
    <row r="148" spans="1:39" hidden="1" x14ac:dyDescent="0.2">
      <c r="A148" t="s">
        <v>344</v>
      </c>
      <c r="B148" t="s">
        <v>345</v>
      </c>
      <c r="C148" t="s">
        <v>345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5</v>
      </c>
      <c r="AE148">
        <v>626</v>
      </c>
      <c r="AF148">
        <v>15.760869565217391</v>
      </c>
      <c r="AG148">
        <v>18.559941676928592</v>
      </c>
      <c r="AH148">
        <v>11.31458306602751</v>
      </c>
      <c r="AI148">
        <f>8.55036253564868*1</f>
        <v>8.5503625356486808</v>
      </c>
      <c r="AJ148">
        <f>1.9101212449614*1</f>
        <v>1.9101212449614</v>
      </c>
      <c r="AK148">
        <v>1</v>
      </c>
      <c r="AL148">
        <v>0</v>
      </c>
      <c r="AM148">
        <v>0</v>
      </c>
    </row>
    <row r="149" spans="1:39" hidden="1" x14ac:dyDescent="0.2">
      <c r="A149" t="s">
        <v>346</v>
      </c>
      <c r="B149" t="s">
        <v>347</v>
      </c>
      <c r="C149" t="s">
        <v>347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4.7</v>
      </c>
      <c r="AE149">
        <v>636</v>
      </c>
      <c r="AF149">
        <v>12.79550212039943</v>
      </c>
      <c r="AG149">
        <v>10.38290247780917</v>
      </c>
      <c r="AH149">
        <v>10.366095963375651</v>
      </c>
      <c r="AI149">
        <f>16.5258477658113*1</f>
        <v>16.525847765811299</v>
      </c>
      <c r="AJ149">
        <f>3.73839299182336*1</f>
        <v>3.73839299182336</v>
      </c>
      <c r="AK149">
        <v>1</v>
      </c>
      <c r="AL149">
        <v>0</v>
      </c>
      <c r="AM149">
        <v>0</v>
      </c>
    </row>
    <row r="150" spans="1:39" hidden="1" x14ac:dyDescent="0.2">
      <c r="A150" t="s">
        <v>348</v>
      </c>
      <c r="B150" t="s">
        <v>349</v>
      </c>
      <c r="C150" t="s">
        <v>349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</v>
      </c>
      <c r="AE150">
        <v>638</v>
      </c>
      <c r="AF150">
        <v>10.806451612903221</v>
      </c>
      <c r="AG150">
        <v>11.721861414913439</v>
      </c>
      <c r="AH150">
        <v>8.6390379264450914</v>
      </c>
      <c r="AI150">
        <f>9.88030051440472*1</f>
        <v>9.8803005144047198</v>
      </c>
      <c r="AJ150">
        <f>1.93919538298348*1</f>
        <v>1.93919538298348</v>
      </c>
      <c r="AK150">
        <v>1</v>
      </c>
      <c r="AL150">
        <v>0</v>
      </c>
      <c r="AM150">
        <v>0</v>
      </c>
    </row>
    <row r="151" spans="1:39" hidden="1" x14ac:dyDescent="0.2">
      <c r="A151" t="s">
        <v>350</v>
      </c>
      <c r="B151" t="s">
        <v>351</v>
      </c>
      <c r="C151" t="s">
        <v>352</v>
      </c>
      <c r="D151" t="s">
        <v>6</v>
      </c>
      <c r="E151">
        <v>0</v>
      </c>
      <c r="F151">
        <v>0</v>
      </c>
      <c r="G151">
        <v>0</v>
      </c>
      <c r="H151">
        <v>1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6.7</v>
      </c>
      <c r="AE151">
        <v>644</v>
      </c>
      <c r="AF151">
        <v>31.56713030558976</v>
      </c>
      <c r="AG151">
        <v>17.670771283165749</v>
      </c>
      <c r="AH151">
        <v>49.321875895562769</v>
      </c>
      <c r="AI151">
        <f>27.2712589466361*1</f>
        <v>27.271258946636099</v>
      </c>
      <c r="AJ151">
        <f>5.55500069274805*1</f>
        <v>5.5550006927480498</v>
      </c>
      <c r="AK151">
        <v>1</v>
      </c>
      <c r="AL151">
        <v>0</v>
      </c>
      <c r="AM151">
        <v>0</v>
      </c>
    </row>
    <row r="152" spans="1:39" hidden="1" x14ac:dyDescent="0.2">
      <c r="A152" t="s">
        <v>353</v>
      </c>
      <c r="B152" t="s">
        <v>354</v>
      </c>
      <c r="C152" t="s">
        <v>355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4.9000000000000004</v>
      </c>
      <c r="AE152">
        <v>656</v>
      </c>
      <c r="AF152">
        <v>10.83333333333333</v>
      </c>
      <c r="AG152">
        <v>10.33244326861586</v>
      </c>
      <c r="AH152">
        <v>8.43412391472161</v>
      </c>
      <c r="AI152">
        <f>8.97744615016114*1</f>
        <v>8.9774461501611391</v>
      </c>
      <c r="AJ152">
        <f>1.72522433161011*1</f>
        <v>1.7252243316101099</v>
      </c>
      <c r="AK152">
        <v>1</v>
      </c>
      <c r="AL152">
        <v>0</v>
      </c>
      <c r="AM15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2024-11-08T21:19:40Z</dcterms:created>
  <dcterms:modified xsi:type="dcterms:W3CDTF">2024-11-08T21:40:41Z</dcterms:modified>
</cp:coreProperties>
</file>