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FPL-predictor/Predictions/2024-25/"/>
    </mc:Choice>
  </mc:AlternateContent>
  <xr:revisionPtr revIDLastSave="0" documentId="13_ncr:1_{4E9D7C5B-F8C7-5B4D-8AE9-0AE84B345EC1}" xr6:coauthVersionLast="47" xr6:coauthVersionMax="47" xr10:uidLastSave="{00000000-0000-0000-0000-000000000000}"/>
  <bookViews>
    <workbookView xWindow="2880" yWindow="760" windowWidth="28800" windowHeight="17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43" i="1" l="1"/>
  <c r="AI143" i="1"/>
  <c r="AJ142" i="1"/>
  <c r="AI142" i="1"/>
  <c r="AJ141" i="1"/>
  <c r="AI141" i="1"/>
  <c r="AJ140" i="1"/>
  <c r="AI140" i="1"/>
  <c r="AJ7" i="1"/>
  <c r="AI7" i="1"/>
  <c r="AJ138" i="1"/>
  <c r="AI138" i="1"/>
  <c r="AJ137" i="1"/>
  <c r="AI137" i="1"/>
  <c r="AJ136" i="1"/>
  <c r="AI136" i="1"/>
  <c r="AJ135" i="1"/>
  <c r="AI135" i="1"/>
  <c r="AJ134" i="1"/>
  <c r="AI134" i="1"/>
  <c r="AJ133" i="1"/>
  <c r="AI133" i="1"/>
  <c r="AJ132" i="1"/>
  <c r="AI132" i="1"/>
  <c r="AJ131" i="1"/>
  <c r="AI131" i="1"/>
  <c r="AJ130" i="1"/>
  <c r="AI130" i="1"/>
  <c r="AJ129" i="1"/>
  <c r="AI129" i="1"/>
  <c r="AJ128" i="1"/>
  <c r="AI128" i="1"/>
  <c r="AJ127" i="1"/>
  <c r="AI127" i="1"/>
  <c r="AJ95" i="1"/>
  <c r="AI95" i="1"/>
  <c r="AJ125" i="1"/>
  <c r="AI125" i="1"/>
  <c r="AJ124" i="1"/>
  <c r="AI124" i="1"/>
  <c r="AJ123" i="1"/>
  <c r="AI123" i="1"/>
  <c r="AJ122" i="1"/>
  <c r="AI122" i="1"/>
  <c r="AJ121" i="1"/>
  <c r="AI121" i="1"/>
  <c r="AJ120" i="1"/>
  <c r="AI120" i="1"/>
  <c r="AJ76" i="1"/>
  <c r="AI76" i="1"/>
  <c r="AJ58" i="1"/>
  <c r="AI58" i="1"/>
  <c r="AJ117" i="1"/>
  <c r="AI117" i="1"/>
  <c r="AJ116" i="1"/>
  <c r="AI116" i="1"/>
  <c r="AJ115" i="1"/>
  <c r="AI115" i="1"/>
  <c r="AJ114" i="1"/>
  <c r="AI114" i="1"/>
  <c r="AJ139" i="1"/>
  <c r="AI139" i="1"/>
  <c r="AJ112" i="1"/>
  <c r="AI112" i="1"/>
  <c r="AJ111" i="1"/>
  <c r="AI111" i="1"/>
  <c r="AJ110" i="1"/>
  <c r="AI110" i="1"/>
  <c r="AJ109" i="1"/>
  <c r="AI109" i="1"/>
  <c r="AJ108" i="1"/>
  <c r="AI108" i="1"/>
  <c r="AJ107" i="1"/>
  <c r="AI107" i="1"/>
  <c r="AJ106" i="1"/>
  <c r="AI106" i="1"/>
  <c r="AJ105" i="1"/>
  <c r="AI105" i="1"/>
  <c r="AJ104" i="1"/>
  <c r="AI104" i="1"/>
  <c r="AJ103" i="1"/>
  <c r="AI103" i="1"/>
  <c r="AJ102" i="1"/>
  <c r="AI102" i="1"/>
  <c r="AJ101" i="1"/>
  <c r="AI101" i="1"/>
  <c r="AJ100" i="1"/>
  <c r="AI100" i="1"/>
  <c r="AJ99" i="1"/>
  <c r="AI99" i="1"/>
  <c r="AJ83" i="1"/>
  <c r="AI83" i="1"/>
  <c r="AJ97" i="1"/>
  <c r="AI97" i="1"/>
  <c r="AJ96" i="1"/>
  <c r="AI96" i="1"/>
  <c r="AJ119" i="1"/>
  <c r="AI119" i="1"/>
  <c r="AJ94" i="1"/>
  <c r="AI94" i="1"/>
  <c r="AJ93" i="1"/>
  <c r="AI93" i="1"/>
  <c r="AJ92" i="1"/>
  <c r="AI92" i="1"/>
  <c r="AJ91" i="1"/>
  <c r="AI91" i="1"/>
  <c r="AJ90" i="1"/>
  <c r="AI90" i="1"/>
  <c r="AJ89" i="1"/>
  <c r="AI89" i="1"/>
  <c r="AJ88" i="1"/>
  <c r="AI88" i="1"/>
  <c r="AJ87" i="1"/>
  <c r="AI87" i="1"/>
  <c r="AJ86" i="1"/>
  <c r="AI86" i="1"/>
  <c r="AJ85" i="1"/>
  <c r="AI85" i="1"/>
  <c r="AJ84" i="1"/>
  <c r="AI84" i="1"/>
  <c r="AJ126" i="1"/>
  <c r="AI126" i="1"/>
  <c r="AJ82" i="1"/>
  <c r="AI82" i="1"/>
  <c r="AJ81" i="1"/>
  <c r="AI81" i="1"/>
  <c r="AJ80" i="1"/>
  <c r="AI80" i="1"/>
  <c r="AJ79" i="1"/>
  <c r="AI79" i="1"/>
  <c r="AJ78" i="1"/>
  <c r="AI78" i="1"/>
  <c r="AJ77" i="1"/>
  <c r="AI77" i="1"/>
  <c r="AJ118" i="1"/>
  <c r="AI118" i="1"/>
  <c r="AJ75" i="1"/>
  <c r="AI75" i="1"/>
  <c r="AJ74" i="1"/>
  <c r="AI74" i="1"/>
  <c r="AJ73" i="1"/>
  <c r="AI73" i="1"/>
  <c r="AJ72" i="1"/>
  <c r="AI72" i="1"/>
  <c r="AJ71" i="1"/>
  <c r="AI71" i="1"/>
  <c r="AJ70" i="1"/>
  <c r="AI70" i="1"/>
  <c r="AJ69" i="1"/>
  <c r="AI69" i="1"/>
  <c r="AJ68" i="1"/>
  <c r="AI68" i="1"/>
  <c r="AJ67" i="1"/>
  <c r="AI67" i="1"/>
  <c r="AJ66" i="1"/>
  <c r="AI66" i="1"/>
  <c r="AJ65" i="1"/>
  <c r="AI65" i="1"/>
  <c r="AJ64" i="1"/>
  <c r="AI64" i="1"/>
  <c r="AJ63" i="1"/>
  <c r="AI63" i="1"/>
  <c r="AJ62" i="1"/>
  <c r="AI62" i="1"/>
  <c r="AJ61" i="1"/>
  <c r="AI61" i="1"/>
  <c r="AJ60" i="1"/>
  <c r="AI60" i="1"/>
  <c r="AJ59" i="1"/>
  <c r="AI59" i="1"/>
  <c r="AJ36" i="1"/>
  <c r="AI36" i="1"/>
  <c r="AJ57" i="1"/>
  <c r="AI57" i="1"/>
  <c r="AJ56" i="1"/>
  <c r="AI56" i="1"/>
  <c r="AJ55" i="1"/>
  <c r="AI55" i="1"/>
  <c r="AJ54" i="1"/>
  <c r="AI54" i="1"/>
  <c r="AJ53" i="1"/>
  <c r="AI53" i="1"/>
  <c r="AJ52" i="1"/>
  <c r="AI52" i="1"/>
  <c r="AJ51" i="1"/>
  <c r="AI51" i="1"/>
  <c r="AJ50" i="1"/>
  <c r="AI50" i="1"/>
  <c r="AJ49" i="1"/>
  <c r="AI49" i="1"/>
  <c r="AJ48" i="1"/>
  <c r="AI48" i="1"/>
  <c r="AJ47" i="1"/>
  <c r="AI47" i="1"/>
  <c r="AJ46" i="1"/>
  <c r="AI46" i="1"/>
  <c r="AJ45" i="1"/>
  <c r="AI45" i="1"/>
  <c r="AJ44" i="1"/>
  <c r="AI44" i="1"/>
  <c r="AJ43" i="1"/>
  <c r="AI43" i="1"/>
  <c r="AJ42" i="1"/>
  <c r="AI42" i="1"/>
  <c r="AJ41" i="1"/>
  <c r="AI41" i="1"/>
  <c r="AJ40" i="1"/>
  <c r="AI40" i="1"/>
  <c r="AJ39" i="1"/>
  <c r="AI39" i="1"/>
  <c r="AJ38" i="1"/>
  <c r="AI38" i="1"/>
  <c r="AP37" i="1"/>
  <c r="AJ37" i="1"/>
  <c r="AI37" i="1"/>
  <c r="AP36" i="1"/>
  <c r="AJ31" i="1"/>
  <c r="AI31" i="1"/>
  <c r="AP35" i="1"/>
  <c r="AJ35" i="1"/>
  <c r="AI35" i="1"/>
  <c r="AP34" i="1"/>
  <c r="AJ34" i="1"/>
  <c r="AI34" i="1"/>
  <c r="AP33" i="1"/>
  <c r="AJ33" i="1"/>
  <c r="AI33" i="1"/>
  <c r="AP32" i="1"/>
  <c r="AJ32" i="1"/>
  <c r="AI32" i="1"/>
  <c r="AP31" i="1"/>
  <c r="AJ98" i="1"/>
  <c r="AI98" i="1"/>
  <c r="AP30" i="1"/>
  <c r="AJ30" i="1"/>
  <c r="AI30" i="1"/>
  <c r="AP29" i="1"/>
  <c r="AJ29" i="1"/>
  <c r="AI29" i="1"/>
  <c r="AP28" i="1"/>
  <c r="AJ28" i="1"/>
  <c r="AI28" i="1"/>
  <c r="AP27" i="1"/>
  <c r="AJ27" i="1"/>
  <c r="AI27" i="1"/>
  <c r="AP26" i="1"/>
  <c r="AJ26" i="1"/>
  <c r="AI26" i="1"/>
  <c r="AP25" i="1"/>
  <c r="AJ25" i="1"/>
  <c r="AI25" i="1"/>
  <c r="AP24" i="1"/>
  <c r="AJ24" i="1"/>
  <c r="AI24" i="1"/>
  <c r="AP23" i="1"/>
  <c r="AJ23" i="1"/>
  <c r="AI23" i="1"/>
  <c r="AP22" i="1"/>
  <c r="AJ22" i="1"/>
  <c r="AI22" i="1"/>
  <c r="AP21" i="1"/>
  <c r="AJ21" i="1"/>
  <c r="AI21" i="1"/>
  <c r="AP20" i="1"/>
  <c r="AJ20" i="1"/>
  <c r="AI20" i="1"/>
  <c r="AP19" i="1"/>
  <c r="AJ19" i="1"/>
  <c r="AI19" i="1"/>
  <c r="AP18" i="1"/>
  <c r="AJ18" i="1"/>
  <c r="AI18" i="1"/>
  <c r="AJ17" i="1"/>
  <c r="AI17" i="1"/>
  <c r="AJ16" i="1"/>
  <c r="AI16" i="1"/>
  <c r="AJ113" i="1"/>
  <c r="AI113" i="1"/>
  <c r="AJ14" i="1"/>
  <c r="AI14" i="1"/>
  <c r="AJ13" i="1"/>
  <c r="AI13" i="1"/>
  <c r="AJ12" i="1"/>
  <c r="AI12" i="1"/>
  <c r="AP11" i="1"/>
  <c r="AP14" i="1" s="1"/>
  <c r="AJ11" i="1"/>
  <c r="AI11" i="1"/>
  <c r="AJ10" i="1"/>
  <c r="AI10" i="1"/>
  <c r="AP9" i="1"/>
  <c r="AJ9" i="1"/>
  <c r="AI9" i="1"/>
  <c r="AP8" i="1"/>
  <c r="AJ8" i="1"/>
  <c r="AI8" i="1"/>
  <c r="AP7" i="1"/>
  <c r="AJ15" i="1"/>
  <c r="AI15" i="1"/>
  <c r="AP6" i="1"/>
  <c r="AJ6" i="1"/>
  <c r="AI6" i="1"/>
  <c r="AJ5" i="1"/>
  <c r="AI5" i="1"/>
  <c r="AP4" i="1"/>
  <c r="AJ4" i="1"/>
  <c r="AI4" i="1"/>
  <c r="AJ3" i="1"/>
  <c r="AI3" i="1"/>
  <c r="AJ2" i="1"/>
  <c r="AI2" i="1"/>
  <c r="AP2" i="1" s="1"/>
  <c r="AP16" i="1" l="1"/>
</calcChain>
</file>

<file path=xl/sharedStrings.xml><?xml version="1.0" encoding="utf-8"?>
<sst xmlns="http://schemas.openxmlformats.org/spreadsheetml/2006/main" count="780" uniqueCount="343">
  <si>
    <t>Total Points</t>
  </si>
  <si>
    <t>MAX</t>
  </si>
  <si>
    <t>Total Cost</t>
  </si>
  <si>
    <t>GKP</t>
  </si>
  <si>
    <t>DEF</t>
  </si>
  <si>
    <t>MID</t>
  </si>
  <si>
    <t>FWD</t>
  </si>
  <si>
    <t>Transfers</t>
  </si>
  <si>
    <t>Free</t>
  </si>
  <si>
    <t>Cost</t>
  </si>
  <si>
    <t>Profit</t>
  </si>
  <si>
    <t>ARS</t>
  </si>
  <si>
    <t>AVL</t>
  </si>
  <si>
    <t>BOU</t>
  </si>
  <si>
    <t>BRE</t>
  </si>
  <si>
    <t>BHA</t>
  </si>
  <si>
    <t>CHE</t>
  </si>
  <si>
    <t>CRY</t>
  </si>
  <si>
    <t>EVE</t>
  </si>
  <si>
    <t>FUL</t>
  </si>
  <si>
    <t>IPS</t>
  </si>
  <si>
    <t>LEI</t>
  </si>
  <si>
    <t>LIV</t>
  </si>
  <si>
    <t>MCI</t>
  </si>
  <si>
    <t>MUN</t>
  </si>
  <si>
    <t>NEW</t>
  </si>
  <si>
    <t>NFO</t>
  </si>
  <si>
    <t>SOU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</si>
  <si>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</si>
  <si>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</si>
  <si>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</si>
  <si>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</si>
  <si>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</si>
  <si>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</si>
  <si>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</si>
  <si>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</si>
  <si>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</si>
  <si>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</si>
  <si>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</si>
  <si>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FOREST</t>
  </si>
  <si>
    <t>PP</t>
  </si>
  <si>
    <t>NEXT</t>
  </si>
  <si>
    <t>Health</t>
  </si>
  <si>
    <t>PREV</t>
  </si>
  <si>
    <t>Selected</t>
  </si>
  <si>
    <t>Gabriel</t>
  </si>
  <si>
    <t>dos Santos Magalhães</t>
  </si>
  <si>
    <t>Kai</t>
  </si>
  <si>
    <t>Havertz</t>
  </si>
  <si>
    <t>Jurriën</t>
  </si>
  <si>
    <t>Timber</t>
  </si>
  <si>
    <t>J.Timber</t>
  </si>
  <si>
    <t>Martinelli Silva</t>
  </si>
  <si>
    <t>Martinelli</t>
  </si>
  <si>
    <t>David</t>
  </si>
  <si>
    <t>Raya Martin</t>
  </si>
  <si>
    <t>Raya</t>
  </si>
  <si>
    <t>Bukayo</t>
  </si>
  <si>
    <t>Saka</t>
  </si>
  <si>
    <t>Thomas</t>
  </si>
  <si>
    <t>Partey</t>
  </si>
  <si>
    <t>Leandro</t>
  </si>
  <si>
    <t>Trossard</t>
  </si>
  <si>
    <t>Leon</t>
  </si>
  <si>
    <t>Bailey</t>
  </si>
  <si>
    <t>Ross</t>
  </si>
  <si>
    <t>Barkley</t>
  </si>
  <si>
    <t>Lucas</t>
  </si>
  <si>
    <t>Digne</t>
  </si>
  <si>
    <t>John</t>
  </si>
  <si>
    <t>McGinn</t>
  </si>
  <si>
    <t>Jacob</t>
  </si>
  <si>
    <t>Ramsey</t>
  </si>
  <si>
    <t>Morgan</t>
  </si>
  <si>
    <t>Rogers</t>
  </si>
  <si>
    <t>Ollie</t>
  </si>
  <si>
    <t>Watkins</t>
  </si>
  <si>
    <t>Ryan</t>
  </si>
  <si>
    <t>Christie</t>
  </si>
  <si>
    <t>Lewis</t>
  </si>
  <si>
    <t>Cook</t>
  </si>
  <si>
    <t>Milos</t>
  </si>
  <si>
    <t>Kerkez</t>
  </si>
  <si>
    <t>Justin</t>
  </si>
  <si>
    <t>Kluivert</t>
  </si>
  <si>
    <t>Antoine</t>
  </si>
  <si>
    <t>Semenyo</t>
  </si>
  <si>
    <t>Marcus</t>
  </si>
  <si>
    <t>Tavernier</t>
  </si>
  <si>
    <t>Nathan</t>
  </si>
  <si>
    <t>Collins</t>
  </si>
  <si>
    <t>Mikkel</t>
  </si>
  <si>
    <t>Damsgaard</t>
  </si>
  <si>
    <t>Mark</t>
  </si>
  <si>
    <t>Flekken</t>
  </si>
  <si>
    <t>Vitaly</t>
  </si>
  <si>
    <t>Janelt</t>
  </si>
  <si>
    <t>Keane</t>
  </si>
  <si>
    <t>Lewis-Potter</t>
  </si>
  <si>
    <t>Bryan</t>
  </si>
  <si>
    <t>Mbeumo</t>
  </si>
  <si>
    <t>Ethan</t>
  </si>
  <si>
    <t>Pinnock</t>
  </si>
  <si>
    <t>Kevin</t>
  </si>
  <si>
    <t>Schade</t>
  </si>
  <si>
    <t>Yoane</t>
  </si>
  <si>
    <t>Wissa</t>
  </si>
  <si>
    <t>Mitoma</t>
  </si>
  <si>
    <t>Kaoru</t>
  </si>
  <si>
    <t>Joël</t>
  </si>
  <si>
    <t>Veltman</t>
  </si>
  <si>
    <t>Bart</t>
  </si>
  <si>
    <t>Verbruggen</t>
  </si>
  <si>
    <t>Danny</t>
  </si>
  <si>
    <t>Welbeck</t>
  </si>
  <si>
    <t>Georginio</t>
  </si>
  <si>
    <t>Rutter</t>
  </si>
  <si>
    <t>Moisés</t>
  </si>
  <si>
    <t>Caicedo Corozo</t>
  </si>
  <si>
    <t>Caicedo</t>
  </si>
  <si>
    <t>Levi</t>
  </si>
  <si>
    <t>Colwill</t>
  </si>
  <si>
    <t>Marc</t>
  </si>
  <si>
    <t>Cucurella Saseta</t>
  </si>
  <si>
    <t>Cucurella</t>
  </si>
  <si>
    <t>Enzo</t>
  </si>
  <si>
    <t>Fernández</t>
  </si>
  <si>
    <t>Noni</t>
  </si>
  <si>
    <t>Madueke</t>
  </si>
  <si>
    <t>Nicolas</t>
  </si>
  <si>
    <t>Jackson</t>
  </si>
  <si>
    <t>N.Jackson</t>
  </si>
  <si>
    <t>Cole</t>
  </si>
  <si>
    <t>Palmer</t>
  </si>
  <si>
    <t>Robert</t>
  </si>
  <si>
    <t>Sánchez</t>
  </si>
  <si>
    <t>Pedro</t>
  </si>
  <si>
    <t>Lomba Neto</t>
  </si>
  <si>
    <t>Neto</t>
  </si>
  <si>
    <t>Eberechi</t>
  </si>
  <si>
    <t>Eze</t>
  </si>
  <si>
    <t>Guéhi</t>
  </si>
  <si>
    <t>Dean</t>
  </si>
  <si>
    <t>Henderson</t>
  </si>
  <si>
    <t>Jean-Philippe</t>
  </si>
  <si>
    <t>Mateta</t>
  </si>
  <si>
    <t>Daniel</t>
  </si>
  <si>
    <t>Muñoz</t>
  </si>
  <si>
    <t>Ismaïla</t>
  </si>
  <si>
    <t>Sarr</t>
  </si>
  <si>
    <t>I.Sarr</t>
  </si>
  <si>
    <t>Abdoulaye</t>
  </si>
  <si>
    <t>Doucouré</t>
  </si>
  <si>
    <t>A.Doucoure</t>
  </si>
  <si>
    <t>Dwight</t>
  </si>
  <si>
    <t>McNeil</t>
  </si>
  <si>
    <t>Vitalii</t>
  </si>
  <si>
    <t>Mykolenko</t>
  </si>
  <si>
    <t>Iliman</t>
  </si>
  <si>
    <t>Ndiaye</t>
  </si>
  <si>
    <t>Jordan</t>
  </si>
  <si>
    <t>Pickford</t>
  </si>
  <si>
    <t>James</t>
  </si>
  <si>
    <t>Tarkowski</t>
  </si>
  <si>
    <t>Ashley</t>
  </si>
  <si>
    <t>Young</t>
  </si>
  <si>
    <t>Reiss</t>
  </si>
  <si>
    <t>Nelson</t>
  </si>
  <si>
    <t>Emile</t>
  </si>
  <si>
    <t>Smith Rowe</t>
  </si>
  <si>
    <t>Adama</t>
  </si>
  <si>
    <t>Traoré</t>
  </si>
  <si>
    <t>Calvin</t>
  </si>
  <si>
    <t>Bassey</t>
  </si>
  <si>
    <t>Alex</t>
  </si>
  <si>
    <t>Iwobi</t>
  </si>
  <si>
    <t>Bernd</t>
  </si>
  <si>
    <t>Leno</t>
  </si>
  <si>
    <t>Raúl</t>
  </si>
  <si>
    <t>Jiménez</t>
  </si>
  <si>
    <t>Antonee</t>
  </si>
  <si>
    <t>Robinson</t>
  </si>
  <si>
    <t>Kenny</t>
  </si>
  <si>
    <t>Tete</t>
  </si>
  <si>
    <t>Leif</t>
  </si>
  <si>
    <t>Davis</t>
  </si>
  <si>
    <t>Liam</t>
  </si>
  <si>
    <t>Delap</t>
  </si>
  <si>
    <t>Arijanet</t>
  </si>
  <si>
    <t>Muric</t>
  </si>
  <si>
    <t>Sam</t>
  </si>
  <si>
    <t>Szmodics</t>
  </si>
  <si>
    <t>Facundo</t>
  </si>
  <si>
    <t>Buonanotte</t>
  </si>
  <si>
    <t>Ayew</t>
  </si>
  <si>
    <t>J.Ayew</t>
  </si>
  <si>
    <t>Jamie</t>
  </si>
  <si>
    <t>Vardy</t>
  </si>
  <si>
    <t>Harry</t>
  </si>
  <si>
    <t>Winks</t>
  </si>
  <si>
    <t>Trent</t>
  </si>
  <si>
    <t>Alexander-Arnold</t>
  </si>
  <si>
    <t>Darwin</t>
  </si>
  <si>
    <t>Núñez Ribeiro</t>
  </si>
  <si>
    <t>Cody</t>
  </si>
  <si>
    <t>Gakpo</t>
  </si>
  <si>
    <t>Gravenberch</t>
  </si>
  <si>
    <t>Curtis</t>
  </si>
  <si>
    <t>Jones</t>
  </si>
  <si>
    <t>Luis</t>
  </si>
  <si>
    <t>Díaz</t>
  </si>
  <si>
    <t>Luis Díaz</t>
  </si>
  <si>
    <t>Mohamed</t>
  </si>
  <si>
    <t>Salah</t>
  </si>
  <si>
    <t>M.Salah</t>
  </si>
  <si>
    <t>Andrew</t>
  </si>
  <si>
    <t>Robertson</t>
  </si>
  <si>
    <t>Dominik</t>
  </si>
  <si>
    <t>Szoboszlai</t>
  </si>
  <si>
    <t>Virgil</t>
  </si>
  <si>
    <t>van Dijk</t>
  </si>
  <si>
    <t>Ederson</t>
  </si>
  <si>
    <t>Santana de Moraes</t>
  </si>
  <si>
    <t>Ederson M.</t>
  </si>
  <si>
    <t>Joško</t>
  </si>
  <si>
    <t>Gvardiol</t>
  </si>
  <si>
    <t>Erling</t>
  </si>
  <si>
    <t>Haaland</t>
  </si>
  <si>
    <t>Mateo</t>
  </si>
  <si>
    <t>Kovačić</t>
  </si>
  <si>
    <t>Rúben</t>
  </si>
  <si>
    <t>Gato Alves Dias</t>
  </si>
  <si>
    <t>Ilkay</t>
  </si>
  <si>
    <t>Gündogan</t>
  </si>
  <si>
    <t>Amad</t>
  </si>
  <si>
    <t>Diallo</t>
  </si>
  <si>
    <t>Bruno</t>
  </si>
  <si>
    <t>Borges Fernandes</t>
  </si>
  <si>
    <t>B.Fernandes</t>
  </si>
  <si>
    <t>Carlos Henrique</t>
  </si>
  <si>
    <t>Casimiro</t>
  </si>
  <si>
    <t>Casemiro</t>
  </si>
  <si>
    <t>Diogo</t>
  </si>
  <si>
    <t>Dalot Teixeira</t>
  </si>
  <si>
    <t>Dalot</t>
  </si>
  <si>
    <t>Alejandro</t>
  </si>
  <si>
    <t>Garnacho</t>
  </si>
  <si>
    <t>Lisandro</t>
  </si>
  <si>
    <t>Martínez</t>
  </si>
  <si>
    <t>Martinez</t>
  </si>
  <si>
    <t>André</t>
  </si>
  <si>
    <t>Onana</t>
  </si>
  <si>
    <t>Rashford</t>
  </si>
  <si>
    <t>Joshua</t>
  </si>
  <si>
    <t>Zirkzee</t>
  </si>
  <si>
    <t>Matthijs</t>
  </si>
  <si>
    <t>de Ligt</t>
  </si>
  <si>
    <t>De Ligt</t>
  </si>
  <si>
    <t>Noussair</t>
  </si>
  <si>
    <t>Mazraoui</t>
  </si>
  <si>
    <t>Harvey</t>
  </si>
  <si>
    <t>Barnes</t>
  </si>
  <si>
    <t>Guimarães Rodriguez Moura</t>
  </si>
  <si>
    <t>Bruno G.</t>
  </si>
  <si>
    <t>Dan</t>
  </si>
  <si>
    <t>Burn</t>
  </si>
  <si>
    <t>Anthony</t>
  </si>
  <si>
    <t>Gordon</t>
  </si>
  <si>
    <t>Hall</t>
  </si>
  <si>
    <t>Alexander</t>
  </si>
  <si>
    <t>Isak</t>
  </si>
  <si>
    <t>Joelinton Cássio</t>
  </si>
  <si>
    <t>Apolinário de Lira</t>
  </si>
  <si>
    <t>Joelinton</t>
  </si>
  <si>
    <t>Tino</t>
  </si>
  <si>
    <t>Livramento</t>
  </si>
  <si>
    <t>Nick</t>
  </si>
  <si>
    <t>Pope</t>
  </si>
  <si>
    <t>Fabian</t>
  </si>
  <si>
    <t>Schär</t>
  </si>
  <si>
    <t>Ola</t>
  </si>
  <si>
    <t>Aina</t>
  </si>
  <si>
    <t>Elliot</t>
  </si>
  <si>
    <t>Anderson</t>
  </si>
  <si>
    <t>Elanga</t>
  </si>
  <si>
    <t>Callum</t>
  </si>
  <si>
    <t>Hudson-Odoi</t>
  </si>
  <si>
    <t>Murillo</t>
  </si>
  <si>
    <t>Santiago Costa dos Santos</t>
  </si>
  <si>
    <t>Matz</t>
  </si>
  <si>
    <t>Sels</t>
  </si>
  <si>
    <t>Chris</t>
  </si>
  <si>
    <t>Wood</t>
  </si>
  <si>
    <t>Yates</t>
  </si>
  <si>
    <t>Adam</t>
  </si>
  <si>
    <t>Armstrong</t>
  </si>
  <si>
    <t>Kyle</t>
  </si>
  <si>
    <t>Walker-Peters</t>
  </si>
  <si>
    <t>Flynn</t>
  </si>
  <si>
    <t>Downes</t>
  </si>
  <si>
    <t>Brennan</t>
  </si>
  <si>
    <t>Johnson</t>
  </si>
  <si>
    <t>Dejan</t>
  </si>
  <si>
    <t>Kulusevski</t>
  </si>
  <si>
    <t>Maddison</t>
  </si>
  <si>
    <t>Porro</t>
  </si>
  <si>
    <t>Pedro Porro</t>
  </si>
  <si>
    <t>Son</t>
  </si>
  <si>
    <t>Heung-min</t>
  </si>
  <si>
    <t>Destiny</t>
  </si>
  <si>
    <t>Udogie</t>
  </si>
  <si>
    <t>Guglielmo</t>
  </si>
  <si>
    <t>Vicario</t>
  </si>
  <si>
    <t>Timo</t>
  </si>
  <si>
    <t>Werner</t>
  </si>
  <si>
    <t>Aaron</t>
  </si>
  <si>
    <t>Wan-Bissaka</t>
  </si>
  <si>
    <t>Jarrod</t>
  </si>
  <si>
    <t>Bowen</t>
  </si>
  <si>
    <t>Emerson</t>
  </si>
  <si>
    <t>Palmieri dos Santos</t>
  </si>
  <si>
    <t>Max</t>
  </si>
  <si>
    <t>Kilman</t>
  </si>
  <si>
    <t>Tolentino Coelho de Lima</t>
  </si>
  <si>
    <t>L.Paquetá</t>
  </si>
  <si>
    <t>Tomáš</t>
  </si>
  <si>
    <t>Souček</t>
  </si>
  <si>
    <t>Rayan</t>
  </si>
  <si>
    <t>Aït-Nouri</t>
  </si>
  <si>
    <t>Matheus</t>
  </si>
  <si>
    <t>Santos Carneiro Da Cunha</t>
  </si>
  <si>
    <t>Cunha</t>
  </si>
  <si>
    <t>Gonçalo Manuel</t>
  </si>
  <si>
    <t>Ganchinho Guedes</t>
  </si>
  <si>
    <t>Guedes</t>
  </si>
  <si>
    <t>João Victor</t>
  </si>
  <si>
    <t>Gomes da Silva</t>
  </si>
  <si>
    <t>J.Gomes</t>
  </si>
  <si>
    <t>Mario</t>
  </si>
  <si>
    <t>Lemina</t>
  </si>
  <si>
    <t>Mario Jr.</t>
  </si>
  <si>
    <t>Jørgen</t>
  </si>
  <si>
    <t>Strand Larsen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</si>
</sst>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M143" totalsRowShown="0">
  <autoFilter ref="A1:AM143" xr:uid="{00000000-0009-0000-0100-000001000000}">
    <filterColumn colId="38">
      <filters>
        <filter val="1"/>
      </filters>
    </filterColumn>
  </autoFilter>
  <sortState xmlns:xlrd2="http://schemas.microsoft.com/office/spreadsheetml/2017/richdata2" ref="A7:AM139">
    <sortCondition descending="1" ref="AJ1:AJ143"/>
  </sortState>
  <tableColumns count="39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CHE"/>
    <tableColumn id="16" xr3:uid="{00000000-0010-0000-0000-000010000000}" name="CRY"/>
    <tableColumn id="17" xr3:uid="{00000000-0010-0000-0000-000011000000}" name="EVE"/>
    <tableColumn id="18" xr3:uid="{00000000-0010-0000-0000-000012000000}" name="FUL"/>
    <tableColumn id="19" xr3:uid="{00000000-0010-0000-0000-000013000000}" name="IPS"/>
    <tableColumn id="20" xr3:uid="{00000000-0010-0000-0000-000014000000}" name="LEI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O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FOREST"/>
    <tableColumn id="35" xr3:uid="{00000000-0010-0000-0000-000023000000}" name="PP"/>
    <tableColumn id="36" xr3:uid="{00000000-0010-0000-0000-000024000000}" name="NEXT"/>
    <tableColumn id="37" xr3:uid="{00000000-0010-0000-0000-000025000000}" name="Health"/>
    <tableColumn id="38" xr3:uid="{00000000-0010-0000-0000-000026000000}" name="PREV"/>
    <tableColumn id="39" xr3:uid="{00000000-0010-0000-0000-000027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43"/>
  <sheetViews>
    <sheetView tabSelected="1" zoomScale="150" zoomScaleNormal="150" workbookViewId="0">
      <selection activeCell="C15" sqref="C15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4" width="0" hidden="1" customWidth="1"/>
  </cols>
  <sheetData>
    <row r="1" spans="1:43" x14ac:dyDescent="0.2">
      <c r="A1" t="s">
        <v>31</v>
      </c>
      <c r="B1" t="s">
        <v>32</v>
      </c>
      <c r="C1" t="s">
        <v>33</v>
      </c>
      <c r="D1" t="s">
        <v>34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9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</row>
    <row r="2" spans="1:43" hidden="1" x14ac:dyDescent="0.2">
      <c r="A2" t="s">
        <v>45</v>
      </c>
      <c r="B2" t="s">
        <v>46</v>
      </c>
      <c r="C2" t="s">
        <v>45</v>
      </c>
      <c r="D2" t="s">
        <v>4</v>
      </c>
      <c r="E2">
        <v>0</v>
      </c>
      <c r="F2">
        <v>1</v>
      </c>
      <c r="G2">
        <v>0</v>
      </c>
      <c r="H2">
        <v>0</v>
      </c>
      <c r="I2" t="s">
        <v>11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6.2</v>
      </c>
      <c r="AE2">
        <v>2</v>
      </c>
      <c r="AF2">
        <v>19.26914620308483</v>
      </c>
      <c r="AG2">
        <v>14.835965021977421</v>
      </c>
      <c r="AH2">
        <v>24.265037251628709</v>
      </c>
      <c r="AI2">
        <f>7.65740980622533*0.75</f>
        <v>5.7430573546689976</v>
      </c>
      <c r="AJ2">
        <f>1.67418591397761*0.75</f>
        <v>1.2556394354832077</v>
      </c>
      <c r="AK2">
        <v>0.75</v>
      </c>
      <c r="AL2">
        <v>1</v>
      </c>
      <c r="AM2">
        <v>0</v>
      </c>
      <c r="AO2" t="s">
        <v>0</v>
      </c>
      <c r="AP2">
        <f>SUMPRODUCT(Table1[Selected], Table1[PP])</f>
        <v>366.91327161710433</v>
      </c>
      <c r="AQ2" t="s">
        <v>1</v>
      </c>
    </row>
    <row r="3" spans="1:43" hidden="1" x14ac:dyDescent="0.2">
      <c r="A3" t="s">
        <v>47</v>
      </c>
      <c r="B3" t="s">
        <v>48</v>
      </c>
      <c r="C3" t="s">
        <v>48</v>
      </c>
      <c r="D3" t="s">
        <v>6</v>
      </c>
      <c r="E3">
        <v>0</v>
      </c>
      <c r="F3">
        <v>0</v>
      </c>
      <c r="G3">
        <v>0</v>
      </c>
      <c r="H3">
        <v>1</v>
      </c>
      <c r="I3" t="s">
        <v>11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7.9</v>
      </c>
      <c r="AE3">
        <v>3</v>
      </c>
      <c r="AF3">
        <v>18.597540194904798</v>
      </c>
      <c r="AG3">
        <v>14.154717942350061</v>
      </c>
      <c r="AH3">
        <v>15.149368809170181</v>
      </c>
      <c r="AI3">
        <f>8.10555311426575*1</f>
        <v>8.1055531142657493</v>
      </c>
      <c r="AJ3">
        <f>1.62058658150995*1</f>
        <v>1.6205865815099501</v>
      </c>
      <c r="AK3">
        <v>1</v>
      </c>
      <c r="AL3">
        <v>0</v>
      </c>
      <c r="AM3">
        <v>0</v>
      </c>
    </row>
    <row r="4" spans="1:43" hidden="1" x14ac:dyDescent="0.2">
      <c r="A4" t="s">
        <v>49</v>
      </c>
      <c r="B4" t="s">
        <v>50</v>
      </c>
      <c r="C4" t="s">
        <v>51</v>
      </c>
      <c r="D4" t="s">
        <v>4</v>
      </c>
      <c r="E4">
        <v>0</v>
      </c>
      <c r="F4">
        <v>1</v>
      </c>
      <c r="G4">
        <v>0</v>
      </c>
      <c r="H4">
        <v>0</v>
      </c>
      <c r="I4" t="s">
        <v>11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5.5</v>
      </c>
      <c r="AE4">
        <v>5</v>
      </c>
      <c r="AF4">
        <v>0</v>
      </c>
      <c r="AG4">
        <v>0</v>
      </c>
      <c r="AH4">
        <v>0</v>
      </c>
      <c r="AI4">
        <f>0*1</f>
        <v>0</v>
      </c>
      <c r="AJ4">
        <f>0*1</f>
        <v>0</v>
      </c>
      <c r="AK4">
        <v>1</v>
      </c>
      <c r="AL4">
        <v>0</v>
      </c>
      <c r="AM4">
        <v>0</v>
      </c>
      <c r="AO4" t="s">
        <v>2</v>
      </c>
      <c r="AP4">
        <f>SUMPRODUCT(Table1[Selected],Table1[Cost])</f>
        <v>96.90000000000002</v>
      </c>
      <c r="AQ4">
        <v>99.899999999999991</v>
      </c>
    </row>
    <row r="5" spans="1:43" hidden="1" x14ac:dyDescent="0.2">
      <c r="A5" t="s">
        <v>45</v>
      </c>
      <c r="B5" t="s">
        <v>52</v>
      </c>
      <c r="C5" t="s">
        <v>53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11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6.9</v>
      </c>
      <c r="AE5">
        <v>8</v>
      </c>
      <c r="AF5">
        <v>22.088607594936711</v>
      </c>
      <c r="AG5">
        <v>23.23610943919104</v>
      </c>
      <c r="AH5">
        <v>13.48908618584851</v>
      </c>
      <c r="AI5">
        <f>17.8106166068155*1</f>
        <v>17.810616606815501</v>
      </c>
      <c r="AJ5">
        <f>3.02453514990652*1</f>
        <v>3.0245351499065198</v>
      </c>
      <c r="AK5">
        <v>1</v>
      </c>
      <c r="AL5">
        <v>0</v>
      </c>
      <c r="AM5">
        <v>0</v>
      </c>
    </row>
    <row r="6" spans="1:43" hidden="1" x14ac:dyDescent="0.2">
      <c r="A6" t="s">
        <v>54</v>
      </c>
      <c r="B6" t="s">
        <v>55</v>
      </c>
      <c r="C6" t="s">
        <v>56</v>
      </c>
      <c r="D6" t="s">
        <v>3</v>
      </c>
      <c r="E6">
        <v>1</v>
      </c>
      <c r="F6">
        <v>0</v>
      </c>
      <c r="G6">
        <v>0</v>
      </c>
      <c r="H6">
        <v>0</v>
      </c>
      <c r="I6" t="s">
        <v>11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5.5</v>
      </c>
      <c r="AE6">
        <v>11</v>
      </c>
      <c r="AF6">
        <v>20.52884615384615</v>
      </c>
      <c r="AG6">
        <v>20.777685273302801</v>
      </c>
      <c r="AH6">
        <v>13.740723738112809</v>
      </c>
      <c r="AI6">
        <f>7.15608757355571*1</f>
        <v>7.1560875735557099</v>
      </c>
      <c r="AJ6">
        <f>1.44223682223412*1</f>
        <v>1.44223682223412</v>
      </c>
      <c r="AK6">
        <v>1</v>
      </c>
      <c r="AL6">
        <v>0</v>
      </c>
      <c r="AM6">
        <v>0</v>
      </c>
      <c r="AO6" t="s">
        <v>3</v>
      </c>
      <c r="AP6">
        <f>SUMPRODUCT(Table1[Selected],Table1[GKP])</f>
        <v>2</v>
      </c>
      <c r="AQ6">
        <v>2</v>
      </c>
    </row>
    <row r="7" spans="1:43" x14ac:dyDescent="0.2">
      <c r="A7" t="s">
        <v>329</v>
      </c>
      <c r="B7" t="s">
        <v>330</v>
      </c>
      <c r="C7" t="s">
        <v>331</v>
      </c>
      <c r="D7" t="s">
        <v>6</v>
      </c>
      <c r="E7">
        <v>0</v>
      </c>
      <c r="F7">
        <v>0</v>
      </c>
      <c r="G7">
        <v>0</v>
      </c>
      <c r="H7">
        <v>1</v>
      </c>
      <c r="I7" t="s">
        <v>30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7.1</v>
      </c>
      <c r="AE7">
        <v>659</v>
      </c>
      <c r="AF7">
        <v>49.608835073306331</v>
      </c>
      <c r="AG7">
        <v>16.066878999297199</v>
      </c>
      <c r="AH7">
        <v>57.215836882297339</v>
      </c>
      <c r="AI7">
        <f>61.1263828516115*1</f>
        <v>61.126382851611503</v>
      </c>
      <c r="AJ7">
        <f>13.3041437880429*1</f>
        <v>13.3041437880429</v>
      </c>
      <c r="AK7">
        <v>1</v>
      </c>
      <c r="AL7">
        <v>1</v>
      </c>
      <c r="AM7">
        <v>1</v>
      </c>
      <c r="AO7" t="s">
        <v>4</v>
      </c>
      <c r="AP7">
        <f>SUMPRODUCT(Table1[Selected],Table1[DEF])</f>
        <v>5</v>
      </c>
      <c r="AQ7">
        <v>5</v>
      </c>
    </row>
    <row r="8" spans="1:43" hidden="1" x14ac:dyDescent="0.2">
      <c r="A8" t="s">
        <v>59</v>
      </c>
      <c r="B8" t="s">
        <v>60</v>
      </c>
      <c r="C8" t="s">
        <v>59</v>
      </c>
      <c r="D8" t="s">
        <v>5</v>
      </c>
      <c r="E8">
        <v>0</v>
      </c>
      <c r="F8">
        <v>0</v>
      </c>
      <c r="G8">
        <v>1</v>
      </c>
      <c r="H8">
        <v>0</v>
      </c>
      <c r="I8" t="s">
        <v>11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5</v>
      </c>
      <c r="AE8">
        <v>15</v>
      </c>
      <c r="AF8">
        <v>12.009803921568629</v>
      </c>
      <c r="AG8">
        <v>10.45686493533011</v>
      </c>
      <c r="AH8">
        <v>35.860292549555709</v>
      </c>
      <c r="AI8">
        <f>11.0149790053381*1</f>
        <v>11.0149790053381</v>
      </c>
      <c r="AJ8">
        <f>1.93671768055391*1</f>
        <v>1.9367176805539099</v>
      </c>
      <c r="AK8">
        <v>1</v>
      </c>
      <c r="AL8">
        <v>0</v>
      </c>
      <c r="AM8">
        <v>0</v>
      </c>
      <c r="AO8" t="s">
        <v>5</v>
      </c>
      <c r="AP8">
        <f>SUMPRODUCT(Table1[Selected],Table1[MID])</f>
        <v>5</v>
      </c>
      <c r="AQ8">
        <v>5</v>
      </c>
    </row>
    <row r="9" spans="1:43" hidden="1" x14ac:dyDescent="0.2">
      <c r="A9" t="s">
        <v>61</v>
      </c>
      <c r="B9" t="s">
        <v>62</v>
      </c>
      <c r="C9" t="s">
        <v>62</v>
      </c>
      <c r="D9" t="s">
        <v>5</v>
      </c>
      <c r="E9">
        <v>0</v>
      </c>
      <c r="F9">
        <v>0</v>
      </c>
      <c r="G9">
        <v>1</v>
      </c>
      <c r="H9">
        <v>0</v>
      </c>
      <c r="I9" t="s">
        <v>11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6.8</v>
      </c>
      <c r="AE9">
        <v>18</v>
      </c>
      <c r="AF9">
        <v>19.438202247191011</v>
      </c>
      <c r="AG9">
        <v>20.040314385316229</v>
      </c>
      <c r="AH9">
        <v>30.183739910771639</v>
      </c>
      <c r="AI9">
        <f>18.3034453997026*1</f>
        <v>18.3034453997026</v>
      </c>
      <c r="AJ9">
        <f>3.54076766105075*1</f>
        <v>3.5407676610507499</v>
      </c>
      <c r="AK9">
        <v>1</v>
      </c>
      <c r="AL9">
        <v>0</v>
      </c>
      <c r="AM9">
        <v>0</v>
      </c>
      <c r="AO9" t="s">
        <v>6</v>
      </c>
      <c r="AP9">
        <f>SUMPRODUCT(Table1[Selected],Table1[FWD])</f>
        <v>3</v>
      </c>
      <c r="AQ9">
        <v>3</v>
      </c>
    </row>
    <row r="10" spans="1:43" hidden="1" x14ac:dyDescent="0.2">
      <c r="A10" t="s">
        <v>63</v>
      </c>
      <c r="B10" t="s">
        <v>64</v>
      </c>
      <c r="C10" t="s">
        <v>64</v>
      </c>
      <c r="D10" t="s">
        <v>5</v>
      </c>
      <c r="E10">
        <v>0</v>
      </c>
      <c r="F10">
        <v>0</v>
      </c>
      <c r="G10">
        <v>1</v>
      </c>
      <c r="H10">
        <v>0</v>
      </c>
      <c r="I10" t="s">
        <v>12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6.3</v>
      </c>
      <c r="AE10">
        <v>33</v>
      </c>
      <c r="AF10">
        <v>15.87628865979381</v>
      </c>
      <c r="AG10">
        <v>15.759577158402291</v>
      </c>
      <c r="AH10">
        <v>9.3428571428571434</v>
      </c>
      <c r="AI10">
        <f>10.2964409521077*1</f>
        <v>10.2964409521077</v>
      </c>
      <c r="AJ10">
        <f>1.96253335741307*1</f>
        <v>1.9625333574130699</v>
      </c>
      <c r="AK10">
        <v>1</v>
      </c>
      <c r="AL10">
        <v>0</v>
      </c>
      <c r="AM10">
        <v>0</v>
      </c>
    </row>
    <row r="11" spans="1:43" hidden="1" x14ac:dyDescent="0.2">
      <c r="A11" t="s">
        <v>65</v>
      </c>
      <c r="B11" t="s">
        <v>66</v>
      </c>
      <c r="C11" t="s">
        <v>66</v>
      </c>
      <c r="D11" t="s">
        <v>5</v>
      </c>
      <c r="E11">
        <v>0</v>
      </c>
      <c r="F11">
        <v>0</v>
      </c>
      <c r="G11">
        <v>1</v>
      </c>
      <c r="H11">
        <v>0</v>
      </c>
      <c r="I11" t="s">
        <v>12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5.2</v>
      </c>
      <c r="AE11">
        <v>34</v>
      </c>
      <c r="AF11">
        <v>15.30778657545353</v>
      </c>
      <c r="AG11">
        <v>14.359216789395861</v>
      </c>
      <c r="AH11">
        <v>26.101934515227931</v>
      </c>
      <c r="AI11">
        <f>15.1043239169826*1</f>
        <v>15.104323916982599</v>
      </c>
      <c r="AJ11">
        <f>3.33344257886492*1</f>
        <v>3.3334425788649198</v>
      </c>
      <c r="AK11">
        <v>1</v>
      </c>
      <c r="AL11">
        <v>0</v>
      </c>
      <c r="AM11">
        <v>0</v>
      </c>
      <c r="AO11" t="s">
        <v>7</v>
      </c>
      <c r="AP11">
        <f>SUMPRODUCT(Table1[Selected], -- (Table1[PREV] = 0))</f>
        <v>2</v>
      </c>
    </row>
    <row r="12" spans="1:43" hidden="1" x14ac:dyDescent="0.2">
      <c r="A12" t="s">
        <v>67</v>
      </c>
      <c r="B12" t="s">
        <v>68</v>
      </c>
      <c r="C12" t="s">
        <v>68</v>
      </c>
      <c r="D12" t="s">
        <v>4</v>
      </c>
      <c r="E12">
        <v>0</v>
      </c>
      <c r="F12">
        <v>1</v>
      </c>
      <c r="G12">
        <v>0</v>
      </c>
      <c r="H12">
        <v>0</v>
      </c>
      <c r="I12" t="s">
        <v>12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4.7</v>
      </c>
      <c r="AE12">
        <v>41</v>
      </c>
      <c r="AF12">
        <v>13.10462269049642</v>
      </c>
      <c r="AG12">
        <v>17.057664677338298</v>
      </c>
      <c r="AH12">
        <v>5.1809493239169493</v>
      </c>
      <c r="AI12">
        <f>6.53527234505217*1</f>
        <v>6.5352723450521699</v>
      </c>
      <c r="AJ12">
        <f>1.2674200563391*1</f>
        <v>1.2674200563391</v>
      </c>
      <c r="AK12">
        <v>1</v>
      </c>
      <c r="AL12">
        <v>0</v>
      </c>
      <c r="AM12">
        <v>0</v>
      </c>
      <c r="AO12" t="s">
        <v>8</v>
      </c>
      <c r="AP12">
        <v>1</v>
      </c>
    </row>
    <row r="13" spans="1:43" hidden="1" x14ac:dyDescent="0.2">
      <c r="A13" t="s">
        <v>69</v>
      </c>
      <c r="B13" t="s">
        <v>70</v>
      </c>
      <c r="C13" t="s">
        <v>70</v>
      </c>
      <c r="D13" t="s">
        <v>5</v>
      </c>
      <c r="E13">
        <v>0</v>
      </c>
      <c r="F13">
        <v>0</v>
      </c>
      <c r="G13">
        <v>1</v>
      </c>
      <c r="H13">
        <v>0</v>
      </c>
      <c r="I13" t="s">
        <v>12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5.2</v>
      </c>
      <c r="AE13">
        <v>53</v>
      </c>
      <c r="AF13">
        <v>14.826589595375751</v>
      </c>
      <c r="AG13">
        <v>16.918433951714299</v>
      </c>
      <c r="AH13">
        <v>13.24242675469862</v>
      </c>
      <c r="AI13">
        <f>8.83472587975925*1</f>
        <v>8.8347258797592492</v>
      </c>
      <c r="AJ13">
        <f>1.83686921595938*1</f>
        <v>1.83686921595938</v>
      </c>
      <c r="AK13">
        <v>1</v>
      </c>
      <c r="AL13">
        <v>0</v>
      </c>
      <c r="AM13">
        <v>0</v>
      </c>
    </row>
    <row r="14" spans="1:43" hidden="1" x14ac:dyDescent="0.2">
      <c r="A14" t="s">
        <v>71</v>
      </c>
      <c r="B14" t="s">
        <v>72</v>
      </c>
      <c r="C14" t="s">
        <v>72</v>
      </c>
      <c r="D14" t="s">
        <v>5</v>
      </c>
      <c r="E14">
        <v>0</v>
      </c>
      <c r="F14">
        <v>0</v>
      </c>
      <c r="G14">
        <v>1</v>
      </c>
      <c r="H14">
        <v>0</v>
      </c>
      <c r="I14" t="s">
        <v>12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5.4</v>
      </c>
      <c r="AE14">
        <v>58</v>
      </c>
      <c r="AF14">
        <v>13.87387387387388</v>
      </c>
      <c r="AG14">
        <v>12.08510913107566</v>
      </c>
      <c r="AH14">
        <v>9.4571428571428573</v>
      </c>
      <c r="AI14">
        <f>6.7379201797784*1</f>
        <v>6.7379201797784001</v>
      </c>
      <c r="AJ14">
        <f>1.2221032250101*1</f>
        <v>1.2221032250101</v>
      </c>
      <c r="AK14">
        <v>1</v>
      </c>
      <c r="AL14">
        <v>0</v>
      </c>
      <c r="AM14">
        <v>0</v>
      </c>
      <c r="AO14" t="s">
        <v>9</v>
      </c>
      <c r="AP14">
        <f>((AP11-AP12)+ABS((AP11-AP12)))/2*4</f>
        <v>4</v>
      </c>
    </row>
    <row r="15" spans="1:43" x14ac:dyDescent="0.2">
      <c r="A15" t="s">
        <v>57</v>
      </c>
      <c r="B15" t="s">
        <v>58</v>
      </c>
      <c r="C15" t="s">
        <v>58</v>
      </c>
      <c r="D15" t="s">
        <v>5</v>
      </c>
      <c r="E15">
        <v>0</v>
      </c>
      <c r="F15">
        <v>0</v>
      </c>
      <c r="G15">
        <v>1</v>
      </c>
      <c r="H15">
        <v>0</v>
      </c>
      <c r="I15" t="s">
        <v>11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10.3</v>
      </c>
      <c r="AE15">
        <v>13</v>
      </c>
      <c r="AF15">
        <v>38.077136925509272</v>
      </c>
      <c r="AG15">
        <v>22.576454496443489</v>
      </c>
      <c r="AH15">
        <v>47.629479707559312</v>
      </c>
      <c r="AI15">
        <f>37.8609774986059*1</f>
        <v>37.860977498605898</v>
      </c>
      <c r="AJ15">
        <f>7.88948356106879*1</f>
        <v>7.8894835610687899</v>
      </c>
      <c r="AK15">
        <v>1</v>
      </c>
      <c r="AL15">
        <v>0</v>
      </c>
      <c r="AM15">
        <v>1</v>
      </c>
    </row>
    <row r="16" spans="1:43" hidden="1" x14ac:dyDescent="0.2">
      <c r="A16" t="s">
        <v>75</v>
      </c>
      <c r="B16" t="s">
        <v>76</v>
      </c>
      <c r="C16" t="s">
        <v>76</v>
      </c>
      <c r="D16" t="s">
        <v>6</v>
      </c>
      <c r="E16">
        <v>0</v>
      </c>
      <c r="F16">
        <v>0</v>
      </c>
      <c r="G16">
        <v>0</v>
      </c>
      <c r="H16">
        <v>1</v>
      </c>
      <c r="I16" t="s">
        <v>12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9</v>
      </c>
      <c r="AE16">
        <v>63</v>
      </c>
      <c r="AF16">
        <v>23.954248366013061</v>
      </c>
      <c r="AG16">
        <v>20.647400900316619</v>
      </c>
      <c r="AH16">
        <v>23.560263403450069</v>
      </c>
      <c r="AI16">
        <f>15.8463111473317*1</f>
        <v>15.846311147331701</v>
      </c>
      <c r="AJ16">
        <f>2.97326586484108*1</f>
        <v>2.9732658648410801</v>
      </c>
      <c r="AK16">
        <v>1</v>
      </c>
      <c r="AL16">
        <v>0</v>
      </c>
      <c r="AM16">
        <v>0</v>
      </c>
      <c r="AO16" t="s">
        <v>10</v>
      </c>
      <c r="AP16">
        <f>AP2-AP14*5</f>
        <v>346.91327161710433</v>
      </c>
    </row>
    <row r="17" spans="1:43" hidden="1" x14ac:dyDescent="0.2">
      <c r="A17" t="s">
        <v>77</v>
      </c>
      <c r="B17" t="s">
        <v>78</v>
      </c>
      <c r="C17" t="s">
        <v>78</v>
      </c>
      <c r="D17" t="s">
        <v>5</v>
      </c>
      <c r="E17">
        <v>0</v>
      </c>
      <c r="F17">
        <v>0</v>
      </c>
      <c r="G17">
        <v>1</v>
      </c>
      <c r="H17">
        <v>0</v>
      </c>
      <c r="I17" t="s">
        <v>13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4.9000000000000004</v>
      </c>
      <c r="AE17">
        <v>75</v>
      </c>
      <c r="AF17">
        <v>10.87197252505136</v>
      </c>
      <c r="AG17">
        <v>10.21180270042915</v>
      </c>
      <c r="AH17">
        <v>7.5333333333333332</v>
      </c>
      <c r="AI17">
        <f>8.57341517742244*1</f>
        <v>8.5734151774224401</v>
      </c>
      <c r="AJ17">
        <f>1.68569980577016*1</f>
        <v>1.68569980577016</v>
      </c>
      <c r="AK17">
        <v>1</v>
      </c>
      <c r="AL17">
        <v>0</v>
      </c>
      <c r="AM17">
        <v>0</v>
      </c>
    </row>
    <row r="18" spans="1:43" hidden="1" x14ac:dyDescent="0.2">
      <c r="A18" t="s">
        <v>79</v>
      </c>
      <c r="B18" t="s">
        <v>80</v>
      </c>
      <c r="C18" t="s">
        <v>80</v>
      </c>
      <c r="D18" t="s">
        <v>5</v>
      </c>
      <c r="E18">
        <v>0</v>
      </c>
      <c r="F18">
        <v>0</v>
      </c>
      <c r="G18">
        <v>1</v>
      </c>
      <c r="H18">
        <v>0</v>
      </c>
      <c r="I18" t="s">
        <v>13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</v>
      </c>
      <c r="AE18">
        <v>76</v>
      </c>
      <c r="AF18">
        <v>13.047619520620101</v>
      </c>
      <c r="AG18">
        <v>7.9758269310830903</v>
      </c>
      <c r="AH18">
        <v>21.40173855311356</v>
      </c>
      <c r="AI18">
        <f>11.6533725660885*1</f>
        <v>11.6533725660885</v>
      </c>
      <c r="AJ18">
        <f>2.16720453636311*1</f>
        <v>2.1672045363631098</v>
      </c>
      <c r="AK18">
        <v>1</v>
      </c>
      <c r="AL18">
        <v>0</v>
      </c>
      <c r="AM18">
        <v>0</v>
      </c>
      <c r="AO18" t="s">
        <v>11</v>
      </c>
      <c r="AP18">
        <f>SUMPRODUCT(Table1[Selected],Table1[ARS])</f>
        <v>1</v>
      </c>
      <c r="AQ18">
        <v>3</v>
      </c>
    </row>
    <row r="19" spans="1:43" hidden="1" x14ac:dyDescent="0.2">
      <c r="A19" t="s">
        <v>81</v>
      </c>
      <c r="B19" t="s">
        <v>82</v>
      </c>
      <c r="C19" t="s">
        <v>82</v>
      </c>
      <c r="D19" t="s">
        <v>4</v>
      </c>
      <c r="E19">
        <v>0</v>
      </c>
      <c r="F19">
        <v>1</v>
      </c>
      <c r="G19">
        <v>0</v>
      </c>
      <c r="H19">
        <v>0</v>
      </c>
      <c r="I19" t="s">
        <v>13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4.4000000000000004</v>
      </c>
      <c r="AE19">
        <v>82</v>
      </c>
      <c r="AF19">
        <v>11.625</v>
      </c>
      <c r="AG19">
        <v>9.5270845446051986</v>
      </c>
      <c r="AH19">
        <v>30.407789675701299</v>
      </c>
      <c r="AI19">
        <f>19.5913974100143*1</f>
        <v>19.591397410014299</v>
      </c>
      <c r="AJ19">
        <f>4.0591451312002*1</f>
        <v>4.0591451312002</v>
      </c>
      <c r="AK19">
        <v>1</v>
      </c>
      <c r="AL19">
        <v>0</v>
      </c>
      <c r="AM19">
        <v>0</v>
      </c>
      <c r="AO19" t="s">
        <v>12</v>
      </c>
      <c r="AP19">
        <f>SUMPRODUCT(Table1[Selected],Table1[AVL])</f>
        <v>1</v>
      </c>
      <c r="AQ19">
        <v>3</v>
      </c>
    </row>
    <row r="20" spans="1:43" hidden="1" x14ac:dyDescent="0.2">
      <c r="A20" t="s">
        <v>83</v>
      </c>
      <c r="B20" t="s">
        <v>84</v>
      </c>
      <c r="C20" t="s">
        <v>84</v>
      </c>
      <c r="D20" t="s">
        <v>5</v>
      </c>
      <c r="E20">
        <v>0</v>
      </c>
      <c r="F20">
        <v>0</v>
      </c>
      <c r="G20">
        <v>1</v>
      </c>
      <c r="H20">
        <v>0</v>
      </c>
      <c r="I20" t="s">
        <v>13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5.3</v>
      </c>
      <c r="AE20">
        <v>83</v>
      </c>
      <c r="AF20">
        <v>17.61363636363636</v>
      </c>
      <c r="AG20">
        <v>13.73150876935669</v>
      </c>
      <c r="AH20">
        <v>30.166666666666661</v>
      </c>
      <c r="AI20">
        <f>18.0121017288284*1</f>
        <v>18.012101728828402</v>
      </c>
      <c r="AJ20">
        <f>3.94587277500989*1</f>
        <v>3.9458727750098901</v>
      </c>
      <c r="AK20">
        <v>1</v>
      </c>
      <c r="AL20">
        <v>0</v>
      </c>
      <c r="AM20">
        <v>0</v>
      </c>
      <c r="AO20" t="s">
        <v>13</v>
      </c>
      <c r="AP20">
        <f>SUMPRODUCT(Table1[Selected],Table1[BOU])</f>
        <v>0</v>
      </c>
      <c r="AQ20">
        <v>3</v>
      </c>
    </row>
    <row r="21" spans="1:43" hidden="1" x14ac:dyDescent="0.2">
      <c r="A21" t="s">
        <v>85</v>
      </c>
      <c r="B21" t="s">
        <v>86</v>
      </c>
      <c r="C21" t="s">
        <v>86</v>
      </c>
      <c r="D21" t="s">
        <v>5</v>
      </c>
      <c r="E21">
        <v>0</v>
      </c>
      <c r="F21">
        <v>0</v>
      </c>
      <c r="G21">
        <v>1</v>
      </c>
      <c r="H21">
        <v>0</v>
      </c>
      <c r="I21" t="s">
        <v>13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5.7</v>
      </c>
      <c r="AE21">
        <v>89</v>
      </c>
      <c r="AF21">
        <v>15.84905660377359</v>
      </c>
      <c r="AG21">
        <v>13.222989175946431</v>
      </c>
      <c r="AH21">
        <v>19.313205669341951</v>
      </c>
      <c r="AI21">
        <f>7.94597935644123*1</f>
        <v>7.9459793564412298</v>
      </c>
      <c r="AJ21">
        <f>1.65313505157626*1</f>
        <v>1.65313505157626</v>
      </c>
      <c r="AK21">
        <v>1</v>
      </c>
      <c r="AL21">
        <v>0</v>
      </c>
      <c r="AM21">
        <v>0</v>
      </c>
      <c r="AO21" t="s">
        <v>14</v>
      </c>
      <c r="AP21">
        <f>SUMPRODUCT(Table1[Selected],Table1[BRE])</f>
        <v>1</v>
      </c>
      <c r="AQ21">
        <v>3</v>
      </c>
    </row>
    <row r="22" spans="1:43" hidden="1" x14ac:dyDescent="0.2">
      <c r="A22" t="s">
        <v>87</v>
      </c>
      <c r="B22" t="s">
        <v>88</v>
      </c>
      <c r="C22" t="s">
        <v>88</v>
      </c>
      <c r="D22" t="s">
        <v>5</v>
      </c>
      <c r="E22">
        <v>0</v>
      </c>
      <c r="F22">
        <v>0</v>
      </c>
      <c r="G22">
        <v>1</v>
      </c>
      <c r="H22">
        <v>0</v>
      </c>
      <c r="I22" t="s">
        <v>13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5.5</v>
      </c>
      <c r="AE22">
        <v>93</v>
      </c>
      <c r="AF22">
        <v>16.71875</v>
      </c>
      <c r="AG22">
        <v>18.400332882898589</v>
      </c>
      <c r="AH22">
        <v>12.65454545454546</v>
      </c>
      <c r="AI22">
        <f>10.0963265098829*1</f>
        <v>10.0963265098829</v>
      </c>
      <c r="AJ22">
        <f>1.89861186272849*1</f>
        <v>1.89861186272849</v>
      </c>
      <c r="AK22">
        <v>1</v>
      </c>
      <c r="AL22">
        <v>0</v>
      </c>
      <c r="AM22">
        <v>0</v>
      </c>
      <c r="AO22" t="s">
        <v>15</v>
      </c>
      <c r="AP22">
        <f>SUMPRODUCT(Table1[Selected],Table1[BHA])</f>
        <v>1</v>
      </c>
      <c r="AQ22">
        <v>3</v>
      </c>
    </row>
    <row r="23" spans="1:43" hidden="1" x14ac:dyDescent="0.2">
      <c r="A23" t="s">
        <v>89</v>
      </c>
      <c r="B23" t="s">
        <v>90</v>
      </c>
      <c r="C23" t="s">
        <v>90</v>
      </c>
      <c r="D23" t="s">
        <v>4</v>
      </c>
      <c r="E23">
        <v>0</v>
      </c>
      <c r="F23">
        <v>1</v>
      </c>
      <c r="G23">
        <v>0</v>
      </c>
      <c r="H23">
        <v>0</v>
      </c>
      <c r="I23" t="s">
        <v>14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4.5</v>
      </c>
      <c r="AE23">
        <v>105</v>
      </c>
      <c r="AF23">
        <v>12.72727272727273</v>
      </c>
      <c r="AG23">
        <v>10.7793933066993</v>
      </c>
      <c r="AH23">
        <v>13.26015480618155</v>
      </c>
      <c r="AI23">
        <f>13.6761182987251*1</f>
        <v>13.6761182987251</v>
      </c>
      <c r="AJ23">
        <f>2.98036712204127*1</f>
        <v>2.9803671220412702</v>
      </c>
      <c r="AK23">
        <v>1</v>
      </c>
      <c r="AL23">
        <v>0</v>
      </c>
      <c r="AM23">
        <v>0</v>
      </c>
      <c r="AO23" t="s">
        <v>16</v>
      </c>
      <c r="AP23">
        <f>SUMPRODUCT(Table1[Selected],Table1[CHE])</f>
        <v>1</v>
      </c>
      <c r="AQ23">
        <v>3</v>
      </c>
    </row>
    <row r="24" spans="1:43" hidden="1" x14ac:dyDescent="0.2">
      <c r="A24" t="s">
        <v>91</v>
      </c>
      <c r="B24" t="s">
        <v>92</v>
      </c>
      <c r="C24" t="s">
        <v>92</v>
      </c>
      <c r="D24" t="s">
        <v>5</v>
      </c>
      <c r="E24">
        <v>0</v>
      </c>
      <c r="F24">
        <v>0</v>
      </c>
      <c r="G24">
        <v>1</v>
      </c>
      <c r="H24">
        <v>0</v>
      </c>
      <c r="I24" t="s">
        <v>14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5</v>
      </c>
      <c r="AE24">
        <v>106</v>
      </c>
      <c r="AF24">
        <v>23.915254073586599</v>
      </c>
      <c r="AG24">
        <v>7.6626824497952182</v>
      </c>
      <c r="AH24">
        <v>25.26690685338054</v>
      </c>
      <c r="AI24">
        <f>31.2876347768088*1</f>
        <v>31.287634776808801</v>
      </c>
      <c r="AJ24">
        <f>5.82592026815804*1</f>
        <v>5.8259202681580398</v>
      </c>
      <c r="AK24">
        <v>1</v>
      </c>
      <c r="AL24">
        <v>0</v>
      </c>
      <c r="AM24">
        <v>0</v>
      </c>
      <c r="AO24" t="s">
        <v>17</v>
      </c>
      <c r="AP24">
        <f>SUMPRODUCT(Table1[Selected],Table1[CRY])</f>
        <v>0</v>
      </c>
      <c r="AQ24">
        <v>3</v>
      </c>
    </row>
    <row r="25" spans="1:43" hidden="1" x14ac:dyDescent="0.2">
      <c r="A25" t="s">
        <v>93</v>
      </c>
      <c r="B25" t="s">
        <v>94</v>
      </c>
      <c r="C25" t="s">
        <v>94</v>
      </c>
      <c r="D25" t="s">
        <v>3</v>
      </c>
      <c r="E25">
        <v>1</v>
      </c>
      <c r="F25">
        <v>0</v>
      </c>
      <c r="G25">
        <v>0</v>
      </c>
      <c r="H25">
        <v>0</v>
      </c>
      <c r="I25" t="s">
        <v>14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4.5</v>
      </c>
      <c r="AE25">
        <v>108</v>
      </c>
      <c r="AF25">
        <v>16.122448979591841</v>
      </c>
      <c r="AG25">
        <v>21.38760086044655</v>
      </c>
      <c r="AH25">
        <v>17.483210678210671</v>
      </c>
      <c r="AI25">
        <f>13.2304554996963*1</f>
        <v>13.2304554996963</v>
      </c>
      <c r="AJ25">
        <f>2.58996594000581*1</f>
        <v>2.5899659400058099</v>
      </c>
      <c r="AK25">
        <v>1</v>
      </c>
      <c r="AL25">
        <v>0</v>
      </c>
      <c r="AM25">
        <v>0</v>
      </c>
      <c r="AO25" t="s">
        <v>18</v>
      </c>
      <c r="AP25">
        <f>SUMPRODUCT(Table1[Selected],Table1[EVE])</f>
        <v>1</v>
      </c>
      <c r="AQ25">
        <v>3</v>
      </c>
    </row>
    <row r="26" spans="1:43" hidden="1" x14ac:dyDescent="0.2">
      <c r="A26" t="s">
        <v>95</v>
      </c>
      <c r="B26" t="s">
        <v>96</v>
      </c>
      <c r="C26" t="s">
        <v>96</v>
      </c>
      <c r="D26" t="s">
        <v>5</v>
      </c>
      <c r="E26">
        <v>0</v>
      </c>
      <c r="F26">
        <v>0</v>
      </c>
      <c r="G26">
        <v>1</v>
      </c>
      <c r="H26">
        <v>0</v>
      </c>
      <c r="I26" t="s">
        <v>14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4.9000000000000004</v>
      </c>
      <c r="AE26">
        <v>111</v>
      </c>
      <c r="AF26">
        <v>13.40707964601771</v>
      </c>
      <c r="AG26">
        <v>10.765389939856719</v>
      </c>
      <c r="AH26">
        <v>11.89545244970261</v>
      </c>
      <c r="AI26">
        <f>13.0503535292111*1</f>
        <v>13.050353529211099</v>
      </c>
      <c r="AJ26">
        <f>2.63142619578203*1</f>
        <v>2.63142619578203</v>
      </c>
      <c r="AK26">
        <v>1</v>
      </c>
      <c r="AL26">
        <v>0</v>
      </c>
      <c r="AM26">
        <v>0</v>
      </c>
      <c r="AO26" t="s">
        <v>19</v>
      </c>
      <c r="AP26">
        <f>SUMPRODUCT(Table1[Selected],Table1[FUL])</f>
        <v>0</v>
      </c>
      <c r="AQ26">
        <v>3</v>
      </c>
    </row>
    <row r="27" spans="1:43" hidden="1" x14ac:dyDescent="0.2">
      <c r="A27" t="s">
        <v>97</v>
      </c>
      <c r="B27" t="s">
        <v>98</v>
      </c>
      <c r="C27" t="s">
        <v>98</v>
      </c>
      <c r="D27" t="s">
        <v>5</v>
      </c>
      <c r="E27">
        <v>0</v>
      </c>
      <c r="F27">
        <v>0</v>
      </c>
      <c r="G27">
        <v>1</v>
      </c>
      <c r="H27">
        <v>0</v>
      </c>
      <c r="I27" t="s">
        <v>14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5</v>
      </c>
      <c r="AE27">
        <v>115</v>
      </c>
      <c r="AF27">
        <v>11.44230769230769</v>
      </c>
      <c r="AG27">
        <v>9.8372076777465693</v>
      </c>
      <c r="AH27">
        <v>13.097841031641771</v>
      </c>
      <c r="AI27">
        <f>15.5298401884555*1</f>
        <v>15.5298401884555</v>
      </c>
      <c r="AJ27">
        <f>3.09753836431047*1</f>
        <v>3.0975383643104699</v>
      </c>
      <c r="AK27">
        <v>1</v>
      </c>
      <c r="AL27">
        <v>0</v>
      </c>
      <c r="AM27">
        <v>0</v>
      </c>
      <c r="AO27" t="s">
        <v>20</v>
      </c>
      <c r="AP27">
        <f>SUMPRODUCT(Table1[Selected],Table1[IPS])</f>
        <v>0</v>
      </c>
      <c r="AQ27">
        <v>3</v>
      </c>
    </row>
    <row r="28" spans="1:43" hidden="1" x14ac:dyDescent="0.2">
      <c r="A28" t="s">
        <v>99</v>
      </c>
      <c r="B28" t="s">
        <v>100</v>
      </c>
      <c r="C28" t="s">
        <v>100</v>
      </c>
      <c r="D28" t="s">
        <v>5</v>
      </c>
      <c r="E28">
        <v>0</v>
      </c>
      <c r="F28">
        <v>0</v>
      </c>
      <c r="G28">
        <v>1</v>
      </c>
      <c r="H28">
        <v>0</v>
      </c>
      <c r="I28" t="s">
        <v>14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7.8</v>
      </c>
      <c r="AE28">
        <v>116</v>
      </c>
      <c r="AF28">
        <v>26.382752255703291</v>
      </c>
      <c r="AG28">
        <v>20.007540773228651</v>
      </c>
      <c r="AH28">
        <v>19.218694971906508</v>
      </c>
      <c r="AI28">
        <f>11.7215928579987*1</f>
        <v>11.721592857998701</v>
      </c>
      <c r="AJ28">
        <f>2.42077119344452*1</f>
        <v>2.4207711934445202</v>
      </c>
      <c r="AK28">
        <v>1</v>
      </c>
      <c r="AL28">
        <v>1</v>
      </c>
      <c r="AM28">
        <v>0</v>
      </c>
      <c r="AO28" t="s">
        <v>21</v>
      </c>
      <c r="AP28">
        <f>SUMPRODUCT(Table1[Selected],Table1[LEI])</f>
        <v>0</v>
      </c>
      <c r="AQ28">
        <v>3</v>
      </c>
    </row>
    <row r="29" spans="1:43" hidden="1" x14ac:dyDescent="0.2">
      <c r="A29" t="s">
        <v>101</v>
      </c>
      <c r="B29" t="s">
        <v>102</v>
      </c>
      <c r="C29" t="s">
        <v>102</v>
      </c>
      <c r="D29" t="s">
        <v>4</v>
      </c>
      <c r="E29">
        <v>0</v>
      </c>
      <c r="F29">
        <v>1</v>
      </c>
      <c r="G29">
        <v>0</v>
      </c>
      <c r="H29">
        <v>0</v>
      </c>
      <c r="I29" t="s">
        <v>14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4.5</v>
      </c>
      <c r="AE29">
        <v>121</v>
      </c>
      <c r="AF29">
        <v>14.900000000000009</v>
      </c>
      <c r="AG29">
        <v>16.4057128187495</v>
      </c>
      <c r="AH29">
        <v>22.51304940531519</v>
      </c>
      <c r="AI29">
        <f>16.1219292397267*1</f>
        <v>16.1219292397267</v>
      </c>
      <c r="AJ29">
        <f>2.99056121464089*1</f>
        <v>2.99056121464089</v>
      </c>
      <c r="AK29">
        <v>1</v>
      </c>
      <c r="AL29">
        <v>0</v>
      </c>
      <c r="AM29">
        <v>0</v>
      </c>
      <c r="AO29" t="s">
        <v>22</v>
      </c>
      <c r="AP29">
        <f>SUMPRODUCT(Table1[Selected],Table1[LIV])</f>
        <v>2</v>
      </c>
      <c r="AQ29">
        <v>3</v>
      </c>
    </row>
    <row r="30" spans="1:43" hidden="1" x14ac:dyDescent="0.2">
      <c r="A30" t="s">
        <v>103</v>
      </c>
      <c r="B30" t="s">
        <v>104</v>
      </c>
      <c r="C30" t="s">
        <v>104</v>
      </c>
      <c r="D30" t="s">
        <v>5</v>
      </c>
      <c r="E30">
        <v>0</v>
      </c>
      <c r="F30">
        <v>0</v>
      </c>
      <c r="G30">
        <v>1</v>
      </c>
      <c r="H30">
        <v>0</v>
      </c>
      <c r="I30" t="s">
        <v>14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5.0999999999999996</v>
      </c>
      <c r="AE30">
        <v>123</v>
      </c>
      <c r="AF30">
        <v>12.560975609756101</v>
      </c>
      <c r="AG30">
        <v>11.29232695094014</v>
      </c>
      <c r="AH30">
        <v>25.125</v>
      </c>
      <c r="AI30">
        <f>11.4111880311769*1</f>
        <v>11.4111880311769</v>
      </c>
      <c r="AJ30">
        <f>2.23500615943001*1</f>
        <v>2.2350061594300099</v>
      </c>
      <c r="AK30">
        <v>1</v>
      </c>
      <c r="AL30">
        <v>0</v>
      </c>
      <c r="AM30">
        <v>0</v>
      </c>
      <c r="AO30" t="s">
        <v>23</v>
      </c>
      <c r="AP30">
        <f>SUMPRODUCT(Table1[Selected],Table1[MCI])</f>
        <v>0</v>
      </c>
      <c r="AQ30">
        <v>3</v>
      </c>
    </row>
    <row r="31" spans="1:43" x14ac:dyDescent="0.2">
      <c r="A31" t="s">
        <v>115</v>
      </c>
      <c r="B31" t="s">
        <v>116</v>
      </c>
      <c r="C31" t="s">
        <v>115</v>
      </c>
      <c r="D31" t="s">
        <v>5</v>
      </c>
      <c r="E31">
        <v>0</v>
      </c>
      <c r="F31">
        <v>0</v>
      </c>
      <c r="G31">
        <v>1</v>
      </c>
      <c r="H31">
        <v>0</v>
      </c>
      <c r="I31" t="s">
        <v>15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5.6</v>
      </c>
      <c r="AE31">
        <v>177</v>
      </c>
      <c r="AF31">
        <v>12.17729264776337</v>
      </c>
      <c r="AG31">
        <v>26.746325047229629</v>
      </c>
      <c r="AH31">
        <v>20.542857142857141</v>
      </c>
      <c r="AI31">
        <f>27.9318727967937*1</f>
        <v>27.931872796793701</v>
      </c>
      <c r="AJ31">
        <f>6.17720132252895*1</f>
        <v>6.1772013225289504</v>
      </c>
      <c r="AK31">
        <v>1</v>
      </c>
      <c r="AL31">
        <v>1</v>
      </c>
      <c r="AM31">
        <v>1</v>
      </c>
      <c r="AO31" t="s">
        <v>24</v>
      </c>
      <c r="AP31">
        <f>SUMPRODUCT(Table1[Selected],Table1[MUN])</f>
        <v>2</v>
      </c>
      <c r="AQ31">
        <v>3</v>
      </c>
    </row>
    <row r="32" spans="1:43" hidden="1" x14ac:dyDescent="0.2">
      <c r="A32" t="s">
        <v>107</v>
      </c>
      <c r="B32" t="s">
        <v>108</v>
      </c>
      <c r="C32" t="s">
        <v>107</v>
      </c>
      <c r="D32" t="s">
        <v>5</v>
      </c>
      <c r="E32">
        <v>0</v>
      </c>
      <c r="F32">
        <v>0</v>
      </c>
      <c r="G32">
        <v>1</v>
      </c>
      <c r="H32">
        <v>0</v>
      </c>
      <c r="I32" t="s">
        <v>15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6.5</v>
      </c>
      <c r="AE32">
        <v>159</v>
      </c>
      <c r="AF32">
        <v>0</v>
      </c>
      <c r="AG32">
        <v>0</v>
      </c>
      <c r="AH32">
        <v>0</v>
      </c>
      <c r="AI32">
        <f>0*1</f>
        <v>0</v>
      </c>
      <c r="AJ32">
        <f>0*1</f>
        <v>0</v>
      </c>
      <c r="AK32">
        <v>1</v>
      </c>
      <c r="AL32">
        <v>0</v>
      </c>
      <c r="AM32">
        <v>0</v>
      </c>
      <c r="AO32" t="s">
        <v>25</v>
      </c>
      <c r="AP32">
        <f>SUMPRODUCT(Table1[Selected],Table1[NEW])</f>
        <v>0</v>
      </c>
      <c r="AQ32">
        <v>3</v>
      </c>
    </row>
    <row r="33" spans="1:43" hidden="1" x14ac:dyDescent="0.2">
      <c r="A33" t="s">
        <v>109</v>
      </c>
      <c r="B33" t="s">
        <v>110</v>
      </c>
      <c r="C33" t="s">
        <v>110</v>
      </c>
      <c r="D33" t="s">
        <v>4</v>
      </c>
      <c r="E33">
        <v>0</v>
      </c>
      <c r="F33">
        <v>1</v>
      </c>
      <c r="G33">
        <v>0</v>
      </c>
      <c r="H33">
        <v>0</v>
      </c>
      <c r="I33" t="s">
        <v>15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4.5999999999999996</v>
      </c>
      <c r="AE33">
        <v>168</v>
      </c>
      <c r="AF33">
        <v>13.93994215110658</v>
      </c>
      <c r="AG33">
        <v>13.52370948949487</v>
      </c>
      <c r="AH33">
        <v>6.2621597445325241</v>
      </c>
      <c r="AI33">
        <f>4.25559480641374*1</f>
        <v>4.2555948064137397</v>
      </c>
      <c r="AJ33">
        <f>0.78747446872036*1</f>
        <v>0.78747446872035998</v>
      </c>
      <c r="AK33">
        <v>1</v>
      </c>
      <c r="AL33">
        <v>0</v>
      </c>
      <c r="AM33">
        <v>0</v>
      </c>
      <c r="AO33" t="s">
        <v>26</v>
      </c>
      <c r="AP33">
        <f>SUMPRODUCT(Table1[Selected],Table1[NFO])</f>
        <v>3</v>
      </c>
      <c r="AQ33">
        <v>3</v>
      </c>
    </row>
    <row r="34" spans="1:43" hidden="1" x14ac:dyDescent="0.2">
      <c r="A34" t="s">
        <v>111</v>
      </c>
      <c r="B34" t="s">
        <v>112</v>
      </c>
      <c r="C34" t="s">
        <v>112</v>
      </c>
      <c r="D34" t="s">
        <v>3</v>
      </c>
      <c r="E34">
        <v>1</v>
      </c>
      <c r="F34">
        <v>0</v>
      </c>
      <c r="G34">
        <v>0</v>
      </c>
      <c r="H34">
        <v>0</v>
      </c>
      <c r="I34" t="s">
        <v>15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4.5</v>
      </c>
      <c r="AE34">
        <v>169</v>
      </c>
      <c r="AF34">
        <v>15.483870967741931</v>
      </c>
      <c r="AG34">
        <v>13.48763511843714</v>
      </c>
      <c r="AH34">
        <v>12.95443262884425</v>
      </c>
      <c r="AI34">
        <f>8.29835299276157*1</f>
        <v>8.2983529927615702</v>
      </c>
      <c r="AJ34">
        <f>1.5823714921281*1</f>
        <v>1.5823714921281</v>
      </c>
      <c r="AK34">
        <v>1</v>
      </c>
      <c r="AL34">
        <v>0</v>
      </c>
      <c r="AM34">
        <v>0</v>
      </c>
      <c r="AO34" t="s">
        <v>27</v>
      </c>
      <c r="AP34">
        <f>SUMPRODUCT(Table1[Selected],Table1[SOU])</f>
        <v>0</v>
      </c>
      <c r="AQ34">
        <v>3</v>
      </c>
    </row>
    <row r="35" spans="1:43" hidden="1" x14ac:dyDescent="0.2">
      <c r="A35" t="s">
        <v>113</v>
      </c>
      <c r="B35" t="s">
        <v>114</v>
      </c>
      <c r="C35" t="s">
        <v>114</v>
      </c>
      <c r="D35" t="s">
        <v>6</v>
      </c>
      <c r="E35">
        <v>0</v>
      </c>
      <c r="F35">
        <v>0</v>
      </c>
      <c r="G35">
        <v>0</v>
      </c>
      <c r="H35">
        <v>1</v>
      </c>
      <c r="I35" t="s">
        <v>15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6</v>
      </c>
      <c r="AE35">
        <v>171</v>
      </c>
      <c r="AF35">
        <v>15.735904703776971</v>
      </c>
      <c r="AG35">
        <v>11.409058727555911</v>
      </c>
      <c r="AH35">
        <v>10.70809790631643</v>
      </c>
      <c r="AI35">
        <f>15.3115429499011*1</f>
        <v>15.311542949901099</v>
      </c>
      <c r="AJ35">
        <f>3.05601349260781*1</f>
        <v>3.0560134926078102</v>
      </c>
      <c r="AK35">
        <v>1</v>
      </c>
      <c r="AL35">
        <v>0</v>
      </c>
      <c r="AM35">
        <v>0</v>
      </c>
      <c r="AO35" t="s">
        <v>28</v>
      </c>
      <c r="AP35">
        <f>SUMPRODUCT(Table1[Selected],Table1[TOT])</f>
        <v>1</v>
      </c>
      <c r="AQ35">
        <v>3</v>
      </c>
    </row>
    <row r="36" spans="1:43" x14ac:dyDescent="0.2">
      <c r="A36" t="s">
        <v>164</v>
      </c>
      <c r="B36" t="s">
        <v>165</v>
      </c>
      <c r="C36" t="s">
        <v>165</v>
      </c>
      <c r="D36" t="s">
        <v>4</v>
      </c>
      <c r="E36">
        <v>0</v>
      </c>
      <c r="F36">
        <v>1</v>
      </c>
      <c r="G36">
        <v>0</v>
      </c>
      <c r="H36">
        <v>0</v>
      </c>
      <c r="I36" t="s">
        <v>18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4.5999999999999996</v>
      </c>
      <c r="AE36">
        <v>279</v>
      </c>
      <c r="AF36">
        <v>12.575757575757571</v>
      </c>
      <c r="AG36">
        <v>12.84421734579969</v>
      </c>
      <c r="AH36">
        <v>20.614028458770999</v>
      </c>
      <c r="AI36">
        <f>28.0473859243619*1</f>
        <v>28.047385924361901</v>
      </c>
      <c r="AJ36">
        <f>5.59801816718641*1</f>
        <v>5.5980181671864102</v>
      </c>
      <c r="AK36">
        <v>1</v>
      </c>
      <c r="AL36">
        <v>0</v>
      </c>
      <c r="AM36">
        <v>1</v>
      </c>
      <c r="AO36" t="s">
        <v>29</v>
      </c>
      <c r="AP36">
        <f>SUMPRODUCT(Table1[Selected],Table1[WHU])</f>
        <v>0</v>
      </c>
      <c r="AQ36">
        <v>3</v>
      </c>
    </row>
    <row r="37" spans="1:43" hidden="1" x14ac:dyDescent="0.2">
      <c r="A37" t="s">
        <v>117</v>
      </c>
      <c r="B37" t="s">
        <v>118</v>
      </c>
      <c r="C37" t="s">
        <v>119</v>
      </c>
      <c r="D37" t="s">
        <v>5</v>
      </c>
      <c r="E37">
        <v>0</v>
      </c>
      <c r="F37">
        <v>0</v>
      </c>
      <c r="G37">
        <v>1</v>
      </c>
      <c r="H37">
        <v>0</v>
      </c>
      <c r="I37" t="s">
        <v>16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4.9000000000000004</v>
      </c>
      <c r="AE37">
        <v>189</v>
      </c>
      <c r="AF37">
        <v>11.84342908893802</v>
      </c>
      <c r="AG37">
        <v>7.8156068866556332</v>
      </c>
      <c r="AH37">
        <v>14.90013152782107</v>
      </c>
      <c r="AI37">
        <f>13.100348197425*1</f>
        <v>13.100348197424999</v>
      </c>
      <c r="AJ37">
        <f>2.55194963210547*1</f>
        <v>2.5519496321054702</v>
      </c>
      <c r="AK37">
        <v>1</v>
      </c>
      <c r="AL37">
        <v>0</v>
      </c>
      <c r="AM37">
        <v>0</v>
      </c>
      <c r="AO37" t="s">
        <v>30</v>
      </c>
      <c r="AP37">
        <f>SUMPRODUCT(Table1[Selected],Table1[WOL])</f>
        <v>1</v>
      </c>
      <c r="AQ37">
        <v>3</v>
      </c>
    </row>
    <row r="38" spans="1:43" hidden="1" x14ac:dyDescent="0.2">
      <c r="A38" t="s">
        <v>120</v>
      </c>
      <c r="B38" t="s">
        <v>121</v>
      </c>
      <c r="C38" t="s">
        <v>121</v>
      </c>
      <c r="D38" t="s">
        <v>4</v>
      </c>
      <c r="E38">
        <v>0</v>
      </c>
      <c r="F38">
        <v>1</v>
      </c>
      <c r="G38">
        <v>0</v>
      </c>
      <c r="H38">
        <v>0</v>
      </c>
      <c r="I38" t="s">
        <v>16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4.5</v>
      </c>
      <c r="AE38">
        <v>193</v>
      </c>
      <c r="AF38">
        <v>13.17307692307692</v>
      </c>
      <c r="AG38">
        <v>12.33588865146141</v>
      </c>
      <c r="AH38">
        <v>15.271168831168829</v>
      </c>
      <c r="AI38">
        <f>9.63514288967259*1</f>
        <v>9.6351428896725899</v>
      </c>
      <c r="AJ38">
        <f>1.84793347725286*1</f>
        <v>1.8479334772528599</v>
      </c>
      <c r="AK38">
        <v>1</v>
      </c>
      <c r="AL38">
        <v>0</v>
      </c>
      <c r="AM38">
        <v>0</v>
      </c>
    </row>
    <row r="39" spans="1:43" hidden="1" x14ac:dyDescent="0.2">
      <c r="A39" t="s">
        <v>122</v>
      </c>
      <c r="B39" t="s">
        <v>123</v>
      </c>
      <c r="C39" t="s">
        <v>124</v>
      </c>
      <c r="D39" t="s">
        <v>4</v>
      </c>
      <c r="E39">
        <v>0</v>
      </c>
      <c r="F39">
        <v>1</v>
      </c>
      <c r="G39">
        <v>0</v>
      </c>
      <c r="H39">
        <v>0</v>
      </c>
      <c r="I39" t="s">
        <v>16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5</v>
      </c>
      <c r="AE39">
        <v>194</v>
      </c>
      <c r="AF39">
        <v>12.92452830188679</v>
      </c>
      <c r="AG39">
        <v>11.4897519072618</v>
      </c>
      <c r="AH39">
        <v>21.013525252525259</v>
      </c>
      <c r="AI39">
        <f>14.4274279467171*1</f>
        <v>14.427427946717099</v>
      </c>
      <c r="AJ39">
        <f>2.615782566946*1</f>
        <v>2.6157825669460002</v>
      </c>
      <c r="AK39">
        <v>1</v>
      </c>
      <c r="AL39">
        <v>0</v>
      </c>
      <c r="AM39">
        <v>0</v>
      </c>
    </row>
    <row r="40" spans="1:43" hidden="1" x14ac:dyDescent="0.2">
      <c r="A40" t="s">
        <v>125</v>
      </c>
      <c r="B40" t="s">
        <v>126</v>
      </c>
      <c r="C40" t="s">
        <v>125</v>
      </c>
      <c r="D40" t="s">
        <v>5</v>
      </c>
      <c r="E40">
        <v>0</v>
      </c>
      <c r="F40">
        <v>0</v>
      </c>
      <c r="G40">
        <v>1</v>
      </c>
      <c r="H40">
        <v>0</v>
      </c>
      <c r="I40" t="s">
        <v>16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4.8</v>
      </c>
      <c r="AE40">
        <v>199</v>
      </c>
      <c r="AF40">
        <v>15.04045852877894</v>
      </c>
      <c r="AG40">
        <v>10.161400054242829</v>
      </c>
      <c r="AH40">
        <v>39.246652421652421</v>
      </c>
      <c r="AI40">
        <f>18.601863863542*1</f>
        <v>18.601863863542</v>
      </c>
      <c r="AJ40">
        <f>4.1079754305849*1</f>
        <v>4.1079754305848999</v>
      </c>
      <c r="AK40">
        <v>1</v>
      </c>
      <c r="AL40">
        <v>0</v>
      </c>
      <c r="AM40">
        <v>0</v>
      </c>
    </row>
    <row r="41" spans="1:43" hidden="1" x14ac:dyDescent="0.2">
      <c r="A41" t="s">
        <v>127</v>
      </c>
      <c r="B41" t="s">
        <v>128</v>
      </c>
      <c r="C41" t="s">
        <v>128</v>
      </c>
      <c r="D41" t="s">
        <v>5</v>
      </c>
      <c r="E41">
        <v>0</v>
      </c>
      <c r="F41">
        <v>0</v>
      </c>
      <c r="G41">
        <v>1</v>
      </c>
      <c r="H41">
        <v>0</v>
      </c>
      <c r="I41" t="s">
        <v>16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6.4</v>
      </c>
      <c r="AE41">
        <v>208</v>
      </c>
      <c r="AF41">
        <v>15.07447194850829</v>
      </c>
      <c r="AG41">
        <v>17.958174161316229</v>
      </c>
      <c r="AH41">
        <v>15.55</v>
      </c>
      <c r="AI41">
        <f>3.40939580250041*1</f>
        <v>3.4093958025004101</v>
      </c>
      <c r="AJ41">
        <f>0.540715644817204*1</f>
        <v>0.54071564481720402</v>
      </c>
      <c r="AK41">
        <v>1</v>
      </c>
      <c r="AL41">
        <v>0</v>
      </c>
      <c r="AM41">
        <v>0</v>
      </c>
    </row>
    <row r="42" spans="1:43" hidden="1" x14ac:dyDescent="0.2">
      <c r="A42" t="s">
        <v>129</v>
      </c>
      <c r="B42" t="s">
        <v>130</v>
      </c>
      <c r="C42" t="s">
        <v>131</v>
      </c>
      <c r="D42" t="s">
        <v>6</v>
      </c>
      <c r="E42">
        <v>0</v>
      </c>
      <c r="F42">
        <v>0</v>
      </c>
      <c r="G42">
        <v>0</v>
      </c>
      <c r="H42">
        <v>1</v>
      </c>
      <c r="I42" t="s">
        <v>16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8</v>
      </c>
      <c r="AE42">
        <v>211</v>
      </c>
      <c r="AF42">
        <v>26.97247505481597</v>
      </c>
      <c r="AG42">
        <v>20.971470653401401</v>
      </c>
      <c r="AH42">
        <v>61.742857142857147</v>
      </c>
      <c r="AI42">
        <f>24.63135904103*1</f>
        <v>24.631359041029999</v>
      </c>
      <c r="AJ42">
        <f>3.55093179508808*1</f>
        <v>3.5509317950880801</v>
      </c>
      <c r="AK42">
        <v>1</v>
      </c>
      <c r="AL42">
        <v>0</v>
      </c>
      <c r="AM42">
        <v>0</v>
      </c>
    </row>
    <row r="43" spans="1:43" x14ac:dyDescent="0.2">
      <c r="A43" t="s">
        <v>132</v>
      </c>
      <c r="B43" t="s">
        <v>133</v>
      </c>
      <c r="C43" t="s">
        <v>133</v>
      </c>
      <c r="D43" t="s">
        <v>5</v>
      </c>
      <c r="E43">
        <v>0</v>
      </c>
      <c r="F43">
        <v>0</v>
      </c>
      <c r="G43">
        <v>1</v>
      </c>
      <c r="H43">
        <v>0</v>
      </c>
      <c r="I43" t="s">
        <v>16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10.9</v>
      </c>
      <c r="AE43">
        <v>213</v>
      </c>
      <c r="AF43">
        <v>37.729984115420017</v>
      </c>
      <c r="AG43">
        <v>27.429579418426581</v>
      </c>
      <c r="AH43">
        <v>62</v>
      </c>
      <c r="AI43">
        <f>26.7545295944328*1</f>
        <v>26.7545295944328</v>
      </c>
      <c r="AJ43">
        <f>5.3037246158354*1</f>
        <v>5.3037246158354003</v>
      </c>
      <c r="AK43">
        <v>1</v>
      </c>
      <c r="AL43">
        <v>1</v>
      </c>
      <c r="AM43">
        <v>1</v>
      </c>
    </row>
    <row r="44" spans="1:43" hidden="1" x14ac:dyDescent="0.2">
      <c r="A44" t="s">
        <v>134</v>
      </c>
      <c r="B44" t="s">
        <v>135</v>
      </c>
      <c r="C44" t="s">
        <v>135</v>
      </c>
      <c r="D44" t="s">
        <v>3</v>
      </c>
      <c r="E44">
        <v>1</v>
      </c>
      <c r="F44">
        <v>0</v>
      </c>
      <c r="G44">
        <v>0</v>
      </c>
      <c r="H44">
        <v>0</v>
      </c>
      <c r="I44" t="s">
        <v>16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4.7</v>
      </c>
      <c r="AE44">
        <v>216</v>
      </c>
      <c r="AF44">
        <v>17.99107142857142</v>
      </c>
      <c r="AG44">
        <v>17.972113581033341</v>
      </c>
      <c r="AH44">
        <v>11.93846153846154</v>
      </c>
      <c r="AI44">
        <f>7.46056139936735*1</f>
        <v>7.4605613993673501</v>
      </c>
      <c r="AJ44">
        <f>1.49999112560483*1</f>
        <v>1.4999911256048299</v>
      </c>
      <c r="AK44">
        <v>1</v>
      </c>
      <c r="AL44">
        <v>0</v>
      </c>
      <c r="AM44">
        <v>0</v>
      </c>
    </row>
    <row r="45" spans="1:43" hidden="1" x14ac:dyDescent="0.2">
      <c r="A45" t="s">
        <v>136</v>
      </c>
      <c r="B45" t="s">
        <v>137</v>
      </c>
      <c r="C45" t="s">
        <v>138</v>
      </c>
      <c r="D45" t="s">
        <v>5</v>
      </c>
      <c r="E45">
        <v>0</v>
      </c>
      <c r="F45">
        <v>0</v>
      </c>
      <c r="G45">
        <v>1</v>
      </c>
      <c r="H45">
        <v>0</v>
      </c>
      <c r="I45" t="s">
        <v>16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6.2</v>
      </c>
      <c r="AE45">
        <v>220</v>
      </c>
      <c r="AF45">
        <v>16.0740041296709</v>
      </c>
      <c r="AG45">
        <v>14.412773858907009</v>
      </c>
      <c r="AH45">
        <v>27.78662680972279</v>
      </c>
      <c r="AI45">
        <f>15.6405284439326*1</f>
        <v>15.640528443932601</v>
      </c>
      <c r="AJ45">
        <f>3.24980221077185*1</f>
        <v>3.2498022107718501</v>
      </c>
      <c r="AK45">
        <v>1</v>
      </c>
      <c r="AL45">
        <v>0</v>
      </c>
      <c r="AM45">
        <v>0</v>
      </c>
    </row>
    <row r="46" spans="1:43" hidden="1" x14ac:dyDescent="0.2">
      <c r="A46" t="s">
        <v>139</v>
      </c>
      <c r="B46" t="s">
        <v>140</v>
      </c>
      <c r="C46" t="s">
        <v>140</v>
      </c>
      <c r="D46" t="s">
        <v>5</v>
      </c>
      <c r="E46">
        <v>0</v>
      </c>
      <c r="F46">
        <v>0</v>
      </c>
      <c r="G46">
        <v>1</v>
      </c>
      <c r="H46">
        <v>0</v>
      </c>
      <c r="I46" t="s">
        <v>17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6.6</v>
      </c>
      <c r="AE46">
        <v>232</v>
      </c>
      <c r="AF46">
        <v>19.482758620689651</v>
      </c>
      <c r="AG46">
        <v>15.69819559612657</v>
      </c>
      <c r="AH46">
        <v>24.043849268152211</v>
      </c>
      <c r="AI46">
        <f>3.24681265341244*1</f>
        <v>3.24681265341244</v>
      </c>
      <c r="AJ46">
        <f>0.587893859201071*1</f>
        <v>0.58789385920107096</v>
      </c>
      <c r="AK46">
        <v>1</v>
      </c>
      <c r="AL46">
        <v>0</v>
      </c>
      <c r="AM46">
        <v>0</v>
      </c>
    </row>
    <row r="47" spans="1:43" hidden="1" x14ac:dyDescent="0.2">
      <c r="A47" t="s">
        <v>122</v>
      </c>
      <c r="B47" t="s">
        <v>141</v>
      </c>
      <c r="C47" t="s">
        <v>141</v>
      </c>
      <c r="D47" t="s">
        <v>4</v>
      </c>
      <c r="E47">
        <v>0</v>
      </c>
      <c r="F47">
        <v>1</v>
      </c>
      <c r="G47">
        <v>0</v>
      </c>
      <c r="H47">
        <v>0</v>
      </c>
      <c r="I47" t="s">
        <v>17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4.5</v>
      </c>
      <c r="AE47">
        <v>233</v>
      </c>
      <c r="AF47">
        <v>14.57943925233644</v>
      </c>
      <c r="AG47">
        <v>15.593297153559201</v>
      </c>
      <c r="AH47">
        <v>7.1594727681555259</v>
      </c>
      <c r="AI47">
        <f>18.2015875278093*1</f>
        <v>18.201587527809298</v>
      </c>
      <c r="AJ47">
        <f>3.24488792500908*1</f>
        <v>3.2448879250090799</v>
      </c>
      <c r="AK47">
        <v>1</v>
      </c>
      <c r="AL47">
        <v>0</v>
      </c>
      <c r="AM47">
        <v>0</v>
      </c>
    </row>
    <row r="48" spans="1:43" hidden="1" x14ac:dyDescent="0.2">
      <c r="A48" t="s">
        <v>142</v>
      </c>
      <c r="B48" t="s">
        <v>143</v>
      </c>
      <c r="C48" t="s">
        <v>143</v>
      </c>
      <c r="D48" t="s">
        <v>3</v>
      </c>
      <c r="E48">
        <v>1</v>
      </c>
      <c r="F48">
        <v>0</v>
      </c>
      <c r="G48">
        <v>0</v>
      </c>
      <c r="H48">
        <v>0</v>
      </c>
      <c r="I48" t="s">
        <v>17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4.4000000000000004</v>
      </c>
      <c r="AE48">
        <v>234</v>
      </c>
      <c r="AF48">
        <v>19.651897064647901</v>
      </c>
      <c r="AG48">
        <v>23.35542553723711</v>
      </c>
      <c r="AH48">
        <v>15.19397373597744</v>
      </c>
      <c r="AI48">
        <f>20.2476032039629*1</f>
        <v>20.2476032039629</v>
      </c>
      <c r="AJ48">
        <f>3.89691430898022*1</f>
        <v>3.8969143089802198</v>
      </c>
      <c r="AK48">
        <v>1</v>
      </c>
      <c r="AL48">
        <v>0</v>
      </c>
      <c r="AM48">
        <v>0</v>
      </c>
    </row>
    <row r="49" spans="1:39" hidden="1" x14ac:dyDescent="0.2">
      <c r="A49" t="s">
        <v>144</v>
      </c>
      <c r="B49" t="s">
        <v>145</v>
      </c>
      <c r="C49" t="s">
        <v>145</v>
      </c>
      <c r="D49" t="s">
        <v>6</v>
      </c>
      <c r="E49">
        <v>0</v>
      </c>
      <c r="F49">
        <v>0</v>
      </c>
      <c r="G49">
        <v>0</v>
      </c>
      <c r="H49">
        <v>1</v>
      </c>
      <c r="I49" t="s">
        <v>17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7.2</v>
      </c>
      <c r="AE49">
        <v>239</v>
      </c>
      <c r="AF49">
        <v>20.509241461485761</v>
      </c>
      <c r="AG49">
        <v>14.98397307455159</v>
      </c>
      <c r="AH49">
        <v>16.88571428571429</v>
      </c>
      <c r="AI49">
        <f>5.54982307124468*1</f>
        <v>5.5498230712446803</v>
      </c>
      <c r="AJ49">
        <f>1.09434213486907*1</f>
        <v>1.0943421348690701</v>
      </c>
      <c r="AK49">
        <v>1</v>
      </c>
      <c r="AL49">
        <v>0</v>
      </c>
      <c r="AM49">
        <v>0</v>
      </c>
    </row>
    <row r="50" spans="1:39" hidden="1" x14ac:dyDescent="0.2">
      <c r="A50" t="s">
        <v>146</v>
      </c>
      <c r="B50" t="s">
        <v>147</v>
      </c>
      <c r="C50" t="s">
        <v>147</v>
      </c>
      <c r="D50" t="s">
        <v>4</v>
      </c>
      <c r="E50">
        <v>0</v>
      </c>
      <c r="F50">
        <v>1</v>
      </c>
      <c r="G50">
        <v>0</v>
      </c>
      <c r="H50">
        <v>0</v>
      </c>
      <c r="I50" t="s">
        <v>17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4.7</v>
      </c>
      <c r="AE50">
        <v>243</v>
      </c>
      <c r="AF50">
        <v>16.428571428571431</v>
      </c>
      <c r="AG50">
        <v>18.890758976484719</v>
      </c>
      <c r="AH50">
        <v>8.7000000000000011</v>
      </c>
      <c r="AI50">
        <f>13.7625580896027*1</f>
        <v>13.762558089602701</v>
      </c>
      <c r="AJ50">
        <f>2.57898132630299*1</f>
        <v>2.5789813263029902</v>
      </c>
      <c r="AK50">
        <v>1</v>
      </c>
      <c r="AL50">
        <v>0</v>
      </c>
      <c r="AM50">
        <v>0</v>
      </c>
    </row>
    <row r="51" spans="1:39" hidden="1" x14ac:dyDescent="0.2">
      <c r="A51" t="s">
        <v>148</v>
      </c>
      <c r="B51" t="s">
        <v>149</v>
      </c>
      <c r="C51" t="s">
        <v>150</v>
      </c>
      <c r="D51" t="s">
        <v>5</v>
      </c>
      <c r="E51">
        <v>0</v>
      </c>
      <c r="F51">
        <v>0</v>
      </c>
      <c r="G51">
        <v>1</v>
      </c>
      <c r="H51">
        <v>0</v>
      </c>
      <c r="I51" t="s">
        <v>17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5.7</v>
      </c>
      <c r="AE51">
        <v>250</v>
      </c>
      <c r="AF51">
        <v>17.073170731707322</v>
      </c>
      <c r="AG51">
        <v>20.15564087934909</v>
      </c>
      <c r="AH51">
        <v>29.28963186813187</v>
      </c>
      <c r="AI51">
        <f>12.6012862785141*1</f>
        <v>12.601286278514101</v>
      </c>
      <c r="AJ51">
        <f>2.36673006233421*1</f>
        <v>2.3667300623342098</v>
      </c>
      <c r="AK51">
        <v>1</v>
      </c>
      <c r="AL51">
        <v>0</v>
      </c>
      <c r="AM51">
        <v>0</v>
      </c>
    </row>
    <row r="52" spans="1:39" hidden="1" x14ac:dyDescent="0.2">
      <c r="A52" t="s">
        <v>151</v>
      </c>
      <c r="B52" t="s">
        <v>152</v>
      </c>
      <c r="C52" t="s">
        <v>153</v>
      </c>
      <c r="D52" t="s">
        <v>5</v>
      </c>
      <c r="E52">
        <v>0</v>
      </c>
      <c r="F52">
        <v>0</v>
      </c>
      <c r="G52">
        <v>1</v>
      </c>
      <c r="H52">
        <v>0</v>
      </c>
      <c r="I52" t="s">
        <v>18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5.0999999999999996</v>
      </c>
      <c r="AE52">
        <v>259</v>
      </c>
      <c r="AF52">
        <v>15.5820105820106</v>
      </c>
      <c r="AG52">
        <v>15.245485665702599</v>
      </c>
      <c r="AH52">
        <v>12.856118645030559</v>
      </c>
      <c r="AI52">
        <f>10.5369625103994*1</f>
        <v>10.5369625103994</v>
      </c>
      <c r="AJ52">
        <f>2.21001592779858*1</f>
        <v>2.21001592779858</v>
      </c>
      <c r="AK52">
        <v>1</v>
      </c>
      <c r="AL52">
        <v>0</v>
      </c>
      <c r="AM52">
        <v>0</v>
      </c>
    </row>
    <row r="53" spans="1:39" hidden="1" x14ac:dyDescent="0.2">
      <c r="A53" t="s">
        <v>154</v>
      </c>
      <c r="B53" t="s">
        <v>155</v>
      </c>
      <c r="C53" t="s">
        <v>155</v>
      </c>
      <c r="D53" t="s">
        <v>5</v>
      </c>
      <c r="E53">
        <v>0</v>
      </c>
      <c r="F53">
        <v>0</v>
      </c>
      <c r="G53">
        <v>1</v>
      </c>
      <c r="H53">
        <v>0</v>
      </c>
      <c r="I53" t="s">
        <v>18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5.6</v>
      </c>
      <c r="AE53">
        <v>272</v>
      </c>
      <c r="AF53">
        <v>15.78849350873393</v>
      </c>
      <c r="AG53">
        <v>15.54165693074316</v>
      </c>
      <c r="AH53">
        <v>11.888657589804129</v>
      </c>
      <c r="AI53">
        <f>16.6914774488669*1</f>
        <v>16.691477448866902</v>
      </c>
      <c r="AJ53">
        <f>2.90287763098593*1</f>
        <v>2.9028776309859299</v>
      </c>
      <c r="AK53">
        <v>1</v>
      </c>
      <c r="AL53">
        <v>0</v>
      </c>
      <c r="AM53">
        <v>0</v>
      </c>
    </row>
    <row r="54" spans="1:39" hidden="1" x14ac:dyDescent="0.2">
      <c r="A54" t="s">
        <v>156</v>
      </c>
      <c r="B54" t="s">
        <v>157</v>
      </c>
      <c r="C54" t="s">
        <v>157</v>
      </c>
      <c r="D54" t="s">
        <v>4</v>
      </c>
      <c r="E54">
        <v>0</v>
      </c>
      <c r="F54">
        <v>1</v>
      </c>
      <c r="G54">
        <v>0</v>
      </c>
      <c r="H54">
        <v>0</v>
      </c>
      <c r="I54" t="s">
        <v>18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4.3</v>
      </c>
      <c r="AE54">
        <v>273</v>
      </c>
      <c r="AF54">
        <v>12.94449081455701</v>
      </c>
      <c r="AG54">
        <v>18.080217238339021</v>
      </c>
      <c r="AH54">
        <v>9.85</v>
      </c>
      <c r="AI54">
        <f>13.9344084701509*1</f>
        <v>13.934408470150901</v>
      </c>
      <c r="AJ54">
        <f>2.11307017017178*1</f>
        <v>2.1130701701717798</v>
      </c>
      <c r="AK54">
        <v>1</v>
      </c>
      <c r="AL54">
        <v>0</v>
      </c>
      <c r="AM54">
        <v>0</v>
      </c>
    </row>
    <row r="55" spans="1:39" hidden="1" x14ac:dyDescent="0.2">
      <c r="A55" t="s">
        <v>158</v>
      </c>
      <c r="B55" t="s">
        <v>159</v>
      </c>
      <c r="C55" t="s">
        <v>159</v>
      </c>
      <c r="D55" t="s">
        <v>6</v>
      </c>
      <c r="E55">
        <v>0</v>
      </c>
      <c r="F55">
        <v>0</v>
      </c>
      <c r="G55">
        <v>0</v>
      </c>
      <c r="H55">
        <v>1</v>
      </c>
      <c r="I55" t="s">
        <v>18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5.4</v>
      </c>
      <c r="AE55">
        <v>274</v>
      </c>
      <c r="AF55">
        <v>0</v>
      </c>
      <c r="AG55">
        <v>0</v>
      </c>
      <c r="AH55">
        <v>0</v>
      </c>
      <c r="AI55">
        <f>0*1</f>
        <v>0</v>
      </c>
      <c r="AJ55">
        <f>0*1</f>
        <v>0</v>
      </c>
      <c r="AK55">
        <v>1</v>
      </c>
      <c r="AL55">
        <v>0</v>
      </c>
      <c r="AM55">
        <v>0</v>
      </c>
    </row>
    <row r="56" spans="1:39" hidden="1" x14ac:dyDescent="0.2">
      <c r="A56" t="s">
        <v>160</v>
      </c>
      <c r="B56" t="s">
        <v>161</v>
      </c>
      <c r="C56" t="s">
        <v>161</v>
      </c>
      <c r="D56" t="s">
        <v>3</v>
      </c>
      <c r="E56">
        <v>1</v>
      </c>
      <c r="F56">
        <v>0</v>
      </c>
      <c r="G56">
        <v>0</v>
      </c>
      <c r="H56">
        <v>0</v>
      </c>
      <c r="I56" t="s">
        <v>18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4.9000000000000004</v>
      </c>
      <c r="AE56">
        <v>276</v>
      </c>
      <c r="AF56">
        <v>18.108108108108091</v>
      </c>
      <c r="AG56">
        <v>18.115126636671398</v>
      </c>
      <c r="AH56">
        <v>27.11607959510463</v>
      </c>
      <c r="AI56">
        <f>25.4082909350529*1</f>
        <v>25.4082909350529</v>
      </c>
      <c r="AJ56">
        <f>4.94500489841388*1</f>
        <v>4.9450048984138801</v>
      </c>
      <c r="AK56">
        <v>1</v>
      </c>
      <c r="AL56">
        <v>0</v>
      </c>
      <c r="AM56">
        <v>0</v>
      </c>
    </row>
    <row r="57" spans="1:39" hidden="1" x14ac:dyDescent="0.2">
      <c r="A57" t="s">
        <v>162</v>
      </c>
      <c r="B57" t="s">
        <v>163</v>
      </c>
      <c r="C57" t="s">
        <v>163</v>
      </c>
      <c r="D57" t="s">
        <v>4</v>
      </c>
      <c r="E57">
        <v>0</v>
      </c>
      <c r="F57">
        <v>1</v>
      </c>
      <c r="G57">
        <v>0</v>
      </c>
      <c r="H57">
        <v>0</v>
      </c>
      <c r="I57" t="s">
        <v>18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4.8</v>
      </c>
      <c r="AE57">
        <v>277</v>
      </c>
      <c r="AF57">
        <v>14.11083178134626</v>
      </c>
      <c r="AG57">
        <v>11.807835360696069</v>
      </c>
      <c r="AH57">
        <v>12.972708179366091</v>
      </c>
      <c r="AI57">
        <f>14.7091231028997*1</f>
        <v>14.709123102899699</v>
      </c>
      <c r="AJ57">
        <f>3.07252389579294*1</f>
        <v>3.0725238957929402</v>
      </c>
      <c r="AK57">
        <v>1</v>
      </c>
      <c r="AL57">
        <v>0</v>
      </c>
      <c r="AM57">
        <v>0</v>
      </c>
    </row>
    <row r="58" spans="1:39" x14ac:dyDescent="0.2">
      <c r="A58" t="s">
        <v>289</v>
      </c>
      <c r="B58" t="s">
        <v>290</v>
      </c>
      <c r="C58" t="s">
        <v>290</v>
      </c>
      <c r="D58" t="s">
        <v>3</v>
      </c>
      <c r="E58">
        <v>1</v>
      </c>
      <c r="F58">
        <v>0</v>
      </c>
      <c r="G58">
        <v>0</v>
      </c>
      <c r="H58">
        <v>0</v>
      </c>
      <c r="I58" t="s">
        <v>26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  <c r="Z58">
        <v>0</v>
      </c>
      <c r="AA58">
        <v>0</v>
      </c>
      <c r="AB58">
        <v>0</v>
      </c>
      <c r="AC58">
        <v>0</v>
      </c>
      <c r="AD58">
        <v>4.7</v>
      </c>
      <c r="AE58">
        <v>534</v>
      </c>
      <c r="AF58">
        <v>15.86206896551723</v>
      </c>
      <c r="AG58">
        <v>14.76737047229177</v>
      </c>
      <c r="AH58">
        <v>20.608835404900109</v>
      </c>
      <c r="AI58">
        <f>22.650491604186*1</f>
        <v>22.650491604186001</v>
      </c>
      <c r="AJ58">
        <f>4.76317823801686*1</f>
        <v>4.7631782380168604</v>
      </c>
      <c r="AK58">
        <v>1</v>
      </c>
      <c r="AL58">
        <v>1</v>
      </c>
      <c r="AM58">
        <v>1</v>
      </c>
    </row>
    <row r="59" spans="1:39" hidden="1" x14ac:dyDescent="0.2">
      <c r="A59" t="s">
        <v>166</v>
      </c>
      <c r="B59" t="s">
        <v>167</v>
      </c>
      <c r="C59" t="s">
        <v>167</v>
      </c>
      <c r="D59" t="s">
        <v>5</v>
      </c>
      <c r="E59">
        <v>0</v>
      </c>
      <c r="F59">
        <v>0</v>
      </c>
      <c r="G59">
        <v>1</v>
      </c>
      <c r="H59">
        <v>0</v>
      </c>
      <c r="I59" t="s">
        <v>19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</v>
      </c>
      <c r="AE59">
        <v>288</v>
      </c>
      <c r="AF59">
        <v>10.467753937251921</v>
      </c>
      <c r="AG59">
        <v>8.6305509675460286</v>
      </c>
      <c r="AH59">
        <v>16.403782513005201</v>
      </c>
      <c r="AI59">
        <f>11.6230434302409*1</f>
        <v>11.6230434302409</v>
      </c>
      <c r="AJ59">
        <f>2.24953366891662*1</f>
        <v>2.2495336689166199</v>
      </c>
      <c r="AK59">
        <v>1</v>
      </c>
      <c r="AL59">
        <v>0</v>
      </c>
      <c r="AM59">
        <v>0</v>
      </c>
    </row>
    <row r="60" spans="1:39" hidden="1" x14ac:dyDescent="0.2">
      <c r="A60" t="s">
        <v>168</v>
      </c>
      <c r="B60" t="s">
        <v>169</v>
      </c>
      <c r="C60" t="s">
        <v>169</v>
      </c>
      <c r="D60" t="s">
        <v>5</v>
      </c>
      <c r="E60">
        <v>0</v>
      </c>
      <c r="F60">
        <v>0</v>
      </c>
      <c r="G60">
        <v>1</v>
      </c>
      <c r="H60">
        <v>0</v>
      </c>
      <c r="I60" t="s">
        <v>19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5.7</v>
      </c>
      <c r="AE60">
        <v>289</v>
      </c>
      <c r="AF60">
        <v>16.40449438202247</v>
      </c>
      <c r="AG60">
        <v>15.17229492267432</v>
      </c>
      <c r="AH60">
        <v>16.959407752500361</v>
      </c>
      <c r="AI60">
        <f>13.2291956661355*1</f>
        <v>13.229195666135499</v>
      </c>
      <c r="AJ60">
        <f>2.53982033281438*1</f>
        <v>2.5398203328143798</v>
      </c>
      <c r="AK60">
        <v>1</v>
      </c>
      <c r="AL60">
        <v>0</v>
      </c>
      <c r="AM60">
        <v>0</v>
      </c>
    </row>
    <row r="61" spans="1:39" hidden="1" x14ac:dyDescent="0.2">
      <c r="A61" t="s">
        <v>170</v>
      </c>
      <c r="B61" t="s">
        <v>171</v>
      </c>
      <c r="C61" t="s">
        <v>170</v>
      </c>
      <c r="D61" t="s">
        <v>5</v>
      </c>
      <c r="E61">
        <v>0</v>
      </c>
      <c r="F61">
        <v>0</v>
      </c>
      <c r="G61">
        <v>1</v>
      </c>
      <c r="H61">
        <v>0</v>
      </c>
      <c r="I61" t="s">
        <v>19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4.9000000000000004</v>
      </c>
      <c r="AE61">
        <v>291</v>
      </c>
      <c r="AF61">
        <v>11.747887620954589</v>
      </c>
      <c r="AG61">
        <v>13.70326503516895</v>
      </c>
      <c r="AH61">
        <v>8.1255039005456311</v>
      </c>
      <c r="AI61">
        <f>6.64010306536619*1</f>
        <v>6.6401030653661897</v>
      </c>
      <c r="AJ61">
        <f>1.21314326971134*1</f>
        <v>1.21314326971134</v>
      </c>
      <c r="AK61">
        <v>1</v>
      </c>
      <c r="AL61">
        <v>0</v>
      </c>
      <c r="AM61">
        <v>0</v>
      </c>
    </row>
    <row r="62" spans="1:39" hidden="1" x14ac:dyDescent="0.2">
      <c r="A62" t="s">
        <v>172</v>
      </c>
      <c r="B62" t="s">
        <v>173</v>
      </c>
      <c r="C62" t="s">
        <v>173</v>
      </c>
      <c r="D62" t="s">
        <v>4</v>
      </c>
      <c r="E62">
        <v>0</v>
      </c>
      <c r="F62">
        <v>1</v>
      </c>
      <c r="G62">
        <v>0</v>
      </c>
      <c r="H62">
        <v>0</v>
      </c>
      <c r="I62" t="s">
        <v>19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4.5</v>
      </c>
      <c r="AE62">
        <v>293</v>
      </c>
      <c r="AF62">
        <v>9.6456197285820018</v>
      </c>
      <c r="AG62">
        <v>11.099913829175319</v>
      </c>
      <c r="AH62">
        <v>6.8888888888888884</v>
      </c>
      <c r="AI62">
        <f>8.70626463471918*1</f>
        <v>8.7062646347191794</v>
      </c>
      <c r="AJ62">
        <f>1.48697771489587*1</f>
        <v>1.4869777148958701</v>
      </c>
      <c r="AK62">
        <v>1</v>
      </c>
      <c r="AL62">
        <v>0</v>
      </c>
      <c r="AM62">
        <v>0</v>
      </c>
    </row>
    <row r="63" spans="1:39" hidden="1" x14ac:dyDescent="0.2">
      <c r="A63" t="s">
        <v>174</v>
      </c>
      <c r="B63" t="s">
        <v>175</v>
      </c>
      <c r="C63" t="s">
        <v>175</v>
      </c>
      <c r="D63" t="s">
        <v>5</v>
      </c>
      <c r="E63">
        <v>0</v>
      </c>
      <c r="F63">
        <v>0</v>
      </c>
      <c r="G63">
        <v>1</v>
      </c>
      <c r="H63">
        <v>0</v>
      </c>
      <c r="I63" t="s">
        <v>19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5.6</v>
      </c>
      <c r="AE63">
        <v>299</v>
      </c>
      <c r="AF63">
        <v>18.528109233877359</v>
      </c>
      <c r="AG63">
        <v>12.758346281058911</v>
      </c>
      <c r="AH63">
        <v>22.900291997085109</v>
      </c>
      <c r="AI63">
        <f>17.7823406636723*1</f>
        <v>17.782340663672301</v>
      </c>
      <c r="AJ63">
        <f>3.48275640666617*1</f>
        <v>3.4827564066661698</v>
      </c>
      <c r="AK63">
        <v>1</v>
      </c>
      <c r="AL63">
        <v>0</v>
      </c>
      <c r="AM63">
        <v>0</v>
      </c>
    </row>
    <row r="64" spans="1:39" hidden="1" x14ac:dyDescent="0.2">
      <c r="A64" t="s">
        <v>176</v>
      </c>
      <c r="B64" t="s">
        <v>177</v>
      </c>
      <c r="C64" t="s">
        <v>177</v>
      </c>
      <c r="D64" t="s">
        <v>3</v>
      </c>
      <c r="E64">
        <v>1</v>
      </c>
      <c r="F64">
        <v>0</v>
      </c>
      <c r="G64">
        <v>0</v>
      </c>
      <c r="H64">
        <v>0</v>
      </c>
      <c r="I64" t="s">
        <v>19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5</v>
      </c>
      <c r="AE64">
        <v>300</v>
      </c>
      <c r="AF64">
        <v>18.113406309930589</v>
      </c>
      <c r="AG64">
        <v>19.406369101397949</v>
      </c>
      <c r="AH64">
        <v>12.143895315360879</v>
      </c>
      <c r="AI64">
        <f>15.220817051901*1</f>
        <v>15.220817051900999</v>
      </c>
      <c r="AJ64">
        <f>3.13575962564637*1</f>
        <v>3.13575962564637</v>
      </c>
      <c r="AK64">
        <v>1</v>
      </c>
      <c r="AL64">
        <v>0</v>
      </c>
      <c r="AM64">
        <v>0</v>
      </c>
    </row>
    <row r="65" spans="1:39" hidden="1" x14ac:dyDescent="0.2">
      <c r="A65" t="s">
        <v>178</v>
      </c>
      <c r="B65" t="s">
        <v>179</v>
      </c>
      <c r="C65" t="s">
        <v>178</v>
      </c>
      <c r="D65" t="s">
        <v>6</v>
      </c>
      <c r="E65">
        <v>0</v>
      </c>
      <c r="F65">
        <v>0</v>
      </c>
      <c r="G65">
        <v>0</v>
      </c>
      <c r="H65">
        <v>1</v>
      </c>
      <c r="I65" t="s">
        <v>19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5.7</v>
      </c>
      <c r="AE65">
        <v>304</v>
      </c>
      <c r="AF65">
        <v>17.846830130165259</v>
      </c>
      <c r="AG65">
        <v>21.795782044747281</v>
      </c>
      <c r="AH65">
        <v>20.737552581926749</v>
      </c>
      <c r="AI65">
        <f>25.2126076678747*1</f>
        <v>25.2126076678747</v>
      </c>
      <c r="AJ65">
        <f>4.30450438811447*1</f>
        <v>4.30450438811447</v>
      </c>
      <c r="AK65">
        <v>1</v>
      </c>
      <c r="AL65">
        <v>0</v>
      </c>
      <c r="AM65">
        <v>0</v>
      </c>
    </row>
    <row r="66" spans="1:39" hidden="1" x14ac:dyDescent="0.2">
      <c r="A66" t="s">
        <v>180</v>
      </c>
      <c r="B66" t="s">
        <v>181</v>
      </c>
      <c r="C66" t="s">
        <v>181</v>
      </c>
      <c r="D66" t="s">
        <v>4</v>
      </c>
      <c r="E66">
        <v>0</v>
      </c>
      <c r="F66">
        <v>1</v>
      </c>
      <c r="G66">
        <v>0</v>
      </c>
      <c r="H66">
        <v>0</v>
      </c>
      <c r="I66" t="s">
        <v>19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4.7</v>
      </c>
      <c r="AE66">
        <v>307</v>
      </c>
      <c r="AF66">
        <v>13.090909090909079</v>
      </c>
      <c r="AG66">
        <v>11.2073706992804</v>
      </c>
      <c r="AH66">
        <v>16.678837774082769</v>
      </c>
      <c r="AI66">
        <f>5.04131300110676*1</f>
        <v>5.0413130011067597</v>
      </c>
      <c r="AJ66">
        <f>1.09399808658886*1</f>
        <v>1.0939980865888601</v>
      </c>
      <c r="AK66">
        <v>1</v>
      </c>
      <c r="AL66">
        <v>0</v>
      </c>
      <c r="AM66">
        <v>0</v>
      </c>
    </row>
    <row r="67" spans="1:39" hidden="1" x14ac:dyDescent="0.2">
      <c r="A67" t="s">
        <v>182</v>
      </c>
      <c r="B67" t="s">
        <v>183</v>
      </c>
      <c r="C67" t="s">
        <v>183</v>
      </c>
      <c r="D67" t="s">
        <v>4</v>
      </c>
      <c r="E67">
        <v>0</v>
      </c>
      <c r="F67">
        <v>1</v>
      </c>
      <c r="G67">
        <v>0</v>
      </c>
      <c r="H67">
        <v>0</v>
      </c>
      <c r="I67" t="s">
        <v>19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4.5</v>
      </c>
      <c r="AE67">
        <v>309</v>
      </c>
      <c r="AF67">
        <v>12.0841116883458</v>
      </c>
      <c r="AG67">
        <v>14.861374992929001</v>
      </c>
      <c r="AH67">
        <v>17.37687165986635</v>
      </c>
      <c r="AI67">
        <f>12.0420110428988*1</f>
        <v>12.0420110428988</v>
      </c>
      <c r="AJ67">
        <f>1.98896447808648*1</f>
        <v>1.9889644780864799</v>
      </c>
      <c r="AK67">
        <v>1</v>
      </c>
      <c r="AL67">
        <v>0</v>
      </c>
      <c r="AM67">
        <v>0</v>
      </c>
    </row>
    <row r="68" spans="1:39" hidden="1" x14ac:dyDescent="0.2">
      <c r="A68" t="s">
        <v>184</v>
      </c>
      <c r="B68" t="s">
        <v>185</v>
      </c>
      <c r="C68" t="s">
        <v>185</v>
      </c>
      <c r="D68" t="s">
        <v>4</v>
      </c>
      <c r="E68">
        <v>0</v>
      </c>
      <c r="F68">
        <v>1</v>
      </c>
      <c r="G68">
        <v>0</v>
      </c>
      <c r="H68">
        <v>0</v>
      </c>
      <c r="I68" t="s">
        <v>20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4.5</v>
      </c>
      <c r="AE68">
        <v>325</v>
      </c>
      <c r="AF68">
        <v>0</v>
      </c>
      <c r="AG68">
        <v>0</v>
      </c>
      <c r="AH68">
        <v>0</v>
      </c>
      <c r="AI68">
        <f>0*1</f>
        <v>0</v>
      </c>
      <c r="AJ68">
        <f>0*1</f>
        <v>0</v>
      </c>
      <c r="AK68">
        <v>1</v>
      </c>
      <c r="AL68">
        <v>0</v>
      </c>
      <c r="AM68">
        <v>0</v>
      </c>
    </row>
    <row r="69" spans="1:39" hidden="1" x14ac:dyDescent="0.2">
      <c r="A69" t="s">
        <v>186</v>
      </c>
      <c r="B69" t="s">
        <v>187</v>
      </c>
      <c r="C69" t="s">
        <v>187</v>
      </c>
      <c r="D69" t="s">
        <v>6</v>
      </c>
      <c r="E69">
        <v>0</v>
      </c>
      <c r="F69">
        <v>0</v>
      </c>
      <c r="G69">
        <v>0</v>
      </c>
      <c r="H69">
        <v>1</v>
      </c>
      <c r="I69" t="s">
        <v>20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5.6</v>
      </c>
      <c r="AE69">
        <v>326</v>
      </c>
      <c r="AF69">
        <v>0</v>
      </c>
      <c r="AG69">
        <v>0</v>
      </c>
      <c r="AH69">
        <v>0</v>
      </c>
      <c r="AI69">
        <f>0*1</f>
        <v>0</v>
      </c>
      <c r="AJ69">
        <f>0*1</f>
        <v>0</v>
      </c>
      <c r="AK69">
        <v>1</v>
      </c>
      <c r="AL69">
        <v>0</v>
      </c>
      <c r="AM69">
        <v>0</v>
      </c>
    </row>
    <row r="70" spans="1:39" hidden="1" x14ac:dyDescent="0.2">
      <c r="A70" t="s">
        <v>188</v>
      </c>
      <c r="B70" t="s">
        <v>189</v>
      </c>
      <c r="C70" t="s">
        <v>189</v>
      </c>
      <c r="D70" t="s">
        <v>3</v>
      </c>
      <c r="E70">
        <v>1</v>
      </c>
      <c r="F70">
        <v>0</v>
      </c>
      <c r="G70">
        <v>0</v>
      </c>
      <c r="H70">
        <v>0</v>
      </c>
      <c r="I70" t="s">
        <v>20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4.4000000000000004</v>
      </c>
      <c r="AE70">
        <v>344</v>
      </c>
      <c r="AF70">
        <v>18.696168673365431</v>
      </c>
      <c r="AG70">
        <v>27.58294774649724</v>
      </c>
      <c r="AH70">
        <v>14.0459898301119</v>
      </c>
      <c r="AI70">
        <f>6.4015836472899*1</f>
        <v>6.4015836472899004</v>
      </c>
      <c r="AJ70">
        <f>0.94944858963992*1</f>
        <v>0.94944858963991996</v>
      </c>
      <c r="AK70">
        <v>1</v>
      </c>
      <c r="AL70">
        <v>0</v>
      </c>
      <c r="AM70">
        <v>0</v>
      </c>
    </row>
    <row r="71" spans="1:39" hidden="1" x14ac:dyDescent="0.2">
      <c r="A71" t="s">
        <v>190</v>
      </c>
      <c r="B71" t="s">
        <v>191</v>
      </c>
      <c r="C71" t="s">
        <v>191</v>
      </c>
      <c r="D71" t="s">
        <v>5</v>
      </c>
      <c r="E71">
        <v>0</v>
      </c>
      <c r="F71">
        <v>0</v>
      </c>
      <c r="G71">
        <v>1</v>
      </c>
      <c r="H71">
        <v>0</v>
      </c>
      <c r="I71" t="s">
        <v>20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5.8</v>
      </c>
      <c r="AE71">
        <v>346</v>
      </c>
      <c r="AF71">
        <v>0</v>
      </c>
      <c r="AG71">
        <v>0</v>
      </c>
      <c r="AH71">
        <v>0</v>
      </c>
      <c r="AI71">
        <f>0*1</f>
        <v>0</v>
      </c>
      <c r="AJ71">
        <f>0*1</f>
        <v>0</v>
      </c>
      <c r="AK71">
        <v>1</v>
      </c>
      <c r="AL71">
        <v>0</v>
      </c>
      <c r="AM71">
        <v>0</v>
      </c>
    </row>
    <row r="72" spans="1:39" hidden="1" x14ac:dyDescent="0.2">
      <c r="A72" t="s">
        <v>192</v>
      </c>
      <c r="B72" t="s">
        <v>193</v>
      </c>
      <c r="C72" t="s">
        <v>193</v>
      </c>
      <c r="D72" t="s">
        <v>5</v>
      </c>
      <c r="E72">
        <v>0</v>
      </c>
      <c r="F72">
        <v>0</v>
      </c>
      <c r="G72">
        <v>1</v>
      </c>
      <c r="H72">
        <v>0</v>
      </c>
      <c r="I72" t="s">
        <v>21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5</v>
      </c>
      <c r="AE72">
        <v>351</v>
      </c>
      <c r="AF72">
        <v>13.297872340425529</v>
      </c>
      <c r="AG72">
        <v>11.83290618480758</v>
      </c>
      <c r="AH72">
        <v>9.7666666666666675</v>
      </c>
      <c r="AI72">
        <f>19.4971235651795*1</f>
        <v>19.4971235651795</v>
      </c>
      <c r="AJ72">
        <f>3.86661797213985*1</f>
        <v>3.8666179721398501</v>
      </c>
      <c r="AK72">
        <v>1</v>
      </c>
      <c r="AL72">
        <v>0</v>
      </c>
      <c r="AM72">
        <v>0</v>
      </c>
    </row>
    <row r="73" spans="1:39" hidden="1" x14ac:dyDescent="0.2">
      <c r="A73" t="s">
        <v>160</v>
      </c>
      <c r="B73" t="s">
        <v>194</v>
      </c>
      <c r="C73" t="s">
        <v>195</v>
      </c>
      <c r="D73" t="s">
        <v>5</v>
      </c>
      <c r="E73">
        <v>0</v>
      </c>
      <c r="F73">
        <v>0</v>
      </c>
      <c r="G73">
        <v>1</v>
      </c>
      <c r="H73">
        <v>0</v>
      </c>
      <c r="I73" t="s">
        <v>21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5.2</v>
      </c>
      <c r="AE73">
        <v>352</v>
      </c>
      <c r="AF73">
        <v>13.955223880597011</v>
      </c>
      <c r="AG73">
        <v>13.40809680023</v>
      </c>
      <c r="AH73">
        <v>13.94406739250843</v>
      </c>
      <c r="AI73">
        <f>14.1985457380634*1</f>
        <v>14.1985457380634</v>
      </c>
      <c r="AJ73">
        <f>2.85748116448816*1</f>
        <v>2.8574811644881599</v>
      </c>
      <c r="AK73">
        <v>1</v>
      </c>
      <c r="AL73">
        <v>0</v>
      </c>
      <c r="AM73">
        <v>0</v>
      </c>
    </row>
    <row r="74" spans="1:39" hidden="1" x14ac:dyDescent="0.2">
      <c r="A74" t="s">
        <v>196</v>
      </c>
      <c r="B74" t="s">
        <v>197</v>
      </c>
      <c r="C74" t="s">
        <v>197</v>
      </c>
      <c r="D74" t="s">
        <v>6</v>
      </c>
      <c r="E74">
        <v>0</v>
      </c>
      <c r="F74">
        <v>0</v>
      </c>
      <c r="G74">
        <v>0</v>
      </c>
      <c r="H74">
        <v>1</v>
      </c>
      <c r="I74" t="s">
        <v>21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5.5</v>
      </c>
      <c r="AE74">
        <v>375</v>
      </c>
      <c r="AF74">
        <v>16.878127679296071</v>
      </c>
      <c r="AG74">
        <v>23.742202342534529</v>
      </c>
      <c r="AH74">
        <v>22.31725160472476</v>
      </c>
      <c r="AI74">
        <f>20.407522075062*1</f>
        <v>20.407522075062001</v>
      </c>
      <c r="AJ74">
        <f>3.49224601404251*1</f>
        <v>3.49224601404251</v>
      </c>
      <c r="AK74">
        <v>1</v>
      </c>
      <c r="AL74">
        <v>0</v>
      </c>
      <c r="AM74">
        <v>0</v>
      </c>
    </row>
    <row r="75" spans="1:39" hidden="1" x14ac:dyDescent="0.2">
      <c r="A75" t="s">
        <v>198</v>
      </c>
      <c r="B75" t="s">
        <v>199</v>
      </c>
      <c r="C75" t="s">
        <v>199</v>
      </c>
      <c r="D75" t="s">
        <v>5</v>
      </c>
      <c r="E75">
        <v>0</v>
      </c>
      <c r="F75">
        <v>0</v>
      </c>
      <c r="G75">
        <v>1</v>
      </c>
      <c r="H75">
        <v>0</v>
      </c>
      <c r="I75" t="s">
        <v>21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4.5</v>
      </c>
      <c r="AE75">
        <v>378</v>
      </c>
      <c r="AF75">
        <v>8.6447949479554609</v>
      </c>
      <c r="AG75">
        <v>9.5250924722202637</v>
      </c>
      <c r="AH75">
        <v>5.74</v>
      </c>
      <c r="AI75">
        <f>9.23720428855656*1</f>
        <v>9.2372042885565602</v>
      </c>
      <c r="AJ75">
        <f>1.9509245270952*1</f>
        <v>1.9509245270952</v>
      </c>
      <c r="AK75">
        <v>1</v>
      </c>
      <c r="AL75">
        <v>0</v>
      </c>
      <c r="AM75">
        <v>0</v>
      </c>
    </row>
    <row r="76" spans="1:39" x14ac:dyDescent="0.2">
      <c r="A76" t="s">
        <v>291</v>
      </c>
      <c r="B76" t="s">
        <v>292</v>
      </c>
      <c r="C76" t="s">
        <v>292</v>
      </c>
      <c r="D76" t="s">
        <v>6</v>
      </c>
      <c r="E76">
        <v>0</v>
      </c>
      <c r="F76">
        <v>0</v>
      </c>
      <c r="G76">
        <v>0</v>
      </c>
      <c r="H76">
        <v>1</v>
      </c>
      <c r="I76" t="s">
        <v>26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0</v>
      </c>
      <c r="AB76">
        <v>0</v>
      </c>
      <c r="AC76">
        <v>0</v>
      </c>
      <c r="AD76">
        <v>6.6</v>
      </c>
      <c r="AE76">
        <v>537</v>
      </c>
      <c r="AF76">
        <v>19.901250344445931</v>
      </c>
      <c r="AG76">
        <v>16.678396351023</v>
      </c>
      <c r="AH76">
        <v>24.508591058234181</v>
      </c>
      <c r="AI76">
        <f>22.8491868084879*1</f>
        <v>22.8491868084879</v>
      </c>
      <c r="AJ76">
        <f>4.56859157399792*1</f>
        <v>4.5685915739979199</v>
      </c>
      <c r="AK76">
        <v>1</v>
      </c>
      <c r="AL76">
        <v>1</v>
      </c>
      <c r="AM76">
        <v>1</v>
      </c>
    </row>
    <row r="77" spans="1:39" hidden="1" x14ac:dyDescent="0.2">
      <c r="A77" t="s">
        <v>202</v>
      </c>
      <c r="B77" t="s">
        <v>203</v>
      </c>
      <c r="C77" t="s">
        <v>202</v>
      </c>
      <c r="D77" t="s">
        <v>6</v>
      </c>
      <c r="E77">
        <v>0</v>
      </c>
      <c r="F77">
        <v>0</v>
      </c>
      <c r="G77">
        <v>0</v>
      </c>
      <c r="H77">
        <v>1</v>
      </c>
      <c r="I77" t="s">
        <v>22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7.1</v>
      </c>
      <c r="AE77">
        <v>389</v>
      </c>
      <c r="AF77">
        <v>17.708333333333321</v>
      </c>
      <c r="AG77">
        <v>24.630530860437069</v>
      </c>
      <c r="AH77">
        <v>7.5266416125453333</v>
      </c>
      <c r="AI77">
        <f>12.4298256102471*1</f>
        <v>12.4298256102471</v>
      </c>
      <c r="AJ77">
        <f>2.66748956126397*1</f>
        <v>2.6674895612639702</v>
      </c>
      <c r="AK77">
        <v>1</v>
      </c>
      <c r="AL77">
        <v>0</v>
      </c>
      <c r="AM77">
        <v>0</v>
      </c>
    </row>
    <row r="78" spans="1:39" hidden="1" x14ac:dyDescent="0.2">
      <c r="A78" t="s">
        <v>204</v>
      </c>
      <c r="B78" t="s">
        <v>205</v>
      </c>
      <c r="C78" t="s">
        <v>205</v>
      </c>
      <c r="D78" t="s">
        <v>6</v>
      </c>
      <c r="E78">
        <v>0</v>
      </c>
      <c r="F78">
        <v>0</v>
      </c>
      <c r="G78">
        <v>0</v>
      </c>
      <c r="H78">
        <v>1</v>
      </c>
      <c r="I78" t="s">
        <v>22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7.1</v>
      </c>
      <c r="AE78">
        <v>394</v>
      </c>
      <c r="AF78">
        <v>15.692307692307701</v>
      </c>
      <c r="AG78">
        <v>17.820073112568359</v>
      </c>
      <c r="AH78">
        <v>26.46891131815045</v>
      </c>
      <c r="AI78">
        <f>16.2022391383166*1</f>
        <v>16.2022391383166</v>
      </c>
      <c r="AJ78">
        <f>3.24417232752198*1</f>
        <v>3.24417232752198</v>
      </c>
      <c r="AK78">
        <v>1</v>
      </c>
      <c r="AL78">
        <v>0</v>
      </c>
      <c r="AM78">
        <v>0</v>
      </c>
    </row>
    <row r="79" spans="1:39" hidden="1" x14ac:dyDescent="0.2">
      <c r="A79" t="s">
        <v>77</v>
      </c>
      <c r="B79" t="s">
        <v>206</v>
      </c>
      <c r="C79" t="s">
        <v>206</v>
      </c>
      <c r="D79" t="s">
        <v>5</v>
      </c>
      <c r="E79">
        <v>0</v>
      </c>
      <c r="F79">
        <v>0</v>
      </c>
      <c r="G79">
        <v>1</v>
      </c>
      <c r="H79">
        <v>0</v>
      </c>
      <c r="I79" t="s">
        <v>22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5</v>
      </c>
      <c r="AE79">
        <v>396</v>
      </c>
      <c r="AF79">
        <v>10.26315789473685</v>
      </c>
      <c r="AG79">
        <v>8.9530761197644022</v>
      </c>
      <c r="AH79">
        <v>21.766666666666669</v>
      </c>
      <c r="AI79">
        <f>10.1563679137477*1</f>
        <v>10.156367913747699</v>
      </c>
      <c r="AJ79">
        <f>2.00060360576601*1</f>
        <v>2.0006036057660102</v>
      </c>
      <c r="AK79">
        <v>1</v>
      </c>
      <c r="AL79">
        <v>0</v>
      </c>
      <c r="AM79">
        <v>0</v>
      </c>
    </row>
    <row r="80" spans="1:39" hidden="1" x14ac:dyDescent="0.2">
      <c r="A80" t="s">
        <v>207</v>
      </c>
      <c r="B80" t="s">
        <v>208</v>
      </c>
      <c r="C80" t="s">
        <v>208</v>
      </c>
      <c r="D80" t="s">
        <v>5</v>
      </c>
      <c r="E80">
        <v>0</v>
      </c>
      <c r="F80">
        <v>0</v>
      </c>
      <c r="G80">
        <v>1</v>
      </c>
      <c r="H80">
        <v>0</v>
      </c>
      <c r="I80" t="s">
        <v>22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5.3</v>
      </c>
      <c r="AE80">
        <v>397</v>
      </c>
      <c r="AF80">
        <v>11.236559139784941</v>
      </c>
      <c r="AG80">
        <v>10.15416562537747</v>
      </c>
      <c r="AH80">
        <v>13.03152364311426</v>
      </c>
      <c r="AI80">
        <f>14.4006877637964*1</f>
        <v>14.4006877637964</v>
      </c>
      <c r="AJ80">
        <f>3.06090301098144*1</f>
        <v>3.0609030109814399</v>
      </c>
      <c r="AK80">
        <v>1</v>
      </c>
      <c r="AL80">
        <v>0</v>
      </c>
      <c r="AM80">
        <v>0</v>
      </c>
    </row>
    <row r="81" spans="1:39" hidden="1" x14ac:dyDescent="0.2">
      <c r="A81" t="s">
        <v>209</v>
      </c>
      <c r="B81" t="s">
        <v>210</v>
      </c>
      <c r="C81" t="s">
        <v>211</v>
      </c>
      <c r="D81" t="s">
        <v>5</v>
      </c>
      <c r="E81">
        <v>0</v>
      </c>
      <c r="F81">
        <v>0</v>
      </c>
      <c r="G81">
        <v>1</v>
      </c>
      <c r="H81">
        <v>0</v>
      </c>
      <c r="I81" t="s">
        <v>22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7.6</v>
      </c>
      <c r="AE81">
        <v>400</v>
      </c>
      <c r="AF81">
        <v>19.932432432432439</v>
      </c>
      <c r="AG81">
        <v>16.21834667390155</v>
      </c>
      <c r="AH81">
        <v>24.775435279006711</v>
      </c>
      <c r="AI81">
        <f>11.1556647937979*1</f>
        <v>11.1556647937979</v>
      </c>
      <c r="AJ81">
        <f>2.16418667112369*1</f>
        <v>2.1641866711236899</v>
      </c>
      <c r="AK81">
        <v>1</v>
      </c>
      <c r="AL81">
        <v>0</v>
      </c>
      <c r="AM81">
        <v>0</v>
      </c>
    </row>
    <row r="82" spans="1:39" hidden="1" x14ac:dyDescent="0.2">
      <c r="A82" t="s">
        <v>212</v>
      </c>
      <c r="B82" t="s">
        <v>213</v>
      </c>
      <c r="C82" t="s">
        <v>214</v>
      </c>
      <c r="D82" t="s">
        <v>5</v>
      </c>
      <c r="E82">
        <v>0</v>
      </c>
      <c r="F82">
        <v>0</v>
      </c>
      <c r="G82">
        <v>1</v>
      </c>
      <c r="H82">
        <v>0</v>
      </c>
      <c r="I82" t="s">
        <v>22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13.1</v>
      </c>
      <c r="AE82">
        <v>401</v>
      </c>
      <c r="AF82">
        <v>35.162037037037031</v>
      </c>
      <c r="AG82">
        <v>35.221841840181114</v>
      </c>
      <c r="AH82">
        <v>53.103249496021832</v>
      </c>
      <c r="AI82">
        <f>34.168590825775*1</f>
        <v>34.168590825774999</v>
      </c>
      <c r="AJ82">
        <f>6.84448698958704*1</f>
        <v>6.8444869895870397</v>
      </c>
      <c r="AK82">
        <v>1</v>
      </c>
      <c r="AL82">
        <v>0</v>
      </c>
      <c r="AM82">
        <v>0</v>
      </c>
    </row>
    <row r="83" spans="1:39" x14ac:dyDescent="0.2">
      <c r="A83" t="s">
        <v>250</v>
      </c>
      <c r="B83" t="s">
        <v>251</v>
      </c>
      <c r="C83" t="s">
        <v>251</v>
      </c>
      <c r="D83" t="s">
        <v>3</v>
      </c>
      <c r="E83">
        <v>1</v>
      </c>
      <c r="F83">
        <v>0</v>
      </c>
      <c r="G83">
        <v>0</v>
      </c>
      <c r="H83">
        <v>0</v>
      </c>
      <c r="I83" t="s">
        <v>24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5.2</v>
      </c>
      <c r="AE83">
        <v>465</v>
      </c>
      <c r="AF83">
        <v>19.2</v>
      </c>
      <c r="AG83">
        <v>14.78210844459716</v>
      </c>
      <c r="AH83">
        <v>29.163508209320788</v>
      </c>
      <c r="AI83">
        <f>21.4822273895425*1</f>
        <v>21.482227389542501</v>
      </c>
      <c r="AJ83">
        <f>4.31653881822256*1</f>
        <v>4.3165388182225604</v>
      </c>
      <c r="AK83">
        <v>1</v>
      </c>
      <c r="AL83">
        <v>1</v>
      </c>
      <c r="AM83">
        <v>1</v>
      </c>
    </row>
    <row r="84" spans="1:39" hidden="1" x14ac:dyDescent="0.2">
      <c r="A84" t="s">
        <v>217</v>
      </c>
      <c r="B84" t="s">
        <v>218</v>
      </c>
      <c r="C84" t="s">
        <v>218</v>
      </c>
      <c r="D84" t="s">
        <v>5</v>
      </c>
      <c r="E84">
        <v>0</v>
      </c>
      <c r="F84">
        <v>0</v>
      </c>
      <c r="G84">
        <v>1</v>
      </c>
      <c r="H84">
        <v>0</v>
      </c>
      <c r="I84" t="s">
        <v>22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6.3</v>
      </c>
      <c r="AE84">
        <v>409</v>
      </c>
      <c r="AF84">
        <v>15.33333333333333</v>
      </c>
      <c r="AG84">
        <v>19.654295083510799</v>
      </c>
      <c r="AH84">
        <v>28.462399952988189</v>
      </c>
      <c r="AI84">
        <f>11.8476580875892*1</f>
        <v>11.847658087589201</v>
      </c>
      <c r="AJ84">
        <f>2.62225256167682*1</f>
        <v>2.6222525616768202</v>
      </c>
      <c r="AK84">
        <v>1</v>
      </c>
      <c r="AL84">
        <v>0</v>
      </c>
      <c r="AM84">
        <v>0</v>
      </c>
    </row>
    <row r="85" spans="1:39" hidden="1" x14ac:dyDescent="0.2">
      <c r="A85" t="s">
        <v>219</v>
      </c>
      <c r="B85" t="s">
        <v>220</v>
      </c>
      <c r="C85" t="s">
        <v>219</v>
      </c>
      <c r="D85" t="s">
        <v>4</v>
      </c>
      <c r="E85">
        <v>0</v>
      </c>
      <c r="F85">
        <v>1</v>
      </c>
      <c r="G85">
        <v>0</v>
      </c>
      <c r="H85">
        <v>0</v>
      </c>
      <c r="I85" t="s">
        <v>22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6.4</v>
      </c>
      <c r="AE85">
        <v>411</v>
      </c>
      <c r="AF85">
        <v>23.005319148936149</v>
      </c>
      <c r="AG85">
        <v>26.082869144314611</v>
      </c>
      <c r="AH85">
        <v>18.75543815768664</v>
      </c>
      <c r="AI85">
        <f>18.8158256216091*1</f>
        <v>18.8158256216091</v>
      </c>
      <c r="AJ85">
        <f>3.9594736163742*1</f>
        <v>3.9594736163742001</v>
      </c>
      <c r="AK85">
        <v>1</v>
      </c>
      <c r="AL85">
        <v>0</v>
      </c>
      <c r="AM85">
        <v>0</v>
      </c>
    </row>
    <row r="86" spans="1:39" hidden="1" x14ac:dyDescent="0.2">
      <c r="A86" t="s">
        <v>221</v>
      </c>
      <c r="B86" t="s">
        <v>222</v>
      </c>
      <c r="C86" t="s">
        <v>223</v>
      </c>
      <c r="D86" t="s">
        <v>3</v>
      </c>
      <c r="E86">
        <v>1</v>
      </c>
      <c r="F86">
        <v>0</v>
      </c>
      <c r="G86">
        <v>0</v>
      </c>
      <c r="H86">
        <v>0</v>
      </c>
      <c r="I86" t="s">
        <v>23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5.5</v>
      </c>
      <c r="AE86">
        <v>423</v>
      </c>
      <c r="AF86">
        <v>16.481834459893669</v>
      </c>
      <c r="AG86">
        <v>19.521545137804679</v>
      </c>
      <c r="AH86">
        <v>7.0121941638608307</v>
      </c>
      <c r="AI86">
        <f>9.35414364129679*1</f>
        <v>9.3541436412967904</v>
      </c>
      <c r="AJ86">
        <f>1.88577199827452*1</f>
        <v>1.88577199827452</v>
      </c>
      <c r="AK86">
        <v>1</v>
      </c>
      <c r="AL86">
        <v>0</v>
      </c>
      <c r="AM86">
        <v>0</v>
      </c>
    </row>
    <row r="87" spans="1:39" hidden="1" x14ac:dyDescent="0.2">
      <c r="A87" t="s">
        <v>224</v>
      </c>
      <c r="B87" t="s">
        <v>225</v>
      </c>
      <c r="C87" t="s">
        <v>225</v>
      </c>
      <c r="D87" t="s">
        <v>4</v>
      </c>
      <c r="E87">
        <v>0</v>
      </c>
      <c r="F87">
        <v>1</v>
      </c>
      <c r="G87">
        <v>0</v>
      </c>
      <c r="H87">
        <v>0</v>
      </c>
      <c r="I87" t="s">
        <v>23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6.2</v>
      </c>
      <c r="AE87">
        <v>426</v>
      </c>
      <c r="AF87">
        <v>19.4871794871795</v>
      </c>
      <c r="AG87">
        <v>17.765517629973981</v>
      </c>
      <c r="AH87">
        <v>23.369663154757401</v>
      </c>
      <c r="AI87">
        <f>12.9871418789874*1</f>
        <v>12.9871418789874</v>
      </c>
      <c r="AJ87">
        <f>2.4568422132166*1</f>
        <v>2.4568422132165999</v>
      </c>
      <c r="AK87">
        <v>1</v>
      </c>
      <c r="AL87">
        <v>0</v>
      </c>
      <c r="AM87">
        <v>0</v>
      </c>
    </row>
    <row r="88" spans="1:39" hidden="1" x14ac:dyDescent="0.2">
      <c r="A88" t="s">
        <v>226</v>
      </c>
      <c r="B88" t="s">
        <v>227</v>
      </c>
      <c r="C88" t="s">
        <v>227</v>
      </c>
      <c r="D88" t="s">
        <v>6</v>
      </c>
      <c r="E88">
        <v>0</v>
      </c>
      <c r="F88">
        <v>0</v>
      </c>
      <c r="G88">
        <v>0</v>
      </c>
      <c r="H88">
        <v>1</v>
      </c>
      <c r="I88" t="s">
        <v>23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15</v>
      </c>
      <c r="AE88">
        <v>427</v>
      </c>
      <c r="AF88">
        <v>38.08219178082193</v>
      </c>
      <c r="AG88">
        <v>45.77753970347743</v>
      </c>
      <c r="AH88">
        <v>31.083308800784369</v>
      </c>
      <c r="AI88">
        <f>13.7101199357*1</f>
        <v>13.7101199357</v>
      </c>
      <c r="AJ88">
        <f>2.56249818742786*1</f>
        <v>2.5624981874278601</v>
      </c>
      <c r="AK88">
        <v>1</v>
      </c>
      <c r="AL88">
        <v>0</v>
      </c>
      <c r="AM88">
        <v>0</v>
      </c>
    </row>
    <row r="89" spans="1:39" hidden="1" x14ac:dyDescent="0.2">
      <c r="A89" t="s">
        <v>228</v>
      </c>
      <c r="B89" t="s">
        <v>229</v>
      </c>
      <c r="C89" t="s">
        <v>229</v>
      </c>
      <c r="D89" t="s">
        <v>5</v>
      </c>
      <c r="E89">
        <v>0</v>
      </c>
      <c r="F89">
        <v>0</v>
      </c>
      <c r="G89">
        <v>1</v>
      </c>
      <c r="H89">
        <v>0</v>
      </c>
      <c r="I89" t="s">
        <v>23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5.5</v>
      </c>
      <c r="AE89">
        <v>430</v>
      </c>
      <c r="AF89">
        <v>22.13973323358222</v>
      </c>
      <c r="AG89">
        <v>10.2584193958696</v>
      </c>
      <c r="AH89">
        <v>10</v>
      </c>
      <c r="AI89">
        <f>0*0</f>
        <v>0</v>
      </c>
      <c r="AJ89">
        <f>1.12909096889775*0</f>
        <v>0</v>
      </c>
      <c r="AK89">
        <v>0</v>
      </c>
      <c r="AL89">
        <v>0</v>
      </c>
      <c r="AM89">
        <v>0</v>
      </c>
    </row>
    <row r="90" spans="1:39" hidden="1" x14ac:dyDescent="0.2">
      <c r="A90" t="s">
        <v>230</v>
      </c>
      <c r="B90" t="s">
        <v>231</v>
      </c>
      <c r="C90" t="s">
        <v>230</v>
      </c>
      <c r="D90" t="s">
        <v>4</v>
      </c>
      <c r="E90">
        <v>0</v>
      </c>
      <c r="F90">
        <v>1</v>
      </c>
      <c r="G90">
        <v>0</v>
      </c>
      <c r="H90">
        <v>0</v>
      </c>
      <c r="I90" t="s">
        <v>23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5.4</v>
      </c>
      <c r="AE90">
        <v>436</v>
      </c>
      <c r="AF90">
        <v>14.35483870967742</v>
      </c>
      <c r="AG90">
        <v>17.013059578427601</v>
      </c>
      <c r="AH90">
        <v>22.654389923801681</v>
      </c>
      <c r="AI90">
        <f>5.24146743919589*1</f>
        <v>5.2414674391958904</v>
      </c>
      <c r="AJ90">
        <f>1.06371653715333*1</f>
        <v>1.0637165371533299</v>
      </c>
      <c r="AK90">
        <v>1</v>
      </c>
      <c r="AL90">
        <v>0</v>
      </c>
      <c r="AM90">
        <v>0</v>
      </c>
    </row>
    <row r="91" spans="1:39" hidden="1" x14ac:dyDescent="0.2">
      <c r="A91" t="s">
        <v>232</v>
      </c>
      <c r="B91" t="s">
        <v>233</v>
      </c>
      <c r="C91" t="s">
        <v>233</v>
      </c>
      <c r="D91" t="s">
        <v>5</v>
      </c>
      <c r="E91">
        <v>0</v>
      </c>
      <c r="F91">
        <v>0</v>
      </c>
      <c r="G91">
        <v>1</v>
      </c>
      <c r="H91">
        <v>0</v>
      </c>
      <c r="I91" t="s">
        <v>23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6.5</v>
      </c>
      <c r="AE91">
        <v>441</v>
      </c>
      <c r="AF91">
        <v>16.841225997902111</v>
      </c>
      <c r="AG91">
        <v>23.317329239907629</v>
      </c>
      <c r="AH91">
        <v>11.03270134665013</v>
      </c>
      <c r="AI91">
        <f>9.9981051181455*1</f>
        <v>9.9981051181454994</v>
      </c>
      <c r="AJ91">
        <f>1.86105122346462*1</f>
        <v>1.8610512234646199</v>
      </c>
      <c r="AK91">
        <v>1</v>
      </c>
      <c r="AL91">
        <v>0</v>
      </c>
      <c r="AM91">
        <v>0</v>
      </c>
    </row>
    <row r="92" spans="1:39" hidden="1" x14ac:dyDescent="0.2">
      <c r="A92" t="s">
        <v>234</v>
      </c>
      <c r="B92" t="s">
        <v>235</v>
      </c>
      <c r="C92" t="s">
        <v>234</v>
      </c>
      <c r="D92" t="s">
        <v>5</v>
      </c>
      <c r="E92">
        <v>0</v>
      </c>
      <c r="F92">
        <v>0</v>
      </c>
      <c r="G92">
        <v>1</v>
      </c>
      <c r="H92">
        <v>0</v>
      </c>
      <c r="I92" t="s">
        <v>24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4.9000000000000004</v>
      </c>
      <c r="AE92">
        <v>446</v>
      </c>
      <c r="AF92">
        <v>17.04545454545454</v>
      </c>
      <c r="AG92">
        <v>15.8819215163725</v>
      </c>
      <c r="AH92">
        <v>25.84</v>
      </c>
      <c r="AI92">
        <f>14.0406809987685*1</f>
        <v>14.040680998768501</v>
      </c>
      <c r="AJ92">
        <f>2.88057260355731*1</f>
        <v>2.8805726035573098</v>
      </c>
      <c r="AK92">
        <v>1</v>
      </c>
      <c r="AL92">
        <v>0</v>
      </c>
      <c r="AM92">
        <v>0</v>
      </c>
    </row>
    <row r="93" spans="1:39" hidden="1" x14ac:dyDescent="0.2">
      <c r="A93" t="s">
        <v>236</v>
      </c>
      <c r="B93" t="s">
        <v>237</v>
      </c>
      <c r="C93" t="s">
        <v>238</v>
      </c>
      <c r="D93" t="s">
        <v>5</v>
      </c>
      <c r="E93">
        <v>0</v>
      </c>
      <c r="F93">
        <v>0</v>
      </c>
      <c r="G93">
        <v>1</v>
      </c>
      <c r="H93">
        <v>0</v>
      </c>
      <c r="I93" t="s">
        <v>24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8.5</v>
      </c>
      <c r="AE93">
        <v>448</v>
      </c>
      <c r="AF93">
        <v>22.999999999999989</v>
      </c>
      <c r="AG93">
        <v>28.38391503030287</v>
      </c>
      <c r="AH93">
        <v>42.594021813737022</v>
      </c>
      <c r="AI93">
        <f>21.5323079265846*1</f>
        <v>21.5323079265846</v>
      </c>
      <c r="AJ93">
        <f>4.17198213417259*1</f>
        <v>4.1719821341725902</v>
      </c>
      <c r="AK93">
        <v>1</v>
      </c>
      <c r="AL93">
        <v>0</v>
      </c>
      <c r="AM93">
        <v>0</v>
      </c>
    </row>
    <row r="94" spans="1:39" hidden="1" x14ac:dyDescent="0.2">
      <c r="A94" t="s">
        <v>239</v>
      </c>
      <c r="B94" t="s">
        <v>240</v>
      </c>
      <c r="C94" t="s">
        <v>241</v>
      </c>
      <c r="D94" t="s">
        <v>5</v>
      </c>
      <c r="E94">
        <v>0</v>
      </c>
      <c r="F94">
        <v>0</v>
      </c>
      <c r="G94">
        <v>1</v>
      </c>
      <c r="H94">
        <v>0</v>
      </c>
      <c r="I94" t="s">
        <v>24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4.8</v>
      </c>
      <c r="AE94">
        <v>450</v>
      </c>
      <c r="AF94">
        <v>12.622950819672131</v>
      </c>
      <c r="AG94">
        <v>15.08392515175634</v>
      </c>
      <c r="AH94">
        <v>9.5596145332490785</v>
      </c>
      <c r="AI94">
        <f>10.8589325629089*1</f>
        <v>10.858932562908899</v>
      </c>
      <c r="AJ94">
        <f>2.2400730994777*1</f>
        <v>2.2400730994777001</v>
      </c>
      <c r="AK94">
        <v>1</v>
      </c>
      <c r="AL94">
        <v>0</v>
      </c>
      <c r="AM94">
        <v>0</v>
      </c>
    </row>
    <row r="95" spans="1:39" x14ac:dyDescent="0.2">
      <c r="A95" t="s">
        <v>162</v>
      </c>
      <c r="B95" t="s">
        <v>304</v>
      </c>
      <c r="C95" t="s">
        <v>304</v>
      </c>
      <c r="D95" t="s">
        <v>5</v>
      </c>
      <c r="E95">
        <v>0</v>
      </c>
      <c r="F95">
        <v>0</v>
      </c>
      <c r="G95">
        <v>1</v>
      </c>
      <c r="H95">
        <v>0</v>
      </c>
      <c r="I95" t="s">
        <v>28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1</v>
      </c>
      <c r="AB95">
        <v>0</v>
      </c>
      <c r="AC95">
        <v>0</v>
      </c>
      <c r="AD95">
        <v>7.6</v>
      </c>
      <c r="AE95">
        <v>599</v>
      </c>
      <c r="AF95">
        <v>23.076180503563041</v>
      </c>
      <c r="AG95">
        <v>21.596697556041129</v>
      </c>
      <c r="AH95">
        <v>45.15404026625886</v>
      </c>
      <c r="AI95">
        <f>26.4989024617578*1</f>
        <v>26.498902461757801</v>
      </c>
      <c r="AJ95">
        <f>3.7730613346164*1</f>
        <v>3.7730613346164001</v>
      </c>
      <c r="AK95">
        <v>1</v>
      </c>
      <c r="AL95">
        <v>1</v>
      </c>
      <c r="AM95">
        <v>1</v>
      </c>
    </row>
    <row r="96" spans="1:39" hidden="1" x14ac:dyDescent="0.2">
      <c r="A96" t="s">
        <v>245</v>
      </c>
      <c r="B96" t="s">
        <v>246</v>
      </c>
      <c r="C96" t="s">
        <v>246</v>
      </c>
      <c r="D96" t="s">
        <v>5</v>
      </c>
      <c r="E96">
        <v>0</v>
      </c>
      <c r="F96">
        <v>0</v>
      </c>
      <c r="G96">
        <v>1</v>
      </c>
      <c r="H96">
        <v>0</v>
      </c>
      <c r="I96" t="s">
        <v>24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6.4</v>
      </c>
      <c r="AE96">
        <v>454</v>
      </c>
      <c r="AF96">
        <v>17.505903248291769</v>
      </c>
      <c r="AG96">
        <v>16.03963727367168</v>
      </c>
      <c r="AH96">
        <v>15.193140248912311</v>
      </c>
      <c r="AI96">
        <f>13.6424356858215*1</f>
        <v>13.6424356858215</v>
      </c>
      <c r="AJ96">
        <f>3.17559496176559*1</f>
        <v>3.1755949617655901</v>
      </c>
      <c r="AK96">
        <v>1</v>
      </c>
      <c r="AL96">
        <v>0</v>
      </c>
      <c r="AM96">
        <v>0</v>
      </c>
    </row>
    <row r="97" spans="1:39" hidden="1" x14ac:dyDescent="0.2">
      <c r="A97" t="s">
        <v>247</v>
      </c>
      <c r="B97" t="s">
        <v>248</v>
      </c>
      <c r="C97" t="s">
        <v>249</v>
      </c>
      <c r="D97" t="s">
        <v>4</v>
      </c>
      <c r="E97">
        <v>0</v>
      </c>
      <c r="F97">
        <v>1</v>
      </c>
      <c r="G97">
        <v>0</v>
      </c>
      <c r="H97">
        <v>0</v>
      </c>
      <c r="I97" t="s">
        <v>24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4.4000000000000004</v>
      </c>
      <c r="AE97">
        <v>462</v>
      </c>
      <c r="AF97">
        <v>13.586956521739131</v>
      </c>
      <c r="AG97">
        <v>15.88200977783792</v>
      </c>
      <c r="AH97">
        <v>15.586891715670641</v>
      </c>
      <c r="AI97">
        <f>10.9201135655418*1</f>
        <v>10.920113565541801</v>
      </c>
      <c r="AJ97">
        <f>2.35341872429523*1</f>
        <v>2.35341872429523</v>
      </c>
      <c r="AK97">
        <v>1</v>
      </c>
      <c r="AL97">
        <v>0</v>
      </c>
      <c r="AM97">
        <v>0</v>
      </c>
    </row>
    <row r="98" spans="1:39" x14ac:dyDescent="0.2">
      <c r="A98" t="s">
        <v>105</v>
      </c>
      <c r="B98" t="s">
        <v>106</v>
      </c>
      <c r="C98" t="s">
        <v>106</v>
      </c>
      <c r="D98" t="s">
        <v>6</v>
      </c>
      <c r="E98">
        <v>0</v>
      </c>
      <c r="F98">
        <v>0</v>
      </c>
      <c r="G98">
        <v>0</v>
      </c>
      <c r="H98">
        <v>1</v>
      </c>
      <c r="I98" t="s">
        <v>14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6.1</v>
      </c>
      <c r="AE98">
        <v>127</v>
      </c>
      <c r="AF98">
        <v>27.639887759506649</v>
      </c>
      <c r="AG98">
        <v>14.43125430190022</v>
      </c>
      <c r="AH98">
        <v>55.227649572649582</v>
      </c>
      <c r="AI98">
        <f>19.4211125844115*1</f>
        <v>19.4211125844115</v>
      </c>
      <c r="AJ98">
        <f>3.66319307503999*1</f>
        <v>3.6631930750399899</v>
      </c>
      <c r="AK98">
        <v>1</v>
      </c>
      <c r="AL98">
        <v>1</v>
      </c>
      <c r="AM98">
        <v>1</v>
      </c>
    </row>
    <row r="99" spans="1:39" hidden="1" x14ac:dyDescent="0.2">
      <c r="A99" t="s">
        <v>87</v>
      </c>
      <c r="B99" t="s">
        <v>252</v>
      </c>
      <c r="C99" t="s">
        <v>252</v>
      </c>
      <c r="D99" t="s">
        <v>5</v>
      </c>
      <c r="E99">
        <v>0</v>
      </c>
      <c r="F99">
        <v>0</v>
      </c>
      <c r="G99">
        <v>1</v>
      </c>
      <c r="H99">
        <v>0</v>
      </c>
      <c r="I99" t="s">
        <v>24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1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6.9</v>
      </c>
      <c r="AE99">
        <v>467</v>
      </c>
      <c r="AF99">
        <v>24.026963552643711</v>
      </c>
      <c r="AG99">
        <v>25.488798543347119</v>
      </c>
      <c r="AH99">
        <v>45.590764413473593</v>
      </c>
      <c r="AI99">
        <f>16.9761900376221*1</f>
        <v>16.9761900376221</v>
      </c>
      <c r="AJ99">
        <f>3.24471382708307*1</f>
        <v>3.24471382708307</v>
      </c>
      <c r="AK99">
        <v>1</v>
      </c>
      <c r="AL99">
        <v>0</v>
      </c>
      <c r="AM99">
        <v>0</v>
      </c>
    </row>
    <row r="100" spans="1:39" hidden="1" x14ac:dyDescent="0.2">
      <c r="A100" t="s">
        <v>253</v>
      </c>
      <c r="B100" t="s">
        <v>254</v>
      </c>
      <c r="C100" t="s">
        <v>254</v>
      </c>
      <c r="D100" t="s">
        <v>6</v>
      </c>
      <c r="E100">
        <v>0</v>
      </c>
      <c r="F100">
        <v>0</v>
      </c>
      <c r="G100">
        <v>0</v>
      </c>
      <c r="H100">
        <v>1</v>
      </c>
      <c r="I100" t="s">
        <v>24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6.6</v>
      </c>
      <c r="AE100">
        <v>469</v>
      </c>
      <c r="AF100">
        <v>0</v>
      </c>
      <c r="AG100">
        <v>0</v>
      </c>
      <c r="AH100">
        <v>0</v>
      </c>
      <c r="AI100">
        <f>0*1</f>
        <v>0</v>
      </c>
      <c r="AJ100">
        <f>0*1</f>
        <v>0</v>
      </c>
      <c r="AK100">
        <v>1</v>
      </c>
      <c r="AL100">
        <v>0</v>
      </c>
      <c r="AM100">
        <v>0</v>
      </c>
    </row>
    <row r="101" spans="1:39" hidden="1" x14ac:dyDescent="0.2">
      <c r="A101" t="s">
        <v>255</v>
      </c>
      <c r="B101" t="s">
        <v>256</v>
      </c>
      <c r="C101" t="s">
        <v>257</v>
      </c>
      <c r="D101" t="s">
        <v>4</v>
      </c>
      <c r="E101">
        <v>0</v>
      </c>
      <c r="F101">
        <v>1</v>
      </c>
      <c r="G101">
        <v>0</v>
      </c>
      <c r="H101">
        <v>0</v>
      </c>
      <c r="I101" t="s">
        <v>24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5</v>
      </c>
      <c r="AE101">
        <v>471</v>
      </c>
      <c r="AF101">
        <v>0</v>
      </c>
      <c r="AG101">
        <v>0</v>
      </c>
      <c r="AH101">
        <v>0</v>
      </c>
      <c r="AI101">
        <f>0*1</f>
        <v>0</v>
      </c>
      <c r="AJ101">
        <f>0*1</f>
        <v>0</v>
      </c>
      <c r="AK101">
        <v>1</v>
      </c>
      <c r="AL101">
        <v>0</v>
      </c>
      <c r="AM101">
        <v>0</v>
      </c>
    </row>
    <row r="102" spans="1:39" hidden="1" x14ac:dyDescent="0.2">
      <c r="A102" t="s">
        <v>258</v>
      </c>
      <c r="B102" t="s">
        <v>259</v>
      </c>
      <c r="C102" t="s">
        <v>259</v>
      </c>
      <c r="D102" t="s">
        <v>4</v>
      </c>
      <c r="E102">
        <v>0</v>
      </c>
      <c r="F102">
        <v>1</v>
      </c>
      <c r="G102">
        <v>0</v>
      </c>
      <c r="H102">
        <v>0</v>
      </c>
      <c r="I102" t="s">
        <v>24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4.7</v>
      </c>
      <c r="AE102">
        <v>472</v>
      </c>
      <c r="AF102">
        <v>0</v>
      </c>
      <c r="AG102">
        <v>0</v>
      </c>
      <c r="AH102">
        <v>0</v>
      </c>
      <c r="AI102">
        <f>0*1</f>
        <v>0</v>
      </c>
      <c r="AJ102">
        <f>0*1</f>
        <v>0</v>
      </c>
      <c r="AK102">
        <v>1</v>
      </c>
      <c r="AL102">
        <v>0</v>
      </c>
      <c r="AM102">
        <v>0</v>
      </c>
    </row>
    <row r="103" spans="1:39" hidden="1" x14ac:dyDescent="0.2">
      <c r="A103" t="s">
        <v>260</v>
      </c>
      <c r="B103" t="s">
        <v>261</v>
      </c>
      <c r="C103" t="s">
        <v>261</v>
      </c>
      <c r="D103" t="s">
        <v>5</v>
      </c>
      <c r="E103">
        <v>0</v>
      </c>
      <c r="F103">
        <v>0</v>
      </c>
      <c r="G103">
        <v>1</v>
      </c>
      <c r="H103">
        <v>0</v>
      </c>
      <c r="I103" t="s">
        <v>25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6.3</v>
      </c>
      <c r="AE103">
        <v>481</v>
      </c>
      <c r="AF103">
        <v>19.92009270089013</v>
      </c>
      <c r="AG103">
        <v>20.079495571165889</v>
      </c>
      <c r="AH103">
        <v>10.885300604285179</v>
      </c>
      <c r="AI103">
        <f>6.67328642436262*1</f>
        <v>6.6732864243626198</v>
      </c>
      <c r="AJ103">
        <f>1.44139517866225*1</f>
        <v>1.4413951786622501</v>
      </c>
      <c r="AK103">
        <v>1</v>
      </c>
      <c r="AL103">
        <v>0</v>
      </c>
      <c r="AM103">
        <v>0</v>
      </c>
    </row>
    <row r="104" spans="1:39" hidden="1" x14ac:dyDescent="0.2">
      <c r="A104" t="s">
        <v>236</v>
      </c>
      <c r="B104" t="s">
        <v>262</v>
      </c>
      <c r="C104" t="s">
        <v>263</v>
      </c>
      <c r="D104" t="s">
        <v>5</v>
      </c>
      <c r="E104">
        <v>0</v>
      </c>
      <c r="F104">
        <v>0</v>
      </c>
      <c r="G104">
        <v>1</v>
      </c>
      <c r="H104">
        <v>0</v>
      </c>
      <c r="I104" t="s">
        <v>25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6.1</v>
      </c>
      <c r="AE104">
        <v>483</v>
      </c>
      <c r="AF104">
        <v>18.118279569892469</v>
      </c>
      <c r="AG104">
        <v>15.33176583103868</v>
      </c>
      <c r="AH104">
        <v>16.65718285315797</v>
      </c>
      <c r="AI104">
        <f>7.3961177351835*1</f>
        <v>7.3961177351835001</v>
      </c>
      <c r="AJ104">
        <f>1.51202012890833*1</f>
        <v>1.5120201289083299</v>
      </c>
      <c r="AK104">
        <v>1</v>
      </c>
      <c r="AL104">
        <v>0</v>
      </c>
      <c r="AM104">
        <v>0</v>
      </c>
    </row>
    <row r="105" spans="1:39" hidden="1" x14ac:dyDescent="0.2">
      <c r="A105" t="s">
        <v>264</v>
      </c>
      <c r="B105" t="s">
        <v>265</v>
      </c>
      <c r="C105" t="s">
        <v>265</v>
      </c>
      <c r="D105" t="s">
        <v>4</v>
      </c>
      <c r="E105">
        <v>0</v>
      </c>
      <c r="F105">
        <v>1</v>
      </c>
      <c r="G105">
        <v>0</v>
      </c>
      <c r="H105">
        <v>0</v>
      </c>
      <c r="I105" t="s">
        <v>25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4.4000000000000004</v>
      </c>
      <c r="AE105">
        <v>484</v>
      </c>
      <c r="AF105">
        <v>14.414537040203591</v>
      </c>
      <c r="AG105">
        <v>14.281110579754699</v>
      </c>
      <c r="AH105">
        <v>16.97888113957988</v>
      </c>
      <c r="AI105">
        <f>11.0816067072413*1</f>
        <v>11.081606707241299</v>
      </c>
      <c r="AJ105">
        <f>2.18083036335859*1</f>
        <v>2.1808303633585902</v>
      </c>
      <c r="AK105">
        <v>1</v>
      </c>
      <c r="AL105">
        <v>0</v>
      </c>
      <c r="AM105">
        <v>0</v>
      </c>
    </row>
    <row r="106" spans="1:39" hidden="1" x14ac:dyDescent="0.2">
      <c r="A106" t="s">
        <v>266</v>
      </c>
      <c r="B106" t="s">
        <v>267</v>
      </c>
      <c r="C106" t="s">
        <v>267</v>
      </c>
      <c r="D106" t="s">
        <v>5</v>
      </c>
      <c r="E106">
        <v>0</v>
      </c>
      <c r="F106">
        <v>0</v>
      </c>
      <c r="G106">
        <v>1</v>
      </c>
      <c r="H106">
        <v>0</v>
      </c>
      <c r="I106" t="s">
        <v>25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7.2</v>
      </c>
      <c r="AE106">
        <v>486</v>
      </c>
      <c r="AF106">
        <v>16.095172422405689</v>
      </c>
      <c r="AG106">
        <v>14.14132376441531</v>
      </c>
      <c r="AH106">
        <v>15.32161104722454</v>
      </c>
      <c r="AI106">
        <f>6.81687368026765*1</f>
        <v>6.8168736802676504</v>
      </c>
      <c r="AJ106">
        <f>1.39340203686037*1</f>
        <v>1.3934020368603699</v>
      </c>
      <c r="AK106">
        <v>1</v>
      </c>
      <c r="AL106">
        <v>0</v>
      </c>
      <c r="AM106">
        <v>0</v>
      </c>
    </row>
    <row r="107" spans="1:39" hidden="1" x14ac:dyDescent="0.2">
      <c r="A107" t="s">
        <v>79</v>
      </c>
      <c r="B107" t="s">
        <v>268</v>
      </c>
      <c r="C107" t="s">
        <v>268</v>
      </c>
      <c r="D107" t="s">
        <v>4</v>
      </c>
      <c r="E107">
        <v>0</v>
      </c>
      <c r="F107">
        <v>1</v>
      </c>
      <c r="G107">
        <v>0</v>
      </c>
      <c r="H107">
        <v>0</v>
      </c>
      <c r="I107" t="s">
        <v>25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4.4000000000000004</v>
      </c>
      <c r="AE107">
        <v>487</v>
      </c>
      <c r="AF107">
        <v>11.891891891891889</v>
      </c>
      <c r="AG107">
        <v>12.387515619357711</v>
      </c>
      <c r="AH107">
        <v>15.327190476190481</v>
      </c>
      <c r="AI107">
        <f>13.9136468348921*1</f>
        <v>13.9136468348921</v>
      </c>
      <c r="AJ107">
        <f>3.02730165371943*1</f>
        <v>3.0273016537194302</v>
      </c>
      <c r="AK107">
        <v>1</v>
      </c>
      <c r="AL107">
        <v>0</v>
      </c>
      <c r="AM107">
        <v>0</v>
      </c>
    </row>
    <row r="108" spans="1:39" hidden="1" x14ac:dyDescent="0.2">
      <c r="A108" t="s">
        <v>269</v>
      </c>
      <c r="B108" t="s">
        <v>270</v>
      </c>
      <c r="C108" t="s">
        <v>270</v>
      </c>
      <c r="D108" t="s">
        <v>6</v>
      </c>
      <c r="E108">
        <v>0</v>
      </c>
      <c r="F108">
        <v>0</v>
      </c>
      <c r="G108">
        <v>0</v>
      </c>
      <c r="H108">
        <v>1</v>
      </c>
      <c r="I108" t="s">
        <v>25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8.5</v>
      </c>
      <c r="AE108">
        <v>489</v>
      </c>
      <c r="AF108">
        <v>26.083333333333339</v>
      </c>
      <c r="AG108">
        <v>21.906170013815618</v>
      </c>
      <c r="AH108">
        <v>26.66318626697084</v>
      </c>
      <c r="AI108">
        <f>13.6932605415986*1</f>
        <v>13.693260541598599</v>
      </c>
      <c r="AJ108">
        <f>2.91697789969315*1</f>
        <v>2.9169778996931499</v>
      </c>
      <c r="AK108">
        <v>1</v>
      </c>
      <c r="AL108">
        <v>0</v>
      </c>
      <c r="AM108">
        <v>0</v>
      </c>
    </row>
    <row r="109" spans="1:39" hidden="1" x14ac:dyDescent="0.2">
      <c r="A109" t="s">
        <v>271</v>
      </c>
      <c r="B109" t="s">
        <v>272</v>
      </c>
      <c r="C109" t="s">
        <v>273</v>
      </c>
      <c r="D109" t="s">
        <v>5</v>
      </c>
      <c r="E109">
        <v>0</v>
      </c>
      <c r="F109">
        <v>0</v>
      </c>
      <c r="G109">
        <v>1</v>
      </c>
      <c r="H109">
        <v>0</v>
      </c>
      <c r="I109" t="s">
        <v>25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6</v>
      </c>
      <c r="AE109">
        <v>491</v>
      </c>
      <c r="AF109">
        <v>13.000000000000011</v>
      </c>
      <c r="AG109">
        <v>14.61874201326107</v>
      </c>
      <c r="AH109">
        <v>19.570046493914528</v>
      </c>
      <c r="AI109">
        <f>14.0012002191676*1</f>
        <v>14.0012002191676</v>
      </c>
      <c r="AJ109">
        <f>2.95959502264021*1</f>
        <v>2.9595950226402099</v>
      </c>
      <c r="AK109">
        <v>1</v>
      </c>
      <c r="AL109">
        <v>0</v>
      </c>
      <c r="AM109">
        <v>0</v>
      </c>
    </row>
    <row r="110" spans="1:39" hidden="1" x14ac:dyDescent="0.2">
      <c r="A110" t="s">
        <v>274</v>
      </c>
      <c r="B110" t="s">
        <v>275</v>
      </c>
      <c r="C110" t="s">
        <v>275</v>
      </c>
      <c r="D110" t="s">
        <v>4</v>
      </c>
      <c r="E110">
        <v>0</v>
      </c>
      <c r="F110">
        <v>1</v>
      </c>
      <c r="G110">
        <v>0</v>
      </c>
      <c r="H110">
        <v>0</v>
      </c>
      <c r="I110" t="s">
        <v>25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4.5</v>
      </c>
      <c r="AE110">
        <v>497</v>
      </c>
      <c r="AF110">
        <v>10.226227033551391</v>
      </c>
      <c r="AG110">
        <v>14.217517542888411</v>
      </c>
      <c r="AH110">
        <v>8.3659134075800736</v>
      </c>
      <c r="AI110">
        <f>8.57623756096094*1</f>
        <v>8.5762375609609407</v>
      </c>
      <c r="AJ110">
        <f>1.84744926410206*1</f>
        <v>1.8474492641020599</v>
      </c>
      <c r="AK110">
        <v>1</v>
      </c>
      <c r="AL110">
        <v>0</v>
      </c>
      <c r="AM110">
        <v>0</v>
      </c>
    </row>
    <row r="111" spans="1:39" hidden="1" x14ac:dyDescent="0.2">
      <c r="A111" t="s">
        <v>276</v>
      </c>
      <c r="B111" t="s">
        <v>277</v>
      </c>
      <c r="C111" t="s">
        <v>277</v>
      </c>
      <c r="D111" t="s">
        <v>3</v>
      </c>
      <c r="E111">
        <v>1</v>
      </c>
      <c r="F111">
        <v>0</v>
      </c>
      <c r="G111">
        <v>0</v>
      </c>
      <c r="H111">
        <v>0</v>
      </c>
      <c r="I111" t="s">
        <v>25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5</v>
      </c>
      <c r="AE111">
        <v>501</v>
      </c>
      <c r="AF111">
        <v>20.375000000000011</v>
      </c>
      <c r="AG111">
        <v>21.817389564852121</v>
      </c>
      <c r="AH111">
        <v>12.268439267620661</v>
      </c>
      <c r="AI111">
        <f>12.5658856290085*1</f>
        <v>12.5658856290085</v>
      </c>
      <c r="AJ111">
        <f>2.47670172989785*1</f>
        <v>2.47670172989785</v>
      </c>
      <c r="AK111">
        <v>1</v>
      </c>
      <c r="AL111">
        <v>0</v>
      </c>
      <c r="AM111">
        <v>0</v>
      </c>
    </row>
    <row r="112" spans="1:39" hidden="1" x14ac:dyDescent="0.2">
      <c r="A112" t="s">
        <v>278</v>
      </c>
      <c r="B112" t="s">
        <v>279</v>
      </c>
      <c r="C112" t="s">
        <v>279</v>
      </c>
      <c r="D112" t="s">
        <v>4</v>
      </c>
      <c r="E112">
        <v>0</v>
      </c>
      <c r="F112">
        <v>1</v>
      </c>
      <c r="G112">
        <v>0</v>
      </c>
      <c r="H112">
        <v>0</v>
      </c>
      <c r="I112" t="s">
        <v>25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5.4</v>
      </c>
      <c r="AE112">
        <v>503</v>
      </c>
      <c r="AF112">
        <v>14.19563173574981</v>
      </c>
      <c r="AG112">
        <v>17.628222921216501</v>
      </c>
      <c r="AH112">
        <v>10.36179827062856</v>
      </c>
      <c r="AI112">
        <f>9.22619599556571*1</f>
        <v>9.2261959955657105</v>
      </c>
      <c r="AJ112">
        <f>1.90400758071733*1</f>
        <v>1.90400758071733</v>
      </c>
      <c r="AK112">
        <v>1</v>
      </c>
      <c r="AL112">
        <v>0</v>
      </c>
      <c r="AM112">
        <v>0</v>
      </c>
    </row>
    <row r="113" spans="1:39" x14ac:dyDescent="0.2">
      <c r="A113" t="s">
        <v>73</v>
      </c>
      <c r="B113" t="s">
        <v>74</v>
      </c>
      <c r="C113" t="s">
        <v>74</v>
      </c>
      <c r="D113" t="s">
        <v>5</v>
      </c>
      <c r="E113">
        <v>0</v>
      </c>
      <c r="F113">
        <v>0</v>
      </c>
      <c r="G113">
        <v>1</v>
      </c>
      <c r="H113">
        <v>0</v>
      </c>
      <c r="I113" t="s">
        <v>12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5.3</v>
      </c>
      <c r="AE113">
        <v>59</v>
      </c>
      <c r="AF113">
        <v>17.5</v>
      </c>
      <c r="AG113">
        <v>25.87781394036061</v>
      </c>
      <c r="AH113">
        <v>13.63474054833117</v>
      </c>
      <c r="AI113">
        <f>21.7682592844953*1</f>
        <v>21.768259284495301</v>
      </c>
      <c r="AJ113">
        <f>3.62991572735231*1</f>
        <v>3.6299157273523099</v>
      </c>
      <c r="AK113">
        <v>1</v>
      </c>
      <c r="AL113">
        <v>1</v>
      </c>
      <c r="AM113">
        <v>1</v>
      </c>
    </row>
    <row r="114" spans="1:39" hidden="1" x14ac:dyDescent="0.2">
      <c r="A114" t="s">
        <v>282</v>
      </c>
      <c r="B114" t="s">
        <v>283</v>
      </c>
      <c r="C114" t="s">
        <v>283</v>
      </c>
      <c r="D114" t="s">
        <v>5</v>
      </c>
      <c r="E114">
        <v>0</v>
      </c>
      <c r="F114">
        <v>0</v>
      </c>
      <c r="G114">
        <v>1</v>
      </c>
      <c r="H114">
        <v>0</v>
      </c>
      <c r="I114" t="s">
        <v>26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</v>
      </c>
      <c r="Z114">
        <v>0</v>
      </c>
      <c r="AA114">
        <v>0</v>
      </c>
      <c r="AB114">
        <v>0</v>
      </c>
      <c r="AC114">
        <v>0</v>
      </c>
      <c r="AD114">
        <v>5</v>
      </c>
      <c r="AE114">
        <v>514</v>
      </c>
      <c r="AF114">
        <v>9.3309774681837023</v>
      </c>
      <c r="AG114">
        <v>8.5100453668858105</v>
      </c>
      <c r="AH114">
        <v>9.7199999999999989</v>
      </c>
      <c r="AI114">
        <f>6.11171984629146*1</f>
        <v>6.1117198462914599</v>
      </c>
      <c r="AJ114">
        <f>1.36812292076556*1</f>
        <v>1.3681229207655601</v>
      </c>
      <c r="AK114">
        <v>1</v>
      </c>
      <c r="AL114">
        <v>0</v>
      </c>
      <c r="AM114">
        <v>0</v>
      </c>
    </row>
    <row r="115" spans="1:39" hidden="1" x14ac:dyDescent="0.2">
      <c r="A115" t="s">
        <v>266</v>
      </c>
      <c r="B115" t="s">
        <v>284</v>
      </c>
      <c r="C115" t="s">
        <v>284</v>
      </c>
      <c r="D115" t="s">
        <v>5</v>
      </c>
      <c r="E115">
        <v>0</v>
      </c>
      <c r="F115">
        <v>0</v>
      </c>
      <c r="G115">
        <v>1</v>
      </c>
      <c r="H115">
        <v>0</v>
      </c>
      <c r="I115" t="s">
        <v>26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</v>
      </c>
      <c r="Z115">
        <v>0</v>
      </c>
      <c r="AA115">
        <v>0</v>
      </c>
      <c r="AB115">
        <v>0</v>
      </c>
      <c r="AC115">
        <v>0</v>
      </c>
      <c r="AD115">
        <v>5.0999999999999996</v>
      </c>
      <c r="AE115">
        <v>523</v>
      </c>
      <c r="AF115">
        <v>13.56650920066461</v>
      </c>
      <c r="AG115">
        <v>20.474680830504759</v>
      </c>
      <c r="AH115">
        <v>7.1986713593075482</v>
      </c>
      <c r="AI115">
        <f>10.1849411140121*1</f>
        <v>10.1849411140121</v>
      </c>
      <c r="AJ115">
        <f>2.36039753500937*1</f>
        <v>2.36039753500937</v>
      </c>
      <c r="AK115">
        <v>1</v>
      </c>
      <c r="AL115">
        <v>0</v>
      </c>
      <c r="AM115">
        <v>0</v>
      </c>
    </row>
    <row r="116" spans="1:39" hidden="1" x14ac:dyDescent="0.2">
      <c r="A116" t="s">
        <v>285</v>
      </c>
      <c r="B116" t="s">
        <v>286</v>
      </c>
      <c r="C116" t="s">
        <v>286</v>
      </c>
      <c r="D116" t="s">
        <v>5</v>
      </c>
      <c r="E116">
        <v>0</v>
      </c>
      <c r="F116">
        <v>0</v>
      </c>
      <c r="G116">
        <v>1</v>
      </c>
      <c r="H116">
        <v>0</v>
      </c>
      <c r="I116" t="s">
        <v>26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</v>
      </c>
      <c r="Z116">
        <v>0</v>
      </c>
      <c r="AA116">
        <v>0</v>
      </c>
      <c r="AB116">
        <v>0</v>
      </c>
      <c r="AC116">
        <v>0</v>
      </c>
      <c r="AD116">
        <v>5.4</v>
      </c>
      <c r="AE116">
        <v>525</v>
      </c>
      <c r="AF116">
        <v>15.04587155963301</v>
      </c>
      <c r="AG116">
        <v>12.764390197691389</v>
      </c>
      <c r="AH116">
        <v>15.50860168416844</v>
      </c>
      <c r="AI116">
        <f>10.7989571276892*1</f>
        <v>10.798957127689199</v>
      </c>
      <c r="AJ116">
        <f>2.07767395770473*1</f>
        <v>2.0776739577047301</v>
      </c>
      <c r="AK116">
        <v>1</v>
      </c>
      <c r="AL116">
        <v>0</v>
      </c>
      <c r="AM116">
        <v>0</v>
      </c>
    </row>
    <row r="117" spans="1:39" hidden="1" x14ac:dyDescent="0.2">
      <c r="A117" t="s">
        <v>287</v>
      </c>
      <c r="B117" t="s">
        <v>288</v>
      </c>
      <c r="C117" t="s">
        <v>287</v>
      </c>
      <c r="D117" t="s">
        <v>4</v>
      </c>
      <c r="E117">
        <v>0</v>
      </c>
      <c r="F117">
        <v>1</v>
      </c>
      <c r="G117">
        <v>0</v>
      </c>
      <c r="H117">
        <v>0</v>
      </c>
      <c r="I117" t="s">
        <v>26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4.5999999999999996</v>
      </c>
      <c r="AE117">
        <v>527</v>
      </c>
      <c r="AF117">
        <v>12.335081784098699</v>
      </c>
      <c r="AG117">
        <v>10.83541633853581</v>
      </c>
      <c r="AH117">
        <v>22.218058112736429</v>
      </c>
      <c r="AI117">
        <f>11.2819977363477*1</f>
        <v>11.2819977363477</v>
      </c>
      <c r="AJ117">
        <f>2.13814232136595*1</f>
        <v>2.1381423213659501</v>
      </c>
      <c r="AK117">
        <v>1</v>
      </c>
      <c r="AL117">
        <v>0</v>
      </c>
      <c r="AM117">
        <v>0</v>
      </c>
    </row>
    <row r="118" spans="1:39" x14ac:dyDescent="0.2">
      <c r="A118" t="s">
        <v>200</v>
      </c>
      <c r="B118" t="s">
        <v>201</v>
      </c>
      <c r="C118" t="s">
        <v>201</v>
      </c>
      <c r="D118" t="s">
        <v>4</v>
      </c>
      <c r="E118">
        <v>0</v>
      </c>
      <c r="F118">
        <v>1</v>
      </c>
      <c r="G118">
        <v>0</v>
      </c>
      <c r="H118">
        <v>0</v>
      </c>
      <c r="I118" t="s">
        <v>22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6.9</v>
      </c>
      <c r="AE118">
        <v>385</v>
      </c>
      <c r="AF118">
        <v>26.1493893241169</v>
      </c>
      <c r="AG118">
        <v>38.404734926221288</v>
      </c>
      <c r="AH118">
        <v>19.697416881347351</v>
      </c>
      <c r="AI118">
        <f>17.31511121102*1</f>
        <v>17.31511121102</v>
      </c>
      <c r="AJ118">
        <f>3.54949547926079*1</f>
        <v>3.54949547926079</v>
      </c>
      <c r="AK118">
        <v>1</v>
      </c>
      <c r="AL118">
        <v>1</v>
      </c>
      <c r="AM118">
        <v>1</v>
      </c>
    </row>
    <row r="119" spans="1:39" x14ac:dyDescent="0.2">
      <c r="A119" t="s">
        <v>242</v>
      </c>
      <c r="B119" t="s">
        <v>243</v>
      </c>
      <c r="C119" t="s">
        <v>244</v>
      </c>
      <c r="D119" t="s">
        <v>4</v>
      </c>
      <c r="E119">
        <v>0</v>
      </c>
      <c r="F119">
        <v>1</v>
      </c>
      <c r="G119">
        <v>0</v>
      </c>
      <c r="H119">
        <v>0</v>
      </c>
      <c r="I119" t="s">
        <v>24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5.2</v>
      </c>
      <c r="AE119">
        <v>451</v>
      </c>
      <c r="AF119">
        <v>17.222222222222211</v>
      </c>
      <c r="AG119">
        <v>15.67777958871484</v>
      </c>
      <c r="AH119">
        <v>10.3763820982221</v>
      </c>
      <c r="AI119">
        <f>10.6092996070696*1</f>
        <v>10.6092996070696</v>
      </c>
      <c r="AJ119">
        <f>2.12700884132304*1</f>
        <v>2.1270088413230401</v>
      </c>
      <c r="AK119">
        <v>1</v>
      </c>
      <c r="AL119">
        <v>1</v>
      </c>
      <c r="AM119">
        <v>1</v>
      </c>
    </row>
    <row r="120" spans="1:39" hidden="1" x14ac:dyDescent="0.2">
      <c r="A120" t="s">
        <v>77</v>
      </c>
      <c r="B120" t="s">
        <v>293</v>
      </c>
      <c r="C120" t="s">
        <v>293</v>
      </c>
      <c r="D120" t="s">
        <v>5</v>
      </c>
      <c r="E120">
        <v>0</v>
      </c>
      <c r="F120">
        <v>0</v>
      </c>
      <c r="G120">
        <v>1</v>
      </c>
      <c r="H120">
        <v>0</v>
      </c>
      <c r="I120" t="s">
        <v>26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4.9000000000000004</v>
      </c>
      <c r="AE120">
        <v>539</v>
      </c>
      <c r="AF120">
        <v>9.864864864864872</v>
      </c>
      <c r="AG120">
        <v>7.9091837953077606</v>
      </c>
      <c r="AH120">
        <v>8.6601217483248654</v>
      </c>
      <c r="AI120">
        <f>10.7572180900965*1</f>
        <v>10.757218090096501</v>
      </c>
      <c r="AJ120">
        <f>2.19279610457935*1</f>
        <v>2.19279610457935</v>
      </c>
      <c r="AK120">
        <v>1</v>
      </c>
      <c r="AL120">
        <v>0</v>
      </c>
      <c r="AM120">
        <v>0</v>
      </c>
    </row>
    <row r="121" spans="1:39" hidden="1" x14ac:dyDescent="0.2">
      <c r="A121" t="s">
        <v>294</v>
      </c>
      <c r="B121" t="s">
        <v>295</v>
      </c>
      <c r="C121" t="s">
        <v>295</v>
      </c>
      <c r="D121" t="s">
        <v>6</v>
      </c>
      <c r="E121">
        <v>0</v>
      </c>
      <c r="F121">
        <v>0</v>
      </c>
      <c r="G121">
        <v>0</v>
      </c>
      <c r="H121">
        <v>1</v>
      </c>
      <c r="I121" t="s">
        <v>27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1</v>
      </c>
      <c r="AA121">
        <v>0</v>
      </c>
      <c r="AB121">
        <v>0</v>
      </c>
      <c r="AC121">
        <v>0</v>
      </c>
      <c r="AD121">
        <v>5.0999999999999996</v>
      </c>
      <c r="AE121">
        <v>552</v>
      </c>
      <c r="AF121">
        <v>12.22952159190717</v>
      </c>
      <c r="AG121">
        <v>9.7440122772551021</v>
      </c>
      <c r="AH121">
        <v>15.2</v>
      </c>
      <c r="AI121">
        <f>9.18795395516321*1</f>
        <v>9.1879539551632092</v>
      </c>
      <c r="AJ121">
        <f>2.00833635871973*1</f>
        <v>2.0083363587197298</v>
      </c>
      <c r="AK121">
        <v>1</v>
      </c>
      <c r="AL121">
        <v>0</v>
      </c>
      <c r="AM121">
        <v>0</v>
      </c>
    </row>
    <row r="122" spans="1:39" hidden="1" x14ac:dyDescent="0.2">
      <c r="A122" t="s">
        <v>296</v>
      </c>
      <c r="B122" t="s">
        <v>297</v>
      </c>
      <c r="C122" t="s">
        <v>297</v>
      </c>
      <c r="D122" t="s">
        <v>4</v>
      </c>
      <c r="E122">
        <v>0</v>
      </c>
      <c r="F122">
        <v>1</v>
      </c>
      <c r="G122">
        <v>0</v>
      </c>
      <c r="H122">
        <v>0</v>
      </c>
      <c r="I122" t="s">
        <v>27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</v>
      </c>
      <c r="AA122">
        <v>0</v>
      </c>
      <c r="AB122">
        <v>0</v>
      </c>
      <c r="AC122">
        <v>0</v>
      </c>
      <c r="AD122">
        <v>4.4000000000000004</v>
      </c>
      <c r="AE122">
        <v>575</v>
      </c>
      <c r="AF122">
        <v>7.869028479214335</v>
      </c>
      <c r="AG122">
        <v>15.898382047327299</v>
      </c>
      <c r="AH122">
        <v>6.1941926231177078</v>
      </c>
      <c r="AI122">
        <f>8.95279603049233*1</f>
        <v>8.9527960304923297</v>
      </c>
      <c r="AJ122">
        <f>1.38953521910577*1</f>
        <v>1.3895352191057699</v>
      </c>
      <c r="AK122">
        <v>1</v>
      </c>
      <c r="AL122">
        <v>0</v>
      </c>
      <c r="AM122">
        <v>0</v>
      </c>
    </row>
    <row r="123" spans="1:39" hidden="1" x14ac:dyDescent="0.2">
      <c r="A123" t="s">
        <v>298</v>
      </c>
      <c r="B123" t="s">
        <v>299</v>
      </c>
      <c r="C123" t="s">
        <v>299</v>
      </c>
      <c r="D123" t="s">
        <v>5</v>
      </c>
      <c r="E123">
        <v>0</v>
      </c>
      <c r="F123">
        <v>0</v>
      </c>
      <c r="G123">
        <v>1</v>
      </c>
      <c r="H123">
        <v>0</v>
      </c>
      <c r="I123" t="s">
        <v>27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0</v>
      </c>
      <c r="AC123">
        <v>0</v>
      </c>
      <c r="AD123">
        <v>4.8</v>
      </c>
      <c r="AE123">
        <v>578</v>
      </c>
      <c r="AF123">
        <v>11.61673479941418</v>
      </c>
      <c r="AG123">
        <v>7.569800598278583</v>
      </c>
      <c r="AH123">
        <v>8.6921072813665958</v>
      </c>
      <c r="AI123">
        <f>11.8657027285584*1</f>
        <v>11.8657027285584</v>
      </c>
      <c r="AJ123">
        <f>3.07100875987411*1</f>
        <v>3.0710087598741098</v>
      </c>
      <c r="AK123">
        <v>1</v>
      </c>
      <c r="AL123">
        <v>0</v>
      </c>
      <c r="AM123">
        <v>0</v>
      </c>
    </row>
    <row r="124" spans="1:39" hidden="1" x14ac:dyDescent="0.2">
      <c r="A124" t="s">
        <v>300</v>
      </c>
      <c r="B124" t="s">
        <v>301</v>
      </c>
      <c r="C124" t="s">
        <v>301</v>
      </c>
      <c r="D124" t="s">
        <v>5</v>
      </c>
      <c r="E124">
        <v>0</v>
      </c>
      <c r="F124">
        <v>0</v>
      </c>
      <c r="G124">
        <v>1</v>
      </c>
      <c r="H124">
        <v>0</v>
      </c>
      <c r="I124" t="s">
        <v>28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1</v>
      </c>
      <c r="AB124">
        <v>0</v>
      </c>
      <c r="AC124">
        <v>0</v>
      </c>
      <c r="AD124">
        <v>6.7</v>
      </c>
      <c r="AE124">
        <v>596</v>
      </c>
      <c r="AF124">
        <v>23.63542051113604</v>
      </c>
      <c r="AG124">
        <v>10.419187761874509</v>
      </c>
      <c r="AH124">
        <v>48.427499999999988</v>
      </c>
      <c r="AI124">
        <f>35.4681007110722*1</f>
        <v>35.468100711072204</v>
      </c>
      <c r="AJ124">
        <f>7.29231531828926*1</f>
        <v>7.2923153182892602</v>
      </c>
      <c r="AK124">
        <v>1</v>
      </c>
      <c r="AL124">
        <v>0</v>
      </c>
      <c r="AM124">
        <v>0</v>
      </c>
    </row>
    <row r="125" spans="1:39" hidden="1" x14ac:dyDescent="0.2">
      <c r="A125" t="s">
        <v>302</v>
      </c>
      <c r="B125" t="s">
        <v>303</v>
      </c>
      <c r="C125" t="s">
        <v>303</v>
      </c>
      <c r="D125" t="s">
        <v>5</v>
      </c>
      <c r="E125">
        <v>0</v>
      </c>
      <c r="F125">
        <v>0</v>
      </c>
      <c r="G125">
        <v>1</v>
      </c>
      <c r="H125">
        <v>0</v>
      </c>
      <c r="I125" t="s">
        <v>28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</v>
      </c>
      <c r="AB125">
        <v>0</v>
      </c>
      <c r="AC125">
        <v>0</v>
      </c>
      <c r="AD125">
        <v>6.3</v>
      </c>
      <c r="AE125">
        <v>597</v>
      </c>
      <c r="AF125">
        <v>19.230769230769219</v>
      </c>
      <c r="AG125">
        <v>22.375210548084851</v>
      </c>
      <c r="AH125">
        <v>8.743854125167255</v>
      </c>
      <c r="AI125">
        <f>19.2604401966249*1</f>
        <v>19.260440196624899</v>
      </c>
      <c r="AJ125">
        <f>3.61820168830741*1</f>
        <v>3.6182016883074102</v>
      </c>
      <c r="AK125">
        <v>1</v>
      </c>
      <c r="AL125">
        <v>0</v>
      </c>
      <c r="AM125">
        <v>0</v>
      </c>
    </row>
    <row r="126" spans="1:39" x14ac:dyDescent="0.2">
      <c r="A126" t="s">
        <v>215</v>
      </c>
      <c r="B126" t="s">
        <v>216</v>
      </c>
      <c r="C126" t="s">
        <v>216</v>
      </c>
      <c r="D126" t="s">
        <v>4</v>
      </c>
      <c r="E126">
        <v>0</v>
      </c>
      <c r="F126">
        <v>1</v>
      </c>
      <c r="G126">
        <v>0</v>
      </c>
      <c r="H126">
        <v>0</v>
      </c>
      <c r="I126" t="s">
        <v>22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5.9</v>
      </c>
      <c r="AE126">
        <v>408</v>
      </c>
      <c r="AF126">
        <v>19.346804852608411</v>
      </c>
      <c r="AG126">
        <v>21.59626314530346</v>
      </c>
      <c r="AH126">
        <v>38.793314228507612</v>
      </c>
      <c r="AI126">
        <f>9.95557420533944*1</f>
        <v>9.95557420533944</v>
      </c>
      <c r="AJ126">
        <f>1.79450249917588*1</f>
        <v>1.79450249917588</v>
      </c>
      <c r="AK126">
        <v>1</v>
      </c>
      <c r="AL126">
        <v>1</v>
      </c>
      <c r="AM126">
        <v>1</v>
      </c>
    </row>
    <row r="127" spans="1:39" hidden="1" x14ac:dyDescent="0.2">
      <c r="A127" t="s">
        <v>136</v>
      </c>
      <c r="B127" t="s">
        <v>305</v>
      </c>
      <c r="C127" t="s">
        <v>306</v>
      </c>
      <c r="D127" t="s">
        <v>4</v>
      </c>
      <c r="E127">
        <v>0</v>
      </c>
      <c r="F127">
        <v>1</v>
      </c>
      <c r="G127">
        <v>0</v>
      </c>
      <c r="H127">
        <v>0</v>
      </c>
      <c r="I127" t="s">
        <v>28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1</v>
      </c>
      <c r="AB127">
        <v>0</v>
      </c>
      <c r="AC127">
        <v>0</v>
      </c>
      <c r="AD127">
        <v>5.6</v>
      </c>
      <c r="AE127">
        <v>600</v>
      </c>
      <c r="AF127">
        <v>19.344262295081968</v>
      </c>
      <c r="AG127">
        <v>24.548559485487932</v>
      </c>
      <c r="AH127">
        <v>36.914285714285718</v>
      </c>
      <c r="AI127">
        <f>21.2496117637456*1</f>
        <v>21.249611763745602</v>
      </c>
      <c r="AJ127">
        <f>4.76984045688403*1</f>
        <v>4.7698404568840296</v>
      </c>
      <c r="AK127">
        <v>1</v>
      </c>
      <c r="AL127">
        <v>0</v>
      </c>
      <c r="AM127">
        <v>0</v>
      </c>
    </row>
    <row r="128" spans="1:39" hidden="1" x14ac:dyDescent="0.2">
      <c r="A128" t="s">
        <v>307</v>
      </c>
      <c r="B128" t="s">
        <v>308</v>
      </c>
      <c r="C128" t="s">
        <v>307</v>
      </c>
      <c r="D128" t="s">
        <v>5</v>
      </c>
      <c r="E128">
        <v>0</v>
      </c>
      <c r="F128">
        <v>0</v>
      </c>
      <c r="G128">
        <v>1</v>
      </c>
      <c r="H128">
        <v>0</v>
      </c>
      <c r="I128" t="s">
        <v>28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1</v>
      </c>
      <c r="AB128">
        <v>0</v>
      </c>
      <c r="AC128">
        <v>0</v>
      </c>
      <c r="AD128">
        <v>9.9</v>
      </c>
      <c r="AE128">
        <v>607</v>
      </c>
      <c r="AF128">
        <v>26.80177769699738</v>
      </c>
      <c r="AG128">
        <v>30.095763223686461</v>
      </c>
      <c r="AH128">
        <v>25.022222222222219</v>
      </c>
      <c r="AI128">
        <f>23.9672512938324*1</f>
        <v>23.967251293832401</v>
      </c>
      <c r="AJ128">
        <f>4.89424339616389*1</f>
        <v>4.8942433961638896</v>
      </c>
      <c r="AK128">
        <v>1</v>
      </c>
      <c r="AL128">
        <v>0</v>
      </c>
      <c r="AM128">
        <v>0</v>
      </c>
    </row>
    <row r="129" spans="1:39" hidden="1" x14ac:dyDescent="0.2">
      <c r="A129" t="s">
        <v>309</v>
      </c>
      <c r="B129" t="s">
        <v>310</v>
      </c>
      <c r="C129" t="s">
        <v>310</v>
      </c>
      <c r="D129" t="s">
        <v>4</v>
      </c>
      <c r="E129">
        <v>0</v>
      </c>
      <c r="F129">
        <v>1</v>
      </c>
      <c r="G129">
        <v>0</v>
      </c>
      <c r="H129">
        <v>0</v>
      </c>
      <c r="I129" t="s">
        <v>28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0</v>
      </c>
      <c r="AD129">
        <v>4.9000000000000004</v>
      </c>
      <c r="AE129">
        <v>609</v>
      </c>
      <c r="AF129">
        <v>13.41463414634147</v>
      </c>
      <c r="AG129">
        <v>13.49233925280458</v>
      </c>
      <c r="AH129">
        <v>10.961204270426141</v>
      </c>
      <c r="AI129">
        <f>11.4144393262375*1</f>
        <v>11.414439326237501</v>
      </c>
      <c r="AJ129">
        <f>2.07345425819668*1</f>
        <v>2.0734542581966799</v>
      </c>
      <c r="AK129">
        <v>1</v>
      </c>
      <c r="AL129">
        <v>0</v>
      </c>
      <c r="AM129">
        <v>0</v>
      </c>
    </row>
    <row r="130" spans="1:39" hidden="1" x14ac:dyDescent="0.2">
      <c r="A130" t="s">
        <v>311</v>
      </c>
      <c r="B130" t="s">
        <v>312</v>
      </c>
      <c r="C130" t="s">
        <v>312</v>
      </c>
      <c r="D130" t="s">
        <v>3</v>
      </c>
      <c r="E130">
        <v>1</v>
      </c>
      <c r="F130">
        <v>0</v>
      </c>
      <c r="G130">
        <v>0</v>
      </c>
      <c r="H130">
        <v>0</v>
      </c>
      <c r="I130" t="s">
        <v>28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1</v>
      </c>
      <c r="AB130">
        <v>0</v>
      </c>
      <c r="AC130">
        <v>0</v>
      </c>
      <c r="AD130">
        <v>5</v>
      </c>
      <c r="AE130">
        <v>612</v>
      </c>
      <c r="AF130">
        <v>15.208333333333339</v>
      </c>
      <c r="AG130">
        <v>15.75329757921193</v>
      </c>
      <c r="AH130">
        <v>17.754014543759059</v>
      </c>
      <c r="AI130">
        <f>10.9310329832524*1</f>
        <v>10.9310329832524</v>
      </c>
      <c r="AJ130">
        <f>2.05858683684899*1</f>
        <v>2.0585868368489901</v>
      </c>
      <c r="AK130">
        <v>1</v>
      </c>
      <c r="AL130">
        <v>0</v>
      </c>
      <c r="AM130">
        <v>0</v>
      </c>
    </row>
    <row r="131" spans="1:39" hidden="1" x14ac:dyDescent="0.2">
      <c r="A131" t="s">
        <v>313</v>
      </c>
      <c r="B131" t="s">
        <v>314</v>
      </c>
      <c r="C131" t="s">
        <v>314</v>
      </c>
      <c r="D131" t="s">
        <v>5</v>
      </c>
      <c r="E131">
        <v>0</v>
      </c>
      <c r="F131">
        <v>0</v>
      </c>
      <c r="G131">
        <v>1</v>
      </c>
      <c r="H131">
        <v>0</v>
      </c>
      <c r="I131" t="s">
        <v>28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1</v>
      </c>
      <c r="AB131">
        <v>0</v>
      </c>
      <c r="AC131">
        <v>0</v>
      </c>
      <c r="AD131">
        <v>6.2</v>
      </c>
      <c r="AE131">
        <v>613</v>
      </c>
      <c r="AF131">
        <v>17.22972972972974</v>
      </c>
      <c r="AG131">
        <v>18.562569605181839</v>
      </c>
      <c r="AH131">
        <v>11.814266540349809</v>
      </c>
      <c r="AI131">
        <f>12.5649421653774*1</f>
        <v>12.564942165377399</v>
      </c>
      <c r="AJ131">
        <f>2.60071685088154*1</f>
        <v>2.6007168508815401</v>
      </c>
      <c r="AK131">
        <v>1</v>
      </c>
      <c r="AL131">
        <v>0</v>
      </c>
      <c r="AM131">
        <v>0</v>
      </c>
    </row>
    <row r="132" spans="1:39" hidden="1" x14ac:dyDescent="0.2">
      <c r="A132" t="s">
        <v>315</v>
      </c>
      <c r="B132" t="s">
        <v>316</v>
      </c>
      <c r="C132" t="s">
        <v>316</v>
      </c>
      <c r="D132" t="s">
        <v>4</v>
      </c>
      <c r="E132">
        <v>0</v>
      </c>
      <c r="F132">
        <v>1</v>
      </c>
      <c r="G132">
        <v>0</v>
      </c>
      <c r="H132">
        <v>0</v>
      </c>
      <c r="I132" t="s">
        <v>29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1</v>
      </c>
      <c r="AC132">
        <v>0</v>
      </c>
      <c r="AD132">
        <v>4.4000000000000004</v>
      </c>
      <c r="AE132">
        <v>621</v>
      </c>
      <c r="AF132">
        <v>16.235294117647051</v>
      </c>
      <c r="AG132">
        <v>13.4533046960316</v>
      </c>
      <c r="AH132">
        <v>47.765915750915752</v>
      </c>
      <c r="AI132">
        <f>19.7762992669473*1</f>
        <v>19.776299266947301</v>
      </c>
      <c r="AJ132">
        <f>3.75191694513968*1</f>
        <v>3.7519169451396799</v>
      </c>
      <c r="AK132">
        <v>1</v>
      </c>
      <c r="AL132">
        <v>0</v>
      </c>
      <c r="AM132">
        <v>0</v>
      </c>
    </row>
    <row r="133" spans="1:39" hidden="1" x14ac:dyDescent="0.2">
      <c r="A133" t="s">
        <v>317</v>
      </c>
      <c r="B133" t="s">
        <v>318</v>
      </c>
      <c r="C133" t="s">
        <v>318</v>
      </c>
      <c r="D133" t="s">
        <v>5</v>
      </c>
      <c r="E133">
        <v>0</v>
      </c>
      <c r="F133">
        <v>0</v>
      </c>
      <c r="G133">
        <v>1</v>
      </c>
      <c r="H133">
        <v>0</v>
      </c>
      <c r="I133" t="s">
        <v>29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1</v>
      </c>
      <c r="AC133">
        <v>0</v>
      </c>
      <c r="AD133">
        <v>7.4</v>
      </c>
      <c r="AE133">
        <v>625</v>
      </c>
      <c r="AF133">
        <v>22.49126887005345</v>
      </c>
      <c r="AG133">
        <v>22.377361912559738</v>
      </c>
      <c r="AH133">
        <v>24.01534195114024</v>
      </c>
      <c r="AI133">
        <f>13.452920169201*1</f>
        <v>13.452920169201001</v>
      </c>
      <c r="AJ133">
        <f>2.60963730807637*1</f>
        <v>2.60963730807637</v>
      </c>
      <c r="AK133">
        <v>1</v>
      </c>
      <c r="AL133">
        <v>0</v>
      </c>
      <c r="AM133">
        <v>0</v>
      </c>
    </row>
    <row r="134" spans="1:39" hidden="1" x14ac:dyDescent="0.2">
      <c r="A134" t="s">
        <v>319</v>
      </c>
      <c r="B134" t="s">
        <v>320</v>
      </c>
      <c r="C134" t="s">
        <v>319</v>
      </c>
      <c r="D134" t="s">
        <v>4</v>
      </c>
      <c r="E134">
        <v>0</v>
      </c>
      <c r="F134">
        <v>1</v>
      </c>
      <c r="G134">
        <v>0</v>
      </c>
      <c r="H134">
        <v>0</v>
      </c>
      <c r="I134" t="s">
        <v>29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</v>
      </c>
      <c r="AC134">
        <v>0</v>
      </c>
      <c r="AD134">
        <v>4.4000000000000004</v>
      </c>
      <c r="AE134">
        <v>629</v>
      </c>
      <c r="AF134">
        <v>11.170694316242111</v>
      </c>
      <c r="AG134">
        <v>9.7335004211624359</v>
      </c>
      <c r="AH134">
        <v>21.210119207790189</v>
      </c>
      <c r="AI134">
        <f>14.135437415062*1</f>
        <v>14.135437415062</v>
      </c>
      <c r="AJ134">
        <f>2.79114867743372*1</f>
        <v>2.79114867743372</v>
      </c>
      <c r="AK134">
        <v>1</v>
      </c>
      <c r="AL134">
        <v>0</v>
      </c>
      <c r="AM134">
        <v>0</v>
      </c>
    </row>
    <row r="135" spans="1:39" hidden="1" x14ac:dyDescent="0.2">
      <c r="A135" t="s">
        <v>321</v>
      </c>
      <c r="B135" t="s">
        <v>322</v>
      </c>
      <c r="C135" t="s">
        <v>322</v>
      </c>
      <c r="D135" t="s">
        <v>4</v>
      </c>
      <c r="E135">
        <v>0</v>
      </c>
      <c r="F135">
        <v>1</v>
      </c>
      <c r="G135">
        <v>0</v>
      </c>
      <c r="H135">
        <v>0</v>
      </c>
      <c r="I135" t="s">
        <v>29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4.5</v>
      </c>
      <c r="AE135">
        <v>633</v>
      </c>
      <c r="AF135">
        <v>14.23357664233577</v>
      </c>
      <c r="AG135">
        <v>14.55363908071889</v>
      </c>
      <c r="AH135">
        <v>16.95800629040308</v>
      </c>
      <c r="AI135">
        <f>8.10529434348081*1</f>
        <v>8.1052943434808107</v>
      </c>
      <c r="AJ135">
        <f>1.77817921379968*1</f>
        <v>1.7781792137996799</v>
      </c>
      <c r="AK135">
        <v>1</v>
      </c>
      <c r="AL135">
        <v>0</v>
      </c>
      <c r="AM135">
        <v>0</v>
      </c>
    </row>
    <row r="136" spans="1:39" hidden="1" x14ac:dyDescent="0.2">
      <c r="A136" t="s">
        <v>67</v>
      </c>
      <c r="B136" t="s">
        <v>323</v>
      </c>
      <c r="C136" t="s">
        <v>324</v>
      </c>
      <c r="D136" t="s">
        <v>5</v>
      </c>
      <c r="E136">
        <v>0</v>
      </c>
      <c r="F136">
        <v>0</v>
      </c>
      <c r="G136">
        <v>1</v>
      </c>
      <c r="H136">
        <v>0</v>
      </c>
      <c r="I136" t="s">
        <v>29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1</v>
      </c>
      <c r="AC136">
        <v>0</v>
      </c>
      <c r="AD136">
        <v>5.8</v>
      </c>
      <c r="AE136">
        <v>636</v>
      </c>
      <c r="AF136">
        <v>16.08229056882827</v>
      </c>
      <c r="AG136">
        <v>15.65893365532092</v>
      </c>
      <c r="AH136">
        <v>12.620065799953499</v>
      </c>
      <c r="AI136">
        <f>11.1812438190707*1</f>
        <v>11.1812438190707</v>
      </c>
      <c r="AJ136">
        <f>1.99343054097675*1</f>
        <v>1.9934305409767501</v>
      </c>
      <c r="AK136">
        <v>1</v>
      </c>
      <c r="AL136">
        <v>0</v>
      </c>
      <c r="AM136">
        <v>0</v>
      </c>
    </row>
    <row r="137" spans="1:39" hidden="1" x14ac:dyDescent="0.2">
      <c r="A137" t="s">
        <v>325</v>
      </c>
      <c r="B137" t="s">
        <v>326</v>
      </c>
      <c r="C137" t="s">
        <v>326</v>
      </c>
      <c r="D137" t="s">
        <v>5</v>
      </c>
      <c r="E137">
        <v>0</v>
      </c>
      <c r="F137">
        <v>0</v>
      </c>
      <c r="G137">
        <v>1</v>
      </c>
      <c r="H137">
        <v>0</v>
      </c>
      <c r="I137" t="s">
        <v>29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1</v>
      </c>
      <c r="AC137">
        <v>0</v>
      </c>
      <c r="AD137">
        <v>4.9000000000000004</v>
      </c>
      <c r="AE137">
        <v>639</v>
      </c>
      <c r="AF137">
        <v>16.22448979591837</v>
      </c>
      <c r="AG137">
        <v>17.68989534514213</v>
      </c>
      <c r="AH137">
        <v>24.62</v>
      </c>
      <c r="AI137">
        <f>10.4255501370602*1</f>
        <v>10.425550137060201</v>
      </c>
      <c r="AJ137">
        <f>1.96406208658406*1</f>
        <v>1.9640620865840599</v>
      </c>
      <c r="AK137">
        <v>1</v>
      </c>
      <c r="AL137">
        <v>0</v>
      </c>
      <c r="AM137">
        <v>0</v>
      </c>
    </row>
    <row r="138" spans="1:39" hidden="1" x14ac:dyDescent="0.2">
      <c r="A138" t="s">
        <v>327</v>
      </c>
      <c r="B138" t="s">
        <v>328</v>
      </c>
      <c r="C138" t="s">
        <v>328</v>
      </c>
      <c r="D138" t="s">
        <v>4</v>
      </c>
      <c r="E138">
        <v>0</v>
      </c>
      <c r="F138">
        <v>1</v>
      </c>
      <c r="G138">
        <v>0</v>
      </c>
      <c r="H138">
        <v>0</v>
      </c>
      <c r="I138" t="s">
        <v>30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1</v>
      </c>
      <c r="AD138">
        <v>4.9000000000000004</v>
      </c>
      <c r="AE138">
        <v>651</v>
      </c>
      <c r="AF138">
        <v>11.020442990327441</v>
      </c>
      <c r="AG138">
        <v>9.3037998302768727</v>
      </c>
      <c r="AH138">
        <v>6.2242857142857142</v>
      </c>
      <c r="AI138">
        <f>15.9976207234937*1</f>
        <v>15.9976207234937</v>
      </c>
      <c r="AJ138">
        <f>3.26892893235507*1</f>
        <v>3.2689289323550699</v>
      </c>
      <c r="AK138">
        <v>1</v>
      </c>
      <c r="AL138">
        <v>0</v>
      </c>
      <c r="AM138">
        <v>0</v>
      </c>
    </row>
    <row r="139" spans="1:39" x14ac:dyDescent="0.2">
      <c r="A139" t="s">
        <v>280</v>
      </c>
      <c r="B139" t="s">
        <v>281</v>
      </c>
      <c r="C139" t="s">
        <v>281</v>
      </c>
      <c r="D139" t="s">
        <v>4</v>
      </c>
      <c r="E139">
        <v>0</v>
      </c>
      <c r="F139">
        <v>1</v>
      </c>
      <c r="G139">
        <v>0</v>
      </c>
      <c r="H139">
        <v>0</v>
      </c>
      <c r="I139" t="s">
        <v>26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4.9000000000000004</v>
      </c>
      <c r="AE139">
        <v>513</v>
      </c>
      <c r="AF139">
        <v>16.28994818393728</v>
      </c>
      <c r="AG139">
        <v>12.935146274370711</v>
      </c>
      <c r="AH139">
        <v>21.725203095186409</v>
      </c>
      <c r="AI139">
        <f>12.6419577949885*1</f>
        <v>12.6419577949885</v>
      </c>
      <c r="AJ139">
        <f>1.69200529065065*1</f>
        <v>1.69200529065065</v>
      </c>
      <c r="AK139">
        <v>1</v>
      </c>
      <c r="AL139">
        <v>1</v>
      </c>
      <c r="AM139">
        <v>1</v>
      </c>
    </row>
    <row r="140" spans="1:39" hidden="1" x14ac:dyDescent="0.2">
      <c r="A140" t="s">
        <v>332</v>
      </c>
      <c r="B140" t="s">
        <v>333</v>
      </c>
      <c r="C140" t="s">
        <v>334</v>
      </c>
      <c r="D140" t="s">
        <v>5</v>
      </c>
      <c r="E140">
        <v>0</v>
      </c>
      <c r="F140">
        <v>0</v>
      </c>
      <c r="G140">
        <v>1</v>
      </c>
      <c r="H140">
        <v>0</v>
      </c>
      <c r="I140" t="s">
        <v>30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1</v>
      </c>
      <c r="AD140">
        <v>5.3</v>
      </c>
      <c r="AE140">
        <v>666</v>
      </c>
      <c r="AF140">
        <v>10.65217391304348</v>
      </c>
      <c r="AG140">
        <v>8.9023030794107392</v>
      </c>
      <c r="AH140">
        <v>14.17966666666667</v>
      </c>
      <c r="AI140">
        <f>8.52194673909433*1</f>
        <v>8.5219467390943304</v>
      </c>
      <c r="AJ140">
        <f>1.70556647477758*1</f>
        <v>1.7055664747775801</v>
      </c>
      <c r="AK140">
        <v>1</v>
      </c>
      <c r="AL140">
        <v>0</v>
      </c>
      <c r="AM140">
        <v>0</v>
      </c>
    </row>
    <row r="141" spans="1:39" hidden="1" x14ac:dyDescent="0.2">
      <c r="A141" t="s">
        <v>335</v>
      </c>
      <c r="B141" t="s">
        <v>336</v>
      </c>
      <c r="C141" t="s">
        <v>337</v>
      </c>
      <c r="D141" t="s">
        <v>5</v>
      </c>
      <c r="E141">
        <v>0</v>
      </c>
      <c r="F141">
        <v>0</v>
      </c>
      <c r="G141">
        <v>1</v>
      </c>
      <c r="H141">
        <v>0</v>
      </c>
      <c r="I141" t="s">
        <v>30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1</v>
      </c>
      <c r="AD141">
        <v>4.9000000000000004</v>
      </c>
      <c r="AE141">
        <v>671</v>
      </c>
      <c r="AF141">
        <v>18.6482088715934</v>
      </c>
      <c r="AG141">
        <v>8.7347722460668589</v>
      </c>
      <c r="AH141">
        <v>15.28</v>
      </c>
      <c r="AI141">
        <f>20.4061607544264*1</f>
        <v>20.406160754426399</v>
      </c>
      <c r="AJ141">
        <f>5.86281981224846*1</f>
        <v>5.8628198122484596</v>
      </c>
      <c r="AK141">
        <v>1</v>
      </c>
      <c r="AL141">
        <v>0</v>
      </c>
      <c r="AM141">
        <v>0</v>
      </c>
    </row>
    <row r="142" spans="1:39" hidden="1" x14ac:dyDescent="0.2">
      <c r="A142" t="s">
        <v>338</v>
      </c>
      <c r="B142" t="s">
        <v>339</v>
      </c>
      <c r="C142" t="s">
        <v>340</v>
      </c>
      <c r="D142" t="s">
        <v>5</v>
      </c>
      <c r="E142">
        <v>0</v>
      </c>
      <c r="F142">
        <v>0</v>
      </c>
      <c r="G142">
        <v>1</v>
      </c>
      <c r="H142">
        <v>0</v>
      </c>
      <c r="I142" t="s">
        <v>30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1</v>
      </c>
      <c r="AD142">
        <v>5</v>
      </c>
      <c r="AE142">
        <v>675</v>
      </c>
      <c r="AF142">
        <v>11.741071428571431</v>
      </c>
      <c r="AG142">
        <v>9.7203563315165376</v>
      </c>
      <c r="AH142">
        <v>15.74043937808376</v>
      </c>
      <c r="AI142">
        <f>6.53279756010222*1</f>
        <v>6.5327975601022201</v>
      </c>
      <c r="AJ142">
        <f>1.36477553164076*1</f>
        <v>1.3647755316407599</v>
      </c>
      <c r="AK142">
        <v>1</v>
      </c>
      <c r="AL142">
        <v>0</v>
      </c>
      <c r="AM142">
        <v>0</v>
      </c>
    </row>
    <row r="143" spans="1:39" hidden="1" x14ac:dyDescent="0.2">
      <c r="A143" t="s">
        <v>341</v>
      </c>
      <c r="B143" t="s">
        <v>342</v>
      </c>
      <c r="C143" t="s">
        <v>342</v>
      </c>
      <c r="D143" t="s">
        <v>6</v>
      </c>
      <c r="E143">
        <v>0</v>
      </c>
      <c r="F143">
        <v>0</v>
      </c>
      <c r="G143">
        <v>0</v>
      </c>
      <c r="H143">
        <v>1</v>
      </c>
      <c r="I143" t="s">
        <v>30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1</v>
      </c>
      <c r="AD143">
        <v>5.6</v>
      </c>
      <c r="AE143">
        <v>683</v>
      </c>
      <c r="AF143">
        <v>0</v>
      </c>
      <c r="AG143">
        <v>0</v>
      </c>
      <c r="AH143">
        <v>0</v>
      </c>
      <c r="AI143">
        <f>0*1</f>
        <v>0</v>
      </c>
      <c r="AJ143">
        <f>0*1</f>
        <v>0</v>
      </c>
      <c r="AK143">
        <v>1</v>
      </c>
      <c r="AL143">
        <v>0</v>
      </c>
      <c r="AM143"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Gabe Corridore</cp:lastModifiedBy>
  <dcterms:created xsi:type="dcterms:W3CDTF">2024-12-02T18:57:10Z</dcterms:created>
  <dcterms:modified xsi:type="dcterms:W3CDTF">2024-12-02T19:28:20Z</dcterms:modified>
</cp:coreProperties>
</file>