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D4190C15-9004-E144-9E43-3AB2A2CA0A2E}" xr6:coauthVersionLast="47" xr6:coauthVersionMax="47" xr10:uidLastSave="{00000000-0000-0000-0000-000000000000}"/>
  <bookViews>
    <workbookView xWindow="240" yWindow="760" windowWidth="19800" windowHeight="14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63" i="1" l="1"/>
  <c r="AI163" i="1"/>
  <c r="AJ162" i="1"/>
  <c r="AI162" i="1"/>
  <c r="AJ161" i="1"/>
  <c r="AI161" i="1"/>
  <c r="AJ160" i="1"/>
  <c r="AI160" i="1"/>
  <c r="AJ159" i="1"/>
  <c r="AI159" i="1"/>
  <c r="AJ158" i="1"/>
  <c r="AI158" i="1"/>
  <c r="AJ73" i="1"/>
  <c r="AI73" i="1"/>
  <c r="AJ156" i="1"/>
  <c r="AI156" i="1"/>
  <c r="AJ155" i="1"/>
  <c r="AI155" i="1"/>
  <c r="AJ154" i="1"/>
  <c r="AI154" i="1"/>
  <c r="AJ153" i="1"/>
  <c r="AI153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57" i="1"/>
  <c r="AI157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72" i="1"/>
  <c r="AI72" i="1"/>
  <c r="AJ125" i="1"/>
  <c r="AI125" i="1"/>
  <c r="AJ124" i="1"/>
  <c r="AI124" i="1"/>
  <c r="AJ123" i="1"/>
  <c r="AI123" i="1"/>
  <c r="AJ36" i="1"/>
  <c r="AI36" i="1"/>
  <c r="AJ20" i="1"/>
  <c r="AI20" i="1"/>
  <c r="AJ111" i="1"/>
  <c r="AI111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70" i="1"/>
  <c r="AI70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63" i="1"/>
  <c r="AI63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133" i="1"/>
  <c r="AI133" i="1"/>
  <c r="AJ120" i="1"/>
  <c r="AI120" i="1"/>
  <c r="AJ71" i="1"/>
  <c r="AI71" i="1"/>
  <c r="AJ122" i="1"/>
  <c r="AI122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99" i="1"/>
  <c r="AI99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P38" i="1"/>
  <c r="AJ38" i="1"/>
  <c r="AI38" i="1"/>
  <c r="AP37" i="1"/>
  <c r="AJ37" i="1"/>
  <c r="AI37" i="1"/>
  <c r="AP36" i="1"/>
  <c r="AJ126" i="1"/>
  <c r="AI126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21" i="1"/>
  <c r="AI21" i="1"/>
  <c r="AP20" i="1"/>
  <c r="AJ121" i="1"/>
  <c r="AI121" i="1"/>
  <c r="AP19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P12" i="1"/>
  <c r="AP15" i="1" s="1"/>
  <c r="AP17" i="1" s="1"/>
  <c r="AJ12" i="1"/>
  <c r="AI12" i="1"/>
  <c r="AJ11" i="1"/>
  <c r="AI11" i="1"/>
  <c r="AQ10" i="1"/>
  <c r="AJ10" i="1"/>
  <c r="AI10" i="1"/>
  <c r="AQ9" i="1"/>
  <c r="AJ9" i="1"/>
  <c r="AI9" i="1"/>
  <c r="AQ8" i="1"/>
  <c r="AJ8" i="1"/>
  <c r="AI8" i="1"/>
  <c r="AQ7" i="1"/>
  <c r="AJ7" i="1"/>
  <c r="AI7" i="1"/>
  <c r="AQ6" i="1"/>
  <c r="AJ6" i="1"/>
  <c r="AI6" i="1"/>
  <c r="AJ5" i="1"/>
  <c r="AI5" i="1"/>
  <c r="AP4" i="1"/>
  <c r="AJ4" i="1"/>
  <c r="AI4" i="1"/>
  <c r="AJ3" i="1"/>
  <c r="AI3" i="1"/>
  <c r="AJ2" i="1"/>
  <c r="AI2" i="1"/>
  <c r="AP2" i="1" s="1"/>
</calcChain>
</file>

<file path=xl/sharedStrings.xml><?xml version="1.0" encoding="utf-8"?>
<sst xmlns="http://schemas.openxmlformats.org/spreadsheetml/2006/main" count="881" uniqueCount="395">
  <si>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</si>
  <si>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</si>
  <si>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</si>
  <si>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</si>
  <si>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</si>
  <si>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</si>
  <si>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</si>
  <si>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</si>
  <si>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</si>
  <si>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</si>
  <si>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</si>
  <si>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</si>
  <si>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</si>
  <si>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</si>
  <si>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</si>
  <si>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</si>
  <si>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</si>
  <si>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</si>
  <si>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</si>
  <si>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</si>
  <si>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</si>
  <si>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</si>
  <si>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</si>
  <si>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</si>
  <si>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</si>
  <si>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</si>
  <si>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</si>
  <si>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</si>
  <si>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</si>
  <si>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</si>
  <si>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</si>
  <si>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</si>
  <si>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</si>
  <si>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</si>
  <si>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</si>
  <si>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</si>
  <si>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</si>
  <si>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</si>
  <si>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</si>
  <si>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</si>
  <si>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</si>
  <si>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</si>
  <si>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</si>
  <si>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</si>
  <si>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</si>
  <si>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</si>
  <si>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</si>
  <si>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</si>
  <si>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</si>
  <si>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</si>
  <si>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</si>
  <si>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</si>
  <si>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</si>
  <si>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</si>
  <si>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</si>
  <si>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</si>
  <si>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</si>
  <si>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</si>
  <si>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</si>
  <si>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</si>
  <si>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</si>
  <si>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</si>
  <si>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</si>
  <si>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</si>
  <si>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</si>
  <si>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</si>
  <si>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</si>
  <si>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</si>
  <si>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</si>
  <si>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</si>
  <si>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</si>
  <si>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</si>
  <si>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</si>
  <si>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</si>
  <si>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</si>
  <si>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</si>
  <si>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</si>
  <si>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</si>
  <si>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</si>
  <si>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</si>
  <si>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</si>
  <si>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Ollie</t>
  </si>
  <si>
    <t>Watkins</t>
  </si>
  <si>
    <t>Ryan</t>
  </si>
  <si>
    <t>Christie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</si>
  <si>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</si>
  <si>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</si>
  <si>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</si>
  <si>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</si>
  <si>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</si>
  <si>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</si>
  <si>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</si>
  <si>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</si>
  <si>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</si>
  <si>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</si>
  <si>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</si>
  <si>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</si>
  <si>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</si>
  <si>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</si>
  <si>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</si>
  <si>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</si>
  <si>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</si>
  <si>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</si>
  <si>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</si>
  <si>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</si>
  <si>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</si>
  <si>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</si>
  <si>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</si>
  <si>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</si>
  <si>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</si>
  <si>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</si>
  <si>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</si>
  <si>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</si>
  <si>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</si>
  <si>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</si>
  <si>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</si>
  <si>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</si>
  <si>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</si>
  <si>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</si>
  <si>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Kevin</t>
  </si>
  <si>
    <t>Schade</t>
  </si>
  <si>
    <t>Yoane</t>
  </si>
  <si>
    <t>Wissa</t>
  </si>
  <si>
    <t>Carlos</t>
  </si>
  <si>
    <t>Baleba</t>
  </si>
  <si>
    <t>Lewis</t>
  </si>
  <si>
    <t>Dunk</t>
  </si>
  <si>
    <t>Yankuba</t>
  </si>
  <si>
    <t>Minteh</t>
  </si>
  <si>
    <t>Mitoma</t>
  </si>
  <si>
    <t>Kaoru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</si>
  <si>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</si>
  <si>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</si>
  <si>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</si>
  <si>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</si>
  <si>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</si>
  <si>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</si>
  <si>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</si>
  <si>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</si>
  <si>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</si>
  <si>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Mats</t>
  </si>
  <si>
    <t>Wieffer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</si>
  <si>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</si>
  <si>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</si>
  <si>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</si>
  <si>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</si>
  <si>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</si>
  <si>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</si>
  <si>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</si>
  <si>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</si>
  <si>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</si>
  <si>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</si>
  <si>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</si>
  <si>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</si>
  <si>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</si>
  <si>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</si>
  <si>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</si>
  <si>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</si>
  <si>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</si>
  <si>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</si>
  <si>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</si>
  <si>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</si>
  <si>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</si>
  <si>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</si>
  <si>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</si>
  <si>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</si>
  <si>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</si>
  <si>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</si>
  <si>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</si>
  <si>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</si>
  <si>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</si>
  <si>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Will</t>
  </si>
  <si>
    <t>Hughes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</si>
  <si>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</si>
  <si>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</si>
  <si>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</si>
  <si>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</si>
  <si>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</si>
  <si>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</si>
  <si>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</si>
  <si>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</si>
  <si>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</si>
  <si>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Maxence</t>
  </si>
  <si>
    <t>Lacroix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</si>
  <si>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</si>
  <si>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</si>
  <si>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</si>
  <si>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</si>
  <si>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</si>
  <si>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</si>
  <si>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</si>
  <si>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</si>
  <si>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</si>
  <si>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</si>
  <si>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Dwight</t>
  </si>
  <si>
    <t>McNeil</t>
  </si>
  <si>
    <t>Vitalii</t>
  </si>
  <si>
    <t>Mykolenko</t>
  </si>
  <si>
    <t>Iliman</t>
  </si>
  <si>
    <t>Ndiaye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</si>
  <si>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</si>
  <si>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</si>
  <si>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</si>
  <si>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</si>
  <si>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</si>
  <si>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</si>
  <si>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</si>
  <si>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</si>
  <si>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</si>
  <si>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</si>
  <si>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</si>
  <si>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</si>
  <si>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</si>
  <si>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</si>
  <si>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</si>
  <si>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</si>
  <si>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</si>
  <si>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</si>
  <si>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</si>
  <si>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</si>
  <si>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</si>
  <si>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</si>
  <si>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</si>
  <si>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</si>
  <si>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</si>
  <si>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Harry</t>
  </si>
  <si>
    <t>Wilson</t>
  </si>
  <si>
    <t>Conor</t>
  </si>
  <si>
    <t>Chaplin</t>
  </si>
  <si>
    <t>Arijanet</t>
  </si>
  <si>
    <t>Muric</t>
  </si>
  <si>
    <t>Sam</t>
  </si>
  <si>
    <t>Szmodics</t>
  </si>
  <si>
    <t>Facundo</t>
  </si>
  <si>
    <t>Buonanotte</t>
  </si>
  <si>
    <t>Ayew</t>
  </si>
  <si>
    <t>J.Ayew</t>
  </si>
  <si>
    <t>Bobby</t>
  </si>
  <si>
    <t>De Cordova-Reid</t>
  </si>
  <si>
    <t>Mads</t>
  </si>
  <si>
    <t>Hermansen</t>
  </si>
  <si>
    <t>Stephy</t>
  </si>
  <si>
    <t>Mavididi</t>
  </si>
  <si>
    <t>Jamie</t>
  </si>
  <si>
    <t>Vardy</t>
  </si>
  <si>
    <t>Bilal</t>
  </si>
  <si>
    <t>El Khannouss</t>
  </si>
  <si>
    <t>Trent</t>
  </si>
  <si>
    <t>Alexander-Arnold</t>
  </si>
  <si>
    <t>Cody</t>
  </si>
  <si>
    <t>Gakpo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</si>
  <si>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</si>
  <si>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</si>
  <si>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</si>
  <si>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</si>
  <si>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</si>
  <si>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</si>
  <si>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</si>
  <si>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</si>
  <si>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</si>
  <si>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</si>
  <si>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</si>
  <si>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</si>
  <si>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</si>
  <si>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</si>
  <si>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</si>
  <si>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</si>
  <si>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</si>
  <si>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</si>
  <si>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</si>
  <si>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</si>
  <si>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</si>
  <si>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</si>
  <si>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</si>
  <si>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</si>
  <si>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</si>
  <si>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</si>
  <si>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</si>
  <si>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</si>
  <si>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</si>
  <si>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Rúben</t>
  </si>
  <si>
    <t>Gato Alves Dias</t>
  </si>
  <si>
    <t>Amad</t>
  </si>
  <si>
    <t>Diallo</t>
  </si>
  <si>
    <t>Bruno</t>
  </si>
  <si>
    <t>Borges Fernandes</t>
  </si>
  <si>
    <t>B.Fernandes</t>
  </si>
  <si>
    <t>Rasmus</t>
  </si>
  <si>
    <t>Højlund</t>
  </si>
  <si>
    <t>Lisandro</t>
  </si>
  <si>
    <t>Martínez</t>
  </si>
  <si>
    <t>Rashford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</si>
  <si>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</si>
  <si>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</si>
  <si>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</si>
  <si>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</si>
  <si>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</si>
  <si>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</si>
  <si>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</si>
  <si>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</si>
  <si>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</si>
  <si>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</si>
  <si>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</si>
  <si>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</si>
  <si>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</si>
  <si>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</si>
  <si>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</si>
  <si>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</si>
  <si>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</si>
  <si>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</si>
  <si>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</si>
  <si>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Fabian</t>
  </si>
  <si>
    <t>Schär</t>
  </si>
  <si>
    <t>Ola</t>
  </si>
  <si>
    <t>Aina</t>
  </si>
  <si>
    <t>Elliot</t>
  </si>
  <si>
    <t>Anderson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</si>
  <si>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</si>
  <si>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</si>
  <si>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</si>
  <si>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</si>
  <si>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</si>
  <si>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</si>
  <si>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</si>
  <si>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</si>
  <si>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</si>
  <si>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</si>
  <si>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</si>
  <si>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</si>
  <si>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</si>
  <si>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Nikola</t>
  </si>
  <si>
    <t>Milenković</t>
  </si>
  <si>
    <t>Joe</t>
  </si>
  <si>
    <t>Aribo</t>
  </si>
  <si>
    <t>Taylor</t>
  </si>
  <si>
    <t>Harwood-Bellis</t>
  </si>
  <si>
    <t>Sugawara</t>
  </si>
  <si>
    <t>Yukinari</t>
  </si>
  <si>
    <t>Kyle</t>
  </si>
  <si>
    <t>Walker-Peters</t>
  </si>
  <si>
    <t>Flynn</t>
  </si>
  <si>
    <t>Downes</t>
  </si>
  <si>
    <t>Mateus Gonçalo</t>
  </si>
  <si>
    <t>Espanha Fernandes</t>
  </si>
  <si>
    <t>M.Fernandes</t>
  </si>
  <si>
    <t>Solanke-Mitchell</t>
  </si>
  <si>
    <t>Solanke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</si>
  <si>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</si>
  <si>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</si>
  <si>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</si>
  <si>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</si>
  <si>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</si>
  <si>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</si>
  <si>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</si>
  <si>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</si>
  <si>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</si>
  <si>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</si>
  <si>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</si>
  <si>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Aaron</t>
  </si>
  <si>
    <t>Wan-Bissaka</t>
  </si>
  <si>
    <t>Jarrod</t>
  </si>
  <si>
    <t>Bowen</t>
  </si>
  <si>
    <t>Emerson</t>
  </si>
  <si>
    <t>Palmieri dos Santos</t>
  </si>
  <si>
    <t>Mohammed</t>
  </si>
  <si>
    <t>Kudus</t>
  </si>
  <si>
    <t>Lucas</t>
  </si>
  <si>
    <t>Tolentino Coelho de Lima</t>
  </si>
  <si>
    <t>L.Paquetá</t>
  </si>
  <si>
    <t>Konstantinos</t>
  </si>
  <si>
    <t>Mavropanos</t>
  </si>
  <si>
    <t>Tomáš</t>
  </si>
  <si>
    <t>Souček</t>
  </si>
  <si>
    <t>Jean-Ricner</t>
  </si>
  <si>
    <t>Bellegarde</t>
  </si>
  <si>
    <t>Matheus</t>
  </si>
  <si>
    <t>Santos Carneiro Da Cunha</t>
  </si>
  <si>
    <t>Cunha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</si>
  <si>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</si>
  <si>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</si>
  <si>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</si>
  <si>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</si>
  <si>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</si>
  <si>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</si>
  <si>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</si>
  <si>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</si>
  <si>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</si>
  <si>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</si>
  <si>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</si>
  <si>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</si>
  <si>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Jørgen</t>
  </si>
  <si>
    <t>Strand Larsen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</si>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</sst>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63" totalsRowShown="0">
  <autoFilter ref="A1:AM163" xr:uid="{00000000-0009-0000-0100-000001000000}">
    <filterColumn colId="38">
      <filters>
        <filter val="1"/>
      </filters>
    </filterColumn>
  </autoFilter>
  <sortState xmlns:xlrd2="http://schemas.microsoft.com/office/spreadsheetml/2017/richdata2" ref="A20:AM157">
    <sortCondition descending="1" ref="AJ1:AJ163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3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4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</row>
    <row r="2" spans="1:44" hidden="1" x14ac:dyDescent="0.2">
      <c r="A2" t="s">
        <v>46</v>
      </c>
      <c r="B2" t="s">
        <v>47</v>
      </c>
      <c r="C2" t="s">
        <v>46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6.3</v>
      </c>
      <c r="AE2">
        <v>2</v>
      </c>
      <c r="AF2">
        <v>21.610417682618831</v>
      </c>
      <c r="AG2">
        <v>18.072762436843391</v>
      </c>
      <c r="AH2">
        <v>23.737611586068379</v>
      </c>
      <c r="AI2">
        <f>21.4346764878096*1</f>
        <v>21.4346764878096</v>
      </c>
      <c r="AJ2">
        <f>4.68280822954588*1</f>
        <v>4.6828082295458797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355.90692632637769</v>
      </c>
      <c r="AQ2" t="s">
        <v>1</v>
      </c>
    </row>
    <row r="3" spans="1:44" hidden="1" x14ac:dyDescent="0.2">
      <c r="A3" t="s">
        <v>48</v>
      </c>
      <c r="B3" t="s">
        <v>49</v>
      </c>
      <c r="C3" t="s">
        <v>49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7.9</v>
      </c>
      <c r="AE3">
        <v>3</v>
      </c>
      <c r="AF3">
        <v>20.85564955014193</v>
      </c>
      <c r="AG3">
        <v>17.858891409940689</v>
      </c>
      <c r="AH3">
        <v>17.355555555555551</v>
      </c>
      <c r="AI3">
        <f>8.98146849913245*1</f>
        <v>8.9814684991324505</v>
      </c>
      <c r="AJ3">
        <f>1.90441291785715*1</f>
        <v>1.9044129178571501</v>
      </c>
      <c r="AK3">
        <v>1</v>
      </c>
      <c r="AL3">
        <v>0</v>
      </c>
      <c r="AM3">
        <v>0</v>
      </c>
    </row>
    <row r="4" spans="1:44" hidden="1" x14ac:dyDescent="0.2">
      <c r="A4" t="s">
        <v>50</v>
      </c>
      <c r="B4" t="s">
        <v>51</v>
      </c>
      <c r="C4" t="s">
        <v>52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5.7</v>
      </c>
      <c r="AE4">
        <v>5</v>
      </c>
      <c r="AF4">
        <v>0</v>
      </c>
      <c r="AG4">
        <v>0</v>
      </c>
      <c r="AH4">
        <v>0</v>
      </c>
      <c r="AI4">
        <f>0*1</f>
        <v>0</v>
      </c>
      <c r="AJ4">
        <f>0*1</f>
        <v>0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95.199999999999989</v>
      </c>
      <c r="AQ4">
        <v>99.9</v>
      </c>
    </row>
    <row r="5" spans="1:44" hidden="1" x14ac:dyDescent="0.2">
      <c r="A5" t="s">
        <v>46</v>
      </c>
      <c r="B5" t="s">
        <v>53</v>
      </c>
      <c r="C5" t="s">
        <v>54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6.8</v>
      </c>
      <c r="AE5">
        <v>8</v>
      </c>
      <c r="AF5">
        <v>21.726190476190482</v>
      </c>
      <c r="AG5">
        <v>27.557910409662949</v>
      </c>
      <c r="AH5">
        <v>18.524999999999999</v>
      </c>
      <c r="AI5">
        <f>9.09617985238191*1</f>
        <v>9.0961798523819102</v>
      </c>
      <c r="AJ5">
        <f>1.50080720373089*1</f>
        <v>1.5008072037308899</v>
      </c>
      <c r="AK5">
        <v>1</v>
      </c>
      <c r="AL5">
        <v>0</v>
      </c>
      <c r="AM5">
        <v>0</v>
      </c>
    </row>
    <row r="6" spans="1:44" hidden="1" x14ac:dyDescent="0.2">
      <c r="A6" t="s">
        <v>55</v>
      </c>
      <c r="B6" t="s">
        <v>56</v>
      </c>
      <c r="C6" t="s">
        <v>57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20.385520470430489</v>
      </c>
      <c r="AG6">
        <v>20.547504037081541</v>
      </c>
      <c r="AH6">
        <v>32.837337036134983</v>
      </c>
      <c r="AI6">
        <f>20.8597126510655*1</f>
        <v>20.8597126510655</v>
      </c>
      <c r="AJ6">
        <f>4.09282772285976*1</f>
        <v>4.0928277228597603</v>
      </c>
      <c r="AK6">
        <v>1</v>
      </c>
      <c r="AL6">
        <v>0</v>
      </c>
      <c r="AM6">
        <v>0</v>
      </c>
      <c r="AO6" t="s">
        <v>3</v>
      </c>
      <c r="AP6">
        <v>2</v>
      </c>
      <c r="AQ6">
        <f>SUMPRODUCT(Table1[Selected],Table1[GKP])</f>
        <v>2</v>
      </c>
      <c r="AR6">
        <v>2</v>
      </c>
    </row>
    <row r="7" spans="1:44" hidden="1" x14ac:dyDescent="0.2">
      <c r="A7" t="s">
        <v>58</v>
      </c>
      <c r="B7" t="s">
        <v>59</v>
      </c>
      <c r="C7" t="s">
        <v>59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18.18068898203083</v>
      </c>
      <c r="AG7">
        <v>14.21369998253026</v>
      </c>
      <c r="AH7">
        <v>41.36</v>
      </c>
      <c r="AI7">
        <f>21.0092280346077*1</f>
        <v>21.009228034607698</v>
      </c>
      <c r="AJ7">
        <f>4.11926552209394*1</f>
        <v>4.11926552209394</v>
      </c>
      <c r="AK7">
        <v>1</v>
      </c>
      <c r="AL7">
        <v>0</v>
      </c>
      <c r="AM7">
        <v>0</v>
      </c>
      <c r="AO7" t="s">
        <v>4</v>
      </c>
      <c r="AP7">
        <v>5</v>
      </c>
      <c r="AQ7">
        <f>SUMPRODUCT(Table1[Selected],Table1[DEF])</f>
        <v>5</v>
      </c>
      <c r="AR7">
        <v>5</v>
      </c>
    </row>
    <row r="8" spans="1:44" hidden="1" x14ac:dyDescent="0.2">
      <c r="A8" t="s">
        <v>60</v>
      </c>
      <c r="B8" t="s">
        <v>61</v>
      </c>
      <c r="C8" t="s">
        <v>61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10.3</v>
      </c>
      <c r="AE8">
        <v>13</v>
      </c>
      <c r="AF8">
        <v>32.343033464457989</v>
      </c>
      <c r="AG8">
        <v>27.877246854566671</v>
      </c>
      <c r="AH8">
        <v>21.449596439153911</v>
      </c>
      <c r="AI8">
        <f>17.6853888835677*0</f>
        <v>0</v>
      </c>
      <c r="AJ8">
        <f>3.4577236711216*0</f>
        <v>0</v>
      </c>
      <c r="AK8">
        <v>0</v>
      </c>
      <c r="AL8">
        <v>0</v>
      </c>
      <c r="AM8">
        <v>0</v>
      </c>
      <c r="AO8" t="s">
        <v>5</v>
      </c>
      <c r="AP8">
        <v>5</v>
      </c>
      <c r="AQ8">
        <f>SUMPRODUCT(Table1[Selected],Table1[MID])</f>
        <v>5</v>
      </c>
      <c r="AR8">
        <v>5</v>
      </c>
    </row>
    <row r="9" spans="1:44" hidden="1" x14ac:dyDescent="0.2">
      <c r="A9" t="s">
        <v>62</v>
      </c>
      <c r="B9" t="s">
        <v>63</v>
      </c>
      <c r="C9" t="s">
        <v>63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6.3</v>
      </c>
      <c r="AE9">
        <v>14</v>
      </c>
      <c r="AF9">
        <v>21.202531645569621</v>
      </c>
      <c r="AG9">
        <v>18.9623055682199</v>
      </c>
      <c r="AH9">
        <v>22.245150291581229</v>
      </c>
      <c r="AI9">
        <f>24.7627807849318*1</f>
        <v>24.762780784931799</v>
      </c>
      <c r="AJ9">
        <f>5.04579822965605*1</f>
        <v>5.0457982296560502</v>
      </c>
      <c r="AK9">
        <v>1</v>
      </c>
      <c r="AL9">
        <v>0</v>
      </c>
      <c r="AM9">
        <v>0</v>
      </c>
      <c r="AO9" t="s">
        <v>6</v>
      </c>
      <c r="AP9">
        <v>3</v>
      </c>
      <c r="AQ9">
        <f>SUMPRODUCT(Table1[Selected],Table1[FWD])</f>
        <v>3</v>
      </c>
      <c r="AR9">
        <v>3</v>
      </c>
    </row>
    <row r="10" spans="1:44" hidden="1" x14ac:dyDescent="0.2">
      <c r="A10" t="s">
        <v>64</v>
      </c>
      <c r="B10" t="s">
        <v>65</v>
      </c>
      <c r="C10" t="s">
        <v>64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12.14953271028037</v>
      </c>
      <c r="AG10">
        <v>10.551736898884791</v>
      </c>
      <c r="AH10">
        <v>11.017227414667669</v>
      </c>
      <c r="AI10">
        <f>12.9184834424367*1</f>
        <v>12.918483442436701</v>
      </c>
      <c r="AJ10">
        <f>2.5629866594711*1</f>
        <v>2.5629866594710999</v>
      </c>
      <c r="AK10">
        <v>1</v>
      </c>
      <c r="AL10">
        <v>0</v>
      </c>
      <c r="AM10">
        <v>0</v>
      </c>
      <c r="AO10" t="s">
        <v>7</v>
      </c>
      <c r="AP10">
        <v>15</v>
      </c>
      <c r="AQ10">
        <f>SUM(SUMPRODUCT(Table1[Selected],Table1[GKP]), SUMPRODUCT(Table1[Selected],Table1[DEF]), SUMPRODUCT(Table1[Selected],Table1[MID]), SUMPRODUCT(Table1[Selected],Table1[FWD]))</f>
        <v>15</v>
      </c>
      <c r="AR10">
        <v>15</v>
      </c>
    </row>
    <row r="11" spans="1:44" hidden="1" x14ac:dyDescent="0.2">
      <c r="A11" t="s">
        <v>66</v>
      </c>
      <c r="B11" t="s">
        <v>67</v>
      </c>
      <c r="C11" t="s">
        <v>67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19.234972677595628</v>
      </c>
      <c r="AG11">
        <v>18.457348395297242</v>
      </c>
      <c r="AH11">
        <v>19.243538870858181</v>
      </c>
      <c r="AI11">
        <f>13.5239856978672*1</f>
        <v>13.5239856978672</v>
      </c>
      <c r="AJ11">
        <f>2.45345167556399*1</f>
        <v>2.4534516755639899</v>
      </c>
      <c r="AK11">
        <v>1</v>
      </c>
      <c r="AL11">
        <v>0</v>
      </c>
      <c r="AM11">
        <v>0</v>
      </c>
    </row>
    <row r="12" spans="1:44" hidden="1" x14ac:dyDescent="0.2">
      <c r="A12" t="s">
        <v>68</v>
      </c>
      <c r="B12" t="s">
        <v>69</v>
      </c>
      <c r="C12" t="s">
        <v>70</v>
      </c>
      <c r="D12" t="s">
        <v>6</v>
      </c>
      <c r="E12">
        <v>0</v>
      </c>
      <c r="F12">
        <v>0</v>
      </c>
      <c r="G12">
        <v>0</v>
      </c>
      <c r="H12">
        <v>1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5.9</v>
      </c>
      <c r="AE12">
        <v>43</v>
      </c>
      <c r="AF12">
        <v>10.56603773584906</v>
      </c>
      <c r="AG12">
        <v>12.587537784244271</v>
      </c>
      <c r="AH12">
        <v>18.37075538731057</v>
      </c>
      <c r="AI12">
        <f>11.971865483884*1</f>
        <v>11.971865483884001</v>
      </c>
      <c r="AJ12">
        <f>2.32485699122089*1</f>
        <v>2.3248569912208898</v>
      </c>
      <c r="AK12">
        <v>1</v>
      </c>
      <c r="AL12">
        <v>0</v>
      </c>
      <c r="AM12">
        <v>0</v>
      </c>
      <c r="AO12" t="s">
        <v>8</v>
      </c>
      <c r="AP12">
        <f>SUMPRODUCT(Table1[Selected], -- (Table1[PREV] = 0))</f>
        <v>0</v>
      </c>
    </row>
    <row r="13" spans="1:44" hidden="1" x14ac:dyDescent="0.2">
      <c r="A13" t="s">
        <v>71</v>
      </c>
      <c r="B13" t="s">
        <v>72</v>
      </c>
      <c r="C13" t="s">
        <v>73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4.4000000000000004</v>
      </c>
      <c r="AE13">
        <v>49</v>
      </c>
      <c r="AF13">
        <v>13.72832369942199</v>
      </c>
      <c r="AG13">
        <v>13.665480809423251</v>
      </c>
      <c r="AH13">
        <v>7.61180047702205</v>
      </c>
      <c r="AI13">
        <f>7.30493527298567*1</f>
        <v>7.30493527298567</v>
      </c>
      <c r="AJ13">
        <f>1.46736323366542*1</f>
        <v>1.4673632336654201</v>
      </c>
      <c r="AK13">
        <v>1</v>
      </c>
      <c r="AL13">
        <v>0</v>
      </c>
      <c r="AM13">
        <v>0</v>
      </c>
      <c r="AO13" t="s">
        <v>9</v>
      </c>
      <c r="AP13">
        <v>0</v>
      </c>
    </row>
    <row r="14" spans="1:44" hidden="1" x14ac:dyDescent="0.2">
      <c r="A14" t="s">
        <v>74</v>
      </c>
      <c r="B14" t="s">
        <v>75</v>
      </c>
      <c r="C14" t="s">
        <v>76</v>
      </c>
      <c r="D14" t="s">
        <v>3</v>
      </c>
      <c r="E14">
        <v>1</v>
      </c>
      <c r="F14">
        <v>0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52</v>
      </c>
      <c r="AF14">
        <v>16.551724137931039</v>
      </c>
      <c r="AG14">
        <v>16.291125307035738</v>
      </c>
      <c r="AH14">
        <v>10.04151410260773</v>
      </c>
      <c r="AI14">
        <f>5.3062249826186*1</f>
        <v>5.3062249826186001</v>
      </c>
      <c r="AJ14">
        <f>0.988310702945797*1</f>
        <v>0.98831070294579704</v>
      </c>
      <c r="AK14">
        <v>1</v>
      </c>
      <c r="AL14">
        <v>0</v>
      </c>
      <c r="AM14">
        <v>0</v>
      </c>
    </row>
    <row r="15" spans="1:44" hidden="1" x14ac:dyDescent="0.2">
      <c r="A15" t="s">
        <v>77</v>
      </c>
      <c r="B15" t="s">
        <v>78</v>
      </c>
      <c r="C15" t="s">
        <v>78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5.2</v>
      </c>
      <c r="AE15">
        <v>53</v>
      </c>
      <c r="AF15">
        <v>14.88764044943821</v>
      </c>
      <c r="AG15">
        <v>14.93780685044341</v>
      </c>
      <c r="AH15">
        <v>22.10332175448567</v>
      </c>
      <c r="AI15">
        <f>14.3263894026558*1</f>
        <v>14.326389402655799</v>
      </c>
      <c r="AJ15">
        <f>2.86657409452989*1</f>
        <v>2.8665740945298901</v>
      </c>
      <c r="AK15">
        <v>1</v>
      </c>
      <c r="AL15">
        <v>0</v>
      </c>
      <c r="AM15">
        <v>0</v>
      </c>
      <c r="AO15" t="s">
        <v>10</v>
      </c>
      <c r="AP15">
        <f>((AP12-AP13)+ABS((AP12-AP13)))/2*4</f>
        <v>0</v>
      </c>
    </row>
    <row r="16" spans="1:44" hidden="1" x14ac:dyDescent="0.2">
      <c r="A16" t="s">
        <v>79</v>
      </c>
      <c r="B16" t="s">
        <v>80</v>
      </c>
      <c r="C16" t="s">
        <v>80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5.4</v>
      </c>
      <c r="AE16">
        <v>59</v>
      </c>
      <c r="AF16">
        <v>19.931916612322041</v>
      </c>
      <c r="AG16">
        <v>14.70752327932486</v>
      </c>
      <c r="AH16">
        <v>46.779993894993893</v>
      </c>
      <c r="AI16">
        <f>15.9177782171712*1</f>
        <v>15.9177782171712</v>
      </c>
      <c r="AJ16">
        <f>3.0452545564018*1</f>
        <v>3.0452545564018001</v>
      </c>
      <c r="AK16">
        <v>1</v>
      </c>
      <c r="AL16">
        <v>0</v>
      </c>
      <c r="AM16">
        <v>0</v>
      </c>
    </row>
    <row r="17" spans="1:43" hidden="1" x14ac:dyDescent="0.2">
      <c r="A17" t="s">
        <v>81</v>
      </c>
      <c r="B17" t="s">
        <v>82</v>
      </c>
      <c r="C17" t="s">
        <v>82</v>
      </c>
      <c r="D17" t="s">
        <v>6</v>
      </c>
      <c r="E17">
        <v>0</v>
      </c>
      <c r="F17">
        <v>0</v>
      </c>
      <c r="G17">
        <v>0</v>
      </c>
      <c r="H17">
        <v>1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8.8000000000000007</v>
      </c>
      <c r="AE17">
        <v>63</v>
      </c>
      <c r="AF17">
        <v>23.702531645569621</v>
      </c>
      <c r="AG17">
        <v>24.548836040165661</v>
      </c>
      <c r="AH17">
        <v>12.39892610785857</v>
      </c>
      <c r="AI17">
        <f>10.0623552580367*1</f>
        <v>10.0623552580367</v>
      </c>
      <c r="AJ17">
        <f>1.97428535940521*1</f>
        <v>1.9742853594052101</v>
      </c>
      <c r="AK17">
        <v>1</v>
      </c>
      <c r="AL17">
        <v>0</v>
      </c>
      <c r="AM17">
        <v>0</v>
      </c>
      <c r="AO17" t="s">
        <v>11</v>
      </c>
      <c r="AP17">
        <f>AP3-AP15*5</f>
        <v>0</v>
      </c>
    </row>
    <row r="18" spans="1:43" hidden="1" x14ac:dyDescent="0.2">
      <c r="A18" t="s">
        <v>83</v>
      </c>
      <c r="B18" t="s">
        <v>84</v>
      </c>
      <c r="C18" t="s">
        <v>84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14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4.9000000000000004</v>
      </c>
      <c r="AE18">
        <v>75</v>
      </c>
      <c r="AF18">
        <v>11.08433734939759</v>
      </c>
      <c r="AG18">
        <v>9.323787442831911</v>
      </c>
      <c r="AH18">
        <v>18.69146608946609</v>
      </c>
      <c r="AI18">
        <f>9.77636739822826*1</f>
        <v>9.7763673982282597</v>
      </c>
      <c r="AJ18">
        <f>1.92250239500986*1</f>
        <v>1.9225023950098601</v>
      </c>
      <c r="AK18">
        <v>1</v>
      </c>
      <c r="AL18">
        <v>0</v>
      </c>
      <c r="AM18">
        <v>0</v>
      </c>
    </row>
    <row r="19" spans="1:43" hidden="1" x14ac:dyDescent="0.2">
      <c r="A19" t="s">
        <v>85</v>
      </c>
      <c r="B19" t="s">
        <v>86</v>
      </c>
      <c r="C19" t="s">
        <v>87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14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5.4</v>
      </c>
      <c r="AE19">
        <v>77</v>
      </c>
      <c r="AF19">
        <v>11.20689655172413</v>
      </c>
      <c r="AG19">
        <v>9.9668554143780952</v>
      </c>
      <c r="AH19">
        <v>10.573966092566801</v>
      </c>
      <c r="AI19">
        <f>14.6841008209755*1</f>
        <v>14.6841008209755</v>
      </c>
      <c r="AJ19">
        <f>2.98284725445614*1</f>
        <v>2.9828472544561402</v>
      </c>
      <c r="AK19">
        <v>1</v>
      </c>
      <c r="AL19">
        <v>0</v>
      </c>
      <c r="AM19">
        <v>0</v>
      </c>
      <c r="AO19" t="s">
        <v>12</v>
      </c>
      <c r="AP19">
        <f>SUMPRODUCT(Table1[Selected],Table1[ARS])</f>
        <v>0</v>
      </c>
      <c r="AQ19">
        <v>3</v>
      </c>
    </row>
    <row r="20" spans="1:43" x14ac:dyDescent="0.2">
      <c r="A20" t="s">
        <v>301</v>
      </c>
      <c r="B20" t="s">
        <v>302</v>
      </c>
      <c r="C20" t="s">
        <v>302</v>
      </c>
      <c r="D20" t="s">
        <v>6</v>
      </c>
      <c r="E20">
        <v>0</v>
      </c>
      <c r="F20">
        <v>0</v>
      </c>
      <c r="G20">
        <v>0</v>
      </c>
      <c r="H20">
        <v>1</v>
      </c>
      <c r="I20" t="s">
        <v>26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9.1</v>
      </c>
      <c r="AE20">
        <v>500</v>
      </c>
      <c r="AF20">
        <v>28.30769230769231</v>
      </c>
      <c r="AG20">
        <v>26.52047465360803</v>
      </c>
      <c r="AH20">
        <v>70.797817460317447</v>
      </c>
      <c r="AI20">
        <f>50.580125895859*1</f>
        <v>50.580125895858998</v>
      </c>
      <c r="AJ20">
        <f>9.63403089412972*1</f>
        <v>9.6340308941297206</v>
      </c>
      <c r="AK20">
        <v>1</v>
      </c>
      <c r="AL20">
        <v>1</v>
      </c>
      <c r="AM20">
        <v>1</v>
      </c>
      <c r="AO20" t="s">
        <v>13</v>
      </c>
      <c r="AP20">
        <f>SUMPRODUCT(Table1[Selected],Table1[AVL])</f>
        <v>0</v>
      </c>
      <c r="AQ20">
        <v>3</v>
      </c>
    </row>
    <row r="21" spans="1:43" hidden="1" x14ac:dyDescent="0.2">
      <c r="A21" t="s">
        <v>90</v>
      </c>
      <c r="B21" t="s">
        <v>91</v>
      </c>
      <c r="C21" t="s">
        <v>91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14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83</v>
      </c>
      <c r="AF21">
        <v>17.6530612244898</v>
      </c>
      <c r="AG21">
        <v>12.17826548348396</v>
      </c>
      <c r="AH21">
        <v>45.075704141935887</v>
      </c>
      <c r="AI21">
        <f>17.263463913188*1</f>
        <v>17.263463913188001</v>
      </c>
      <c r="AJ21">
        <f>3.30556636865184*1</f>
        <v>3.3055663686518399</v>
      </c>
      <c r="AK21">
        <v>1</v>
      </c>
      <c r="AL21">
        <v>0</v>
      </c>
      <c r="AM21">
        <v>0</v>
      </c>
      <c r="AO21" t="s">
        <v>14</v>
      </c>
      <c r="AP21">
        <f>SUMPRODUCT(Table1[Selected],Table1[BOU])</f>
        <v>1</v>
      </c>
      <c r="AQ21">
        <v>3</v>
      </c>
    </row>
    <row r="22" spans="1:43" hidden="1" x14ac:dyDescent="0.2">
      <c r="A22" t="s">
        <v>92</v>
      </c>
      <c r="B22" t="s">
        <v>93</v>
      </c>
      <c r="C22" t="s">
        <v>94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85</v>
      </c>
      <c r="AF22">
        <v>11.311475409836071</v>
      </c>
      <c r="AG22">
        <v>9.1530683223403368</v>
      </c>
      <c r="AH22">
        <v>23.328385964912279</v>
      </c>
      <c r="AI22">
        <f>13.390285869109*1</f>
        <v>13.390285869109</v>
      </c>
      <c r="AJ22">
        <f>2.6524446584399*1</f>
        <v>2.6524446584399</v>
      </c>
      <c r="AK22">
        <v>1</v>
      </c>
      <c r="AL22">
        <v>0</v>
      </c>
      <c r="AM22">
        <v>0</v>
      </c>
      <c r="AO22" t="s">
        <v>15</v>
      </c>
      <c r="AP22">
        <f>SUMPRODUCT(Table1[Selected],Table1[BRE])</f>
        <v>1</v>
      </c>
      <c r="AQ22">
        <v>3</v>
      </c>
    </row>
    <row r="23" spans="1:43" hidden="1" x14ac:dyDescent="0.2">
      <c r="A23" t="s">
        <v>95</v>
      </c>
      <c r="B23" t="s">
        <v>96</v>
      </c>
      <c r="C23" t="s">
        <v>96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5.6</v>
      </c>
      <c r="AE23">
        <v>89</v>
      </c>
      <c r="AF23">
        <v>16.120689655172409</v>
      </c>
      <c r="AG23">
        <v>12.403016406617409</v>
      </c>
      <c r="AH23">
        <v>42.109705331705342</v>
      </c>
      <c r="AI23">
        <f>19.1151563429302*1</f>
        <v>19.115156342930199</v>
      </c>
      <c r="AJ23">
        <f>3.55953707066605*1</f>
        <v>3.5595370706660501</v>
      </c>
      <c r="AK23">
        <v>1</v>
      </c>
      <c r="AL23">
        <v>0</v>
      </c>
      <c r="AM23">
        <v>0</v>
      </c>
      <c r="AO23" t="s">
        <v>16</v>
      </c>
      <c r="AP23">
        <f>SUMPRODUCT(Table1[Selected],Table1[BHA])</f>
        <v>0</v>
      </c>
      <c r="AQ23">
        <v>3</v>
      </c>
    </row>
    <row r="24" spans="1:43" hidden="1" x14ac:dyDescent="0.2">
      <c r="A24" t="s">
        <v>97</v>
      </c>
      <c r="B24" t="s">
        <v>98</v>
      </c>
      <c r="C24" t="s">
        <v>98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92</v>
      </c>
      <c r="AF24">
        <v>11.9140625</v>
      </c>
      <c r="AG24">
        <v>10.17667335656521</v>
      </c>
      <c r="AH24">
        <v>15.235213619077699</v>
      </c>
      <c r="AI24">
        <f>8.50077344146676*1</f>
        <v>8.5007734414667606</v>
      </c>
      <c r="AJ24">
        <f>1.77518505384543*1</f>
        <v>1.7751850538454299</v>
      </c>
      <c r="AK24">
        <v>1</v>
      </c>
      <c r="AL24">
        <v>0</v>
      </c>
      <c r="AM24">
        <v>0</v>
      </c>
      <c r="AO24" t="s">
        <v>17</v>
      </c>
      <c r="AP24">
        <f>SUMPRODUCT(Table1[Selected],Table1[CHE])</f>
        <v>0</v>
      </c>
      <c r="AQ24">
        <v>3</v>
      </c>
    </row>
    <row r="25" spans="1:43" hidden="1" x14ac:dyDescent="0.2">
      <c r="A25" t="s">
        <v>99</v>
      </c>
      <c r="B25" t="s">
        <v>100</v>
      </c>
      <c r="C25" t="s">
        <v>100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5.4</v>
      </c>
      <c r="AE25">
        <v>93</v>
      </c>
      <c r="AF25">
        <v>16.81818181818182</v>
      </c>
      <c r="AG25">
        <v>22.137666946583789</v>
      </c>
      <c r="AH25">
        <v>22.883333333333329</v>
      </c>
      <c r="AI25">
        <f>12.9624211416718*1</f>
        <v>12.9624211416718</v>
      </c>
      <c r="AJ25">
        <f>2.40207490483944*1</f>
        <v>2.4020749048394401</v>
      </c>
      <c r="AK25">
        <v>1</v>
      </c>
      <c r="AL25">
        <v>0</v>
      </c>
      <c r="AM25">
        <v>0</v>
      </c>
      <c r="AO25" t="s">
        <v>18</v>
      </c>
      <c r="AP25">
        <f>SUMPRODUCT(Table1[Selected],Table1[CRY])</f>
        <v>1</v>
      </c>
      <c r="AQ25">
        <v>3</v>
      </c>
    </row>
    <row r="26" spans="1:43" hidden="1" x14ac:dyDescent="0.2">
      <c r="A26" t="s">
        <v>101</v>
      </c>
      <c r="B26" t="s">
        <v>102</v>
      </c>
      <c r="C26" t="s">
        <v>102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4.4000000000000004</v>
      </c>
      <c r="AE26">
        <v>95</v>
      </c>
      <c r="AF26">
        <v>11.81034482758621</v>
      </c>
      <c r="AG26">
        <v>10.446326952040939</v>
      </c>
      <c r="AH26">
        <v>22.951546240028382</v>
      </c>
      <c r="AI26">
        <f>10.254876880144*1</f>
        <v>10.254876880144</v>
      </c>
      <c r="AJ26">
        <f>2.00841209088475*1</f>
        <v>2.0084120908847498</v>
      </c>
      <c r="AK26">
        <v>1</v>
      </c>
      <c r="AL26">
        <v>0</v>
      </c>
      <c r="AM26">
        <v>0</v>
      </c>
      <c r="AO26" t="s">
        <v>19</v>
      </c>
      <c r="AP26">
        <f>SUMPRODUCT(Table1[Selected],Table1[EVE])</f>
        <v>3</v>
      </c>
      <c r="AQ26">
        <v>3</v>
      </c>
    </row>
    <row r="27" spans="1:43" hidden="1" x14ac:dyDescent="0.2">
      <c r="A27" t="s">
        <v>103</v>
      </c>
      <c r="B27" t="s">
        <v>104</v>
      </c>
      <c r="C27" t="s">
        <v>104</v>
      </c>
      <c r="D27" t="s">
        <v>3</v>
      </c>
      <c r="E27">
        <v>1</v>
      </c>
      <c r="F27">
        <v>0</v>
      </c>
      <c r="G27">
        <v>0</v>
      </c>
      <c r="H27">
        <v>0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96</v>
      </c>
      <c r="AF27">
        <v>18.589743589743591</v>
      </c>
      <c r="AG27">
        <v>18.264044832008501</v>
      </c>
      <c r="AH27">
        <v>29.551267278150579</v>
      </c>
      <c r="AI27">
        <f>19.0963811034335*1</f>
        <v>19.096381103433501</v>
      </c>
      <c r="AJ27">
        <f>3.90325331641081*1</f>
        <v>3.9032533164108099</v>
      </c>
      <c r="AK27">
        <v>1</v>
      </c>
      <c r="AL27">
        <v>0</v>
      </c>
      <c r="AM27">
        <v>0</v>
      </c>
      <c r="AO27" t="s">
        <v>20</v>
      </c>
      <c r="AP27">
        <f>SUMPRODUCT(Table1[Selected],Table1[FUL])</f>
        <v>0</v>
      </c>
      <c r="AQ27">
        <v>3</v>
      </c>
    </row>
    <row r="28" spans="1:43" hidden="1" x14ac:dyDescent="0.2">
      <c r="A28" t="s">
        <v>105</v>
      </c>
      <c r="B28" t="s">
        <v>106</v>
      </c>
      <c r="C28" t="s">
        <v>106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4.5999999999999996</v>
      </c>
      <c r="AE28">
        <v>106</v>
      </c>
      <c r="AF28">
        <v>12.8494623655914</v>
      </c>
      <c r="AG28">
        <v>10.608704728085931</v>
      </c>
      <c r="AH28">
        <v>12.13054389572482</v>
      </c>
      <c r="AI28">
        <f>13.4256076579528*1</f>
        <v>13.425607657952799</v>
      </c>
      <c r="AJ28">
        <f>2.65124837100233*1</f>
        <v>2.65124837100233</v>
      </c>
      <c r="AK28">
        <v>1</v>
      </c>
      <c r="AL28">
        <v>0</v>
      </c>
      <c r="AM28">
        <v>0</v>
      </c>
      <c r="AO28" t="s">
        <v>21</v>
      </c>
      <c r="AP28">
        <f>SUMPRODUCT(Table1[Selected],Table1[IPS])</f>
        <v>0</v>
      </c>
      <c r="AQ28">
        <v>3</v>
      </c>
    </row>
    <row r="29" spans="1:43" hidden="1" x14ac:dyDescent="0.2">
      <c r="A29" t="s">
        <v>107</v>
      </c>
      <c r="B29" t="s">
        <v>108</v>
      </c>
      <c r="C29" t="s">
        <v>108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107</v>
      </c>
      <c r="AF29">
        <v>17.589552435609551</v>
      </c>
      <c r="AG29">
        <v>7.0639011311732389</v>
      </c>
      <c r="AH29">
        <v>15.388299959782721</v>
      </c>
      <c r="AI29">
        <f>8.03321586895668*1</f>
        <v>8.0332158689566793</v>
      </c>
      <c r="AJ29">
        <f>1.70256761921026*1</f>
        <v>1.7025676192102599</v>
      </c>
      <c r="AK29">
        <v>1</v>
      </c>
      <c r="AL29">
        <v>0</v>
      </c>
      <c r="AM29">
        <v>0</v>
      </c>
      <c r="AO29" t="s">
        <v>22</v>
      </c>
      <c r="AP29">
        <f>SUMPRODUCT(Table1[Selected],Table1[LEI])</f>
        <v>0</v>
      </c>
      <c r="AQ29">
        <v>3</v>
      </c>
    </row>
    <row r="30" spans="1:43" hidden="1" x14ac:dyDescent="0.2">
      <c r="A30" t="s">
        <v>109</v>
      </c>
      <c r="B30" t="s">
        <v>110</v>
      </c>
      <c r="C30" t="s">
        <v>110</v>
      </c>
      <c r="D30" t="s">
        <v>3</v>
      </c>
      <c r="E30">
        <v>1</v>
      </c>
      <c r="F30">
        <v>0</v>
      </c>
      <c r="G30">
        <v>0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109</v>
      </c>
      <c r="AF30">
        <v>15.92592592592592</v>
      </c>
      <c r="AG30">
        <v>18.91417427214909</v>
      </c>
      <c r="AH30">
        <v>15.046537633356181</v>
      </c>
      <c r="AI30">
        <f>11.49671205309*1</f>
        <v>11.49671205309</v>
      </c>
      <c r="AJ30">
        <f>2.31227762811778*1</f>
        <v>2.3122776281177799</v>
      </c>
      <c r="AK30">
        <v>1</v>
      </c>
      <c r="AL30">
        <v>0</v>
      </c>
      <c r="AM30">
        <v>0</v>
      </c>
      <c r="AO30" t="s">
        <v>23</v>
      </c>
      <c r="AP30">
        <f>SUMPRODUCT(Table1[Selected],Table1[LIV])</f>
        <v>1</v>
      </c>
      <c r="AQ30">
        <v>3</v>
      </c>
    </row>
    <row r="31" spans="1:43" hidden="1" x14ac:dyDescent="0.2">
      <c r="A31" t="s">
        <v>111</v>
      </c>
      <c r="B31" t="s">
        <v>112</v>
      </c>
      <c r="C31" t="s">
        <v>112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116</v>
      </c>
      <c r="AF31">
        <v>11.31578947368422</v>
      </c>
      <c r="AG31">
        <v>10.33701618776248</v>
      </c>
      <c r="AH31">
        <v>12.28888888888889</v>
      </c>
      <c r="AI31">
        <f>3.8392901763663*1</f>
        <v>3.8392901763662999</v>
      </c>
      <c r="AJ31">
        <f>0.804409337701312*1</f>
        <v>0.80440933770131196</v>
      </c>
      <c r="AK31">
        <v>1</v>
      </c>
      <c r="AL31">
        <v>0</v>
      </c>
      <c r="AM31">
        <v>0</v>
      </c>
      <c r="AO31" t="s">
        <v>24</v>
      </c>
      <c r="AP31">
        <f>SUMPRODUCT(Table1[Selected],Table1[MCI])</f>
        <v>0</v>
      </c>
      <c r="AQ31">
        <v>3</v>
      </c>
    </row>
    <row r="32" spans="1:43" hidden="1" x14ac:dyDescent="0.2">
      <c r="A32" t="s">
        <v>113</v>
      </c>
      <c r="B32" t="s">
        <v>114</v>
      </c>
      <c r="C32" t="s">
        <v>114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7.6</v>
      </c>
      <c r="AE32">
        <v>117</v>
      </c>
      <c r="AF32">
        <v>26.786086915447299</v>
      </c>
      <c r="AG32">
        <v>21.102846083686469</v>
      </c>
      <c r="AH32">
        <v>35.448815762840539</v>
      </c>
      <c r="AI32">
        <f>13.7232495912077*1</f>
        <v>13.723249591207701</v>
      </c>
      <c r="AJ32">
        <f>2.88883185674549*1</f>
        <v>2.8888318567454898</v>
      </c>
      <c r="AK32">
        <v>1</v>
      </c>
      <c r="AL32">
        <v>0</v>
      </c>
      <c r="AM32">
        <v>0</v>
      </c>
      <c r="AO32" t="s">
        <v>25</v>
      </c>
      <c r="AP32">
        <f>SUMPRODUCT(Table1[Selected],Table1[MUN])</f>
        <v>1</v>
      </c>
      <c r="AQ32">
        <v>3</v>
      </c>
    </row>
    <row r="33" spans="1:43" hidden="1" x14ac:dyDescent="0.2">
      <c r="A33" t="s">
        <v>115</v>
      </c>
      <c r="B33" t="s">
        <v>116</v>
      </c>
      <c r="C33" t="s">
        <v>116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4.8</v>
      </c>
      <c r="AE33">
        <v>119</v>
      </c>
      <c r="AF33">
        <v>13.928571428571431</v>
      </c>
      <c r="AG33">
        <v>15.311101379351021</v>
      </c>
      <c r="AH33">
        <v>9.3933281850515815</v>
      </c>
      <c r="AI33">
        <f>9.09671040904062*1</f>
        <v>9.0967104090406199</v>
      </c>
      <c r="AJ33">
        <f>1.77331126598262*1</f>
        <v>1.77331126598262</v>
      </c>
      <c r="AK33">
        <v>1</v>
      </c>
      <c r="AL33">
        <v>0</v>
      </c>
      <c r="AM33">
        <v>0</v>
      </c>
      <c r="AO33" t="s">
        <v>26</v>
      </c>
      <c r="AP33">
        <f>SUMPRODUCT(Table1[Selected],Table1[NEW])</f>
        <v>3</v>
      </c>
      <c r="AQ33">
        <v>3</v>
      </c>
    </row>
    <row r="34" spans="1:43" hidden="1" x14ac:dyDescent="0.2">
      <c r="A34" t="s">
        <v>117</v>
      </c>
      <c r="B34" t="s">
        <v>118</v>
      </c>
      <c r="C34" t="s">
        <v>118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122</v>
      </c>
      <c r="AF34">
        <v>14.5631067961165</v>
      </c>
      <c r="AG34">
        <v>18.170910256041491</v>
      </c>
      <c r="AH34">
        <v>7.4419499788810937</v>
      </c>
      <c r="AI34">
        <f>6.19266513383453*1</f>
        <v>6.19266513383453</v>
      </c>
      <c r="AJ34">
        <f>1.30425016142343*1</f>
        <v>1.3042501614234301</v>
      </c>
      <c r="AK34">
        <v>1</v>
      </c>
      <c r="AL34">
        <v>0</v>
      </c>
      <c r="AM34">
        <v>0</v>
      </c>
      <c r="AO34" t="s">
        <v>27</v>
      </c>
      <c r="AP34">
        <f>SUMPRODUCT(Table1[Selected],Table1[NFO])</f>
        <v>2</v>
      </c>
      <c r="AQ34">
        <v>3</v>
      </c>
    </row>
    <row r="35" spans="1:43" hidden="1" x14ac:dyDescent="0.2">
      <c r="A35" t="s">
        <v>119</v>
      </c>
      <c r="B35" t="s">
        <v>120</v>
      </c>
      <c r="C35" t="s">
        <v>120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5.0999999999999996</v>
      </c>
      <c r="AE35">
        <v>124</v>
      </c>
      <c r="AF35">
        <v>13.260869565217391</v>
      </c>
      <c r="AG35">
        <v>10.785186567562929</v>
      </c>
      <c r="AH35">
        <v>20.076673280423279</v>
      </c>
      <c r="AI35">
        <f>20.481438696208*1</f>
        <v>20.481438696207999</v>
      </c>
      <c r="AJ35">
        <f>4.02612852761503*1</f>
        <v>4.0261285276150298</v>
      </c>
      <c r="AK35">
        <v>1</v>
      </c>
      <c r="AL35">
        <v>0</v>
      </c>
      <c r="AM35">
        <v>0</v>
      </c>
      <c r="AO35" t="s">
        <v>28</v>
      </c>
      <c r="AP35">
        <f>SUMPRODUCT(Table1[Selected],Table1[SOU])</f>
        <v>0</v>
      </c>
      <c r="AQ35">
        <v>3</v>
      </c>
    </row>
    <row r="36" spans="1:43" x14ac:dyDescent="0.2">
      <c r="A36" t="s">
        <v>303</v>
      </c>
      <c r="B36" t="s">
        <v>304</v>
      </c>
      <c r="C36" t="s">
        <v>305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26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501</v>
      </c>
      <c r="AF36">
        <v>23.03157033577417</v>
      </c>
      <c r="AG36">
        <v>9.7174952518482947</v>
      </c>
      <c r="AH36">
        <v>59.8888888888889</v>
      </c>
      <c r="AI36">
        <f>45.422341071627*1</f>
        <v>45.422341071627002</v>
      </c>
      <c r="AJ36">
        <f>9.06625790354051*1</f>
        <v>9.0662579035405102</v>
      </c>
      <c r="AK36">
        <v>1</v>
      </c>
      <c r="AL36">
        <v>1</v>
      </c>
      <c r="AM36">
        <v>1</v>
      </c>
      <c r="AO36" t="s">
        <v>29</v>
      </c>
      <c r="AP36">
        <f>SUMPRODUCT(Table1[Selected],Table1[TOT])</f>
        <v>1</v>
      </c>
      <c r="AQ36">
        <v>3</v>
      </c>
    </row>
    <row r="37" spans="1:43" hidden="1" x14ac:dyDescent="0.2">
      <c r="A37" t="s">
        <v>123</v>
      </c>
      <c r="B37" t="s">
        <v>124</v>
      </c>
      <c r="C37" t="s">
        <v>124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141</v>
      </c>
      <c r="AF37">
        <v>9.1463414634146361</v>
      </c>
      <c r="AG37">
        <v>8.7098906426504143</v>
      </c>
      <c r="AH37">
        <v>27</v>
      </c>
      <c r="AI37">
        <f>3.25210745942403*1</f>
        <v>3.25210745942403</v>
      </c>
      <c r="AJ37">
        <f>0.475184962343365*1</f>
        <v>0.47518496234336499</v>
      </c>
      <c r="AK37">
        <v>1</v>
      </c>
      <c r="AL37">
        <v>0</v>
      </c>
      <c r="AM37">
        <v>0</v>
      </c>
      <c r="AO37" t="s">
        <v>30</v>
      </c>
      <c r="AP37">
        <f>SUMPRODUCT(Table1[Selected],Table1[WHU])</f>
        <v>0</v>
      </c>
      <c r="AQ37">
        <v>3</v>
      </c>
    </row>
    <row r="38" spans="1:43" hidden="1" x14ac:dyDescent="0.2">
      <c r="A38" t="s">
        <v>125</v>
      </c>
      <c r="B38" t="s">
        <v>126</v>
      </c>
      <c r="C38" t="s">
        <v>126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4.4000000000000004</v>
      </c>
      <c r="AE38">
        <v>145</v>
      </c>
      <c r="AF38">
        <v>15.582524271844649</v>
      </c>
      <c r="AG38">
        <v>15.838754703133731</v>
      </c>
      <c r="AH38">
        <v>16.71588600736894</v>
      </c>
      <c r="AI38">
        <f>10.1723765090499*1</f>
        <v>10.172376509049901</v>
      </c>
      <c r="AJ38">
        <f>2.03300889664783*1</f>
        <v>2.0330088966478299</v>
      </c>
      <c r="AK38">
        <v>1</v>
      </c>
      <c r="AL38">
        <v>0</v>
      </c>
      <c r="AM38">
        <v>0</v>
      </c>
      <c r="AO38" t="s">
        <v>31</v>
      </c>
      <c r="AP38">
        <f>SUMPRODUCT(Table1[Selected],Table1[WOL])</f>
        <v>1</v>
      </c>
      <c r="AQ38">
        <v>3</v>
      </c>
    </row>
    <row r="39" spans="1:43" hidden="1" x14ac:dyDescent="0.2">
      <c r="A39" t="s">
        <v>127</v>
      </c>
      <c r="B39" t="s">
        <v>128</v>
      </c>
      <c r="C39" t="s">
        <v>128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5.0999999999999996</v>
      </c>
      <c r="AE39">
        <v>160</v>
      </c>
      <c r="AF39">
        <v>0</v>
      </c>
      <c r="AG39">
        <v>0</v>
      </c>
      <c r="AH39">
        <v>0</v>
      </c>
      <c r="AI39">
        <f>0*1</f>
        <v>0</v>
      </c>
      <c r="AJ39">
        <f>0*1</f>
        <v>0</v>
      </c>
      <c r="AK39">
        <v>1</v>
      </c>
      <c r="AL39">
        <v>0</v>
      </c>
      <c r="AM39">
        <v>0</v>
      </c>
    </row>
    <row r="40" spans="1:43" hidden="1" x14ac:dyDescent="0.2">
      <c r="A40" t="s">
        <v>129</v>
      </c>
      <c r="B40" t="s">
        <v>130</v>
      </c>
      <c r="C40" t="s">
        <v>129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6.5</v>
      </c>
      <c r="AE40">
        <v>161</v>
      </c>
      <c r="AF40">
        <v>0</v>
      </c>
      <c r="AG40">
        <v>0</v>
      </c>
      <c r="AH40">
        <v>0</v>
      </c>
      <c r="AI40">
        <f>0*1</f>
        <v>0</v>
      </c>
      <c r="AJ40">
        <f>0*1</f>
        <v>0</v>
      </c>
      <c r="AK40">
        <v>1</v>
      </c>
      <c r="AL40">
        <v>0</v>
      </c>
      <c r="AM40">
        <v>0</v>
      </c>
    </row>
    <row r="41" spans="1:43" hidden="1" x14ac:dyDescent="0.2">
      <c r="A41" t="s">
        <v>131</v>
      </c>
      <c r="B41" t="s">
        <v>132</v>
      </c>
      <c r="C41" t="s">
        <v>133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</v>
      </c>
      <c r="AE41">
        <v>169</v>
      </c>
      <c r="AF41">
        <v>10.3921568627451</v>
      </c>
      <c r="AG41">
        <v>8.8867822103928589</v>
      </c>
      <c r="AH41">
        <v>19.18181818181818</v>
      </c>
      <c r="AI41">
        <f>7.68429226450044*1</f>
        <v>7.6842922645004403</v>
      </c>
      <c r="AJ41">
        <f>1.60754913783219*1</f>
        <v>1.60754913783219</v>
      </c>
      <c r="AK41">
        <v>1</v>
      </c>
      <c r="AL41">
        <v>0</v>
      </c>
      <c r="AM41">
        <v>0</v>
      </c>
    </row>
    <row r="42" spans="1:43" hidden="1" x14ac:dyDescent="0.2">
      <c r="A42" t="s">
        <v>134</v>
      </c>
      <c r="B42" t="s">
        <v>135</v>
      </c>
      <c r="C42" t="s">
        <v>135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170</v>
      </c>
      <c r="AF42">
        <v>15.119677222341799</v>
      </c>
      <c r="AG42">
        <v>13.209369438659969</v>
      </c>
      <c r="AH42">
        <v>14.656026208965621</v>
      </c>
      <c r="AI42">
        <f>10.0108223588297*1</f>
        <v>10.010822358829699</v>
      </c>
      <c r="AJ42">
        <f>2.00821148691635*1</f>
        <v>2.0082114869163501</v>
      </c>
      <c r="AK42">
        <v>1</v>
      </c>
      <c r="AL42">
        <v>0</v>
      </c>
      <c r="AM42">
        <v>0</v>
      </c>
    </row>
    <row r="43" spans="1:43" hidden="1" x14ac:dyDescent="0.2">
      <c r="A43" t="s">
        <v>136</v>
      </c>
      <c r="B43" t="s">
        <v>137</v>
      </c>
      <c r="C43" t="s">
        <v>137</v>
      </c>
      <c r="D43" t="s">
        <v>3</v>
      </c>
      <c r="E43">
        <v>1</v>
      </c>
      <c r="F43">
        <v>0</v>
      </c>
      <c r="G43">
        <v>0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</v>
      </c>
      <c r="AE43">
        <v>171</v>
      </c>
      <c r="AF43">
        <v>15.416666666666661</v>
      </c>
      <c r="AG43">
        <v>14.69683869120553</v>
      </c>
      <c r="AH43">
        <v>17.277127224627229</v>
      </c>
      <c r="AI43">
        <f>8.37774710280843*1</f>
        <v>8.3777471028084296</v>
      </c>
      <c r="AJ43">
        <f>1.81334743390348*1</f>
        <v>1.8133474339034801</v>
      </c>
      <c r="AK43">
        <v>1</v>
      </c>
      <c r="AL43">
        <v>0</v>
      </c>
      <c r="AM43">
        <v>0</v>
      </c>
    </row>
    <row r="44" spans="1:43" hidden="1" x14ac:dyDescent="0.2">
      <c r="A44" t="s">
        <v>138</v>
      </c>
      <c r="B44" t="s">
        <v>139</v>
      </c>
      <c r="C44" t="s">
        <v>139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5.6</v>
      </c>
      <c r="AE44">
        <v>173</v>
      </c>
      <c r="AF44">
        <v>15.41979931434447</v>
      </c>
      <c r="AG44">
        <v>12.95811249962702</v>
      </c>
      <c r="AH44">
        <v>9.7846153846153854</v>
      </c>
      <c r="AI44">
        <f>14.0565310084129*1</f>
        <v>14.0565310084129</v>
      </c>
      <c r="AJ44">
        <f>2.72474183806902*1</f>
        <v>2.7247418380690198</v>
      </c>
      <c r="AK44">
        <v>1</v>
      </c>
      <c r="AL44">
        <v>0</v>
      </c>
      <c r="AM44">
        <v>0</v>
      </c>
    </row>
    <row r="45" spans="1:43" hidden="1" x14ac:dyDescent="0.2">
      <c r="A45" t="s">
        <v>140</v>
      </c>
      <c r="B45" t="s">
        <v>141</v>
      </c>
      <c r="C45" t="s">
        <v>141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4.7</v>
      </c>
      <c r="AE45">
        <v>174</v>
      </c>
      <c r="AF45">
        <v>0</v>
      </c>
      <c r="AG45">
        <v>0</v>
      </c>
      <c r="AH45">
        <v>0</v>
      </c>
      <c r="AI45">
        <f>0*1</f>
        <v>0</v>
      </c>
      <c r="AJ45">
        <f>0*1</f>
        <v>0</v>
      </c>
      <c r="AK45">
        <v>1</v>
      </c>
      <c r="AL45">
        <v>0</v>
      </c>
      <c r="AM45">
        <v>0</v>
      </c>
    </row>
    <row r="46" spans="1:43" hidden="1" x14ac:dyDescent="0.2">
      <c r="A46" t="s">
        <v>142</v>
      </c>
      <c r="B46" t="s">
        <v>143</v>
      </c>
      <c r="C46" t="s">
        <v>144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4.9000000000000004</v>
      </c>
      <c r="AE46">
        <v>191</v>
      </c>
      <c r="AF46">
        <v>15.40166869590333</v>
      </c>
      <c r="AG46">
        <v>8.2804748645646491</v>
      </c>
      <c r="AH46">
        <v>15.330209702069689</v>
      </c>
      <c r="AI46">
        <f>13.5806056976537*1</f>
        <v>13.5806056976537</v>
      </c>
      <c r="AJ46">
        <f>2.90579390408513*1</f>
        <v>2.9057939040851299</v>
      </c>
      <c r="AK46">
        <v>1</v>
      </c>
      <c r="AL46">
        <v>0</v>
      </c>
      <c r="AM46">
        <v>0</v>
      </c>
    </row>
    <row r="47" spans="1:43" hidden="1" x14ac:dyDescent="0.2">
      <c r="A47" t="s">
        <v>145</v>
      </c>
      <c r="B47" t="s">
        <v>146</v>
      </c>
      <c r="C47" t="s">
        <v>146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4.5999999999999996</v>
      </c>
      <c r="AE47">
        <v>195</v>
      </c>
      <c r="AF47">
        <v>13.392857142857141</v>
      </c>
      <c r="AG47">
        <v>16.185465291549569</v>
      </c>
      <c r="AH47">
        <v>14.16190476190476</v>
      </c>
      <c r="AI47">
        <f>15.4817813109485*1</f>
        <v>15.481781310948501</v>
      </c>
      <c r="AJ47">
        <f>3.31113454227897*1</f>
        <v>3.3111345422789702</v>
      </c>
      <c r="AK47">
        <v>1</v>
      </c>
      <c r="AL47">
        <v>0</v>
      </c>
      <c r="AM47">
        <v>0</v>
      </c>
    </row>
    <row r="48" spans="1:43" hidden="1" x14ac:dyDescent="0.2">
      <c r="A48" t="s">
        <v>147</v>
      </c>
      <c r="B48" t="s">
        <v>148</v>
      </c>
      <c r="C48" t="s">
        <v>149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5.2</v>
      </c>
      <c r="AE48">
        <v>196</v>
      </c>
      <c r="AF48">
        <v>13.0701754385965</v>
      </c>
      <c r="AG48">
        <v>11.806682391352799</v>
      </c>
      <c r="AH48">
        <v>21.866666666666671</v>
      </c>
      <c r="AI48">
        <f>14.8613510743108*1</f>
        <v>14.8613510743108</v>
      </c>
      <c r="AJ48">
        <f>2.75936432203785*1</f>
        <v>2.7593643220378499</v>
      </c>
      <c r="AK48">
        <v>1</v>
      </c>
      <c r="AL48">
        <v>0</v>
      </c>
      <c r="AM48">
        <v>0</v>
      </c>
    </row>
    <row r="49" spans="1:39" hidden="1" x14ac:dyDescent="0.2">
      <c r="A49" t="s">
        <v>150</v>
      </c>
      <c r="B49" t="s">
        <v>151</v>
      </c>
      <c r="C49" t="s">
        <v>150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5.0999999999999996</v>
      </c>
      <c r="AE49">
        <v>201</v>
      </c>
      <c r="AF49">
        <v>14.465390967682939</v>
      </c>
      <c r="AG49">
        <v>11.059991845964159</v>
      </c>
      <c r="AH49">
        <v>15.816000000000001</v>
      </c>
      <c r="AI49">
        <f>27.1154951272921*1</f>
        <v>27.1154951272921</v>
      </c>
      <c r="AJ49">
        <f>5.19059497958167*1</f>
        <v>5.1905949795816699</v>
      </c>
      <c r="AK49">
        <v>1</v>
      </c>
      <c r="AL49">
        <v>0</v>
      </c>
      <c r="AM49">
        <v>0</v>
      </c>
    </row>
    <row r="50" spans="1:39" hidden="1" x14ac:dyDescent="0.2">
      <c r="A50" t="s">
        <v>152</v>
      </c>
      <c r="B50" t="s">
        <v>153</v>
      </c>
      <c r="C50" t="s">
        <v>153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6.3</v>
      </c>
      <c r="AE50">
        <v>210</v>
      </c>
      <c r="AF50">
        <v>17.083333333333339</v>
      </c>
      <c r="AG50">
        <v>22.699138256333139</v>
      </c>
      <c r="AH50">
        <v>23.42026203583729</v>
      </c>
      <c r="AI50">
        <f>4.75177044361977*1</f>
        <v>4.7517704436197699</v>
      </c>
      <c r="AJ50">
        <f>0.877555340365166*1</f>
        <v>0.87755534036516603</v>
      </c>
      <c r="AK50">
        <v>1</v>
      </c>
      <c r="AL50">
        <v>0</v>
      </c>
      <c r="AM50">
        <v>0</v>
      </c>
    </row>
    <row r="51" spans="1:39" hidden="1" x14ac:dyDescent="0.2">
      <c r="A51" t="s">
        <v>154</v>
      </c>
      <c r="B51" t="s">
        <v>155</v>
      </c>
      <c r="C51" t="s">
        <v>156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8.3000000000000007</v>
      </c>
      <c r="AE51">
        <v>213</v>
      </c>
      <c r="AF51">
        <v>26.374085217471201</v>
      </c>
      <c r="AG51">
        <v>22.53807965958956</v>
      </c>
      <c r="AH51">
        <v>25.912952155886831</v>
      </c>
      <c r="AI51">
        <f>13.5521358409356*1</f>
        <v>13.5521358409356</v>
      </c>
      <c r="AJ51">
        <f>2.63532760409655*1</f>
        <v>2.6353276040965499</v>
      </c>
      <c r="AK51">
        <v>1</v>
      </c>
      <c r="AL51">
        <v>0</v>
      </c>
      <c r="AM51">
        <v>0</v>
      </c>
    </row>
    <row r="52" spans="1:39" hidden="1" x14ac:dyDescent="0.2">
      <c r="A52" t="s">
        <v>157</v>
      </c>
      <c r="B52" t="s">
        <v>158</v>
      </c>
      <c r="C52" t="s">
        <v>158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5.8</v>
      </c>
      <c r="AE52">
        <v>214</v>
      </c>
      <c r="AF52">
        <v>11.48148148148149</v>
      </c>
      <c r="AG52">
        <v>8.1538862291187613</v>
      </c>
      <c r="AH52">
        <v>4.5142857142857142</v>
      </c>
      <c r="AI52">
        <f>8.98024629186436*1</f>
        <v>8.9802462918643595</v>
      </c>
      <c r="AJ52">
        <f>1.73374556186717*1</f>
        <v>1.73374556186717</v>
      </c>
      <c r="AK52">
        <v>1</v>
      </c>
      <c r="AL52">
        <v>0</v>
      </c>
      <c r="AM52">
        <v>0</v>
      </c>
    </row>
    <row r="53" spans="1:39" hidden="1" x14ac:dyDescent="0.2">
      <c r="A53" t="s">
        <v>159</v>
      </c>
      <c r="B53" t="s">
        <v>160</v>
      </c>
      <c r="C53" t="s">
        <v>160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11.3</v>
      </c>
      <c r="AE53">
        <v>215</v>
      </c>
      <c r="AF53">
        <v>38.934109549019453</v>
      </c>
      <c r="AG53">
        <v>28.83136193585435</v>
      </c>
      <c r="AH53">
        <v>29.431666666666661</v>
      </c>
      <c r="AI53">
        <f>19.335471785512*1</f>
        <v>19.335471785511999</v>
      </c>
      <c r="AJ53">
        <f>3.73575463172819*1</f>
        <v>3.7357546317281898</v>
      </c>
      <c r="AK53">
        <v>1</v>
      </c>
      <c r="AL53">
        <v>0</v>
      </c>
      <c r="AM53">
        <v>0</v>
      </c>
    </row>
    <row r="54" spans="1:39" hidden="1" x14ac:dyDescent="0.2">
      <c r="A54" t="s">
        <v>161</v>
      </c>
      <c r="B54" t="s">
        <v>162</v>
      </c>
      <c r="C54" t="s">
        <v>162</v>
      </c>
      <c r="D54" t="s">
        <v>3</v>
      </c>
      <c r="E54">
        <v>1</v>
      </c>
      <c r="F54">
        <v>0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4.8</v>
      </c>
      <c r="AE54">
        <v>218</v>
      </c>
      <c r="AF54">
        <v>17.97413793103448</v>
      </c>
      <c r="AG54">
        <v>16.861355242586569</v>
      </c>
      <c r="AH54">
        <v>24.238823986020741</v>
      </c>
      <c r="AI54">
        <f>13.1314161332097*1</f>
        <v>13.131416133209701</v>
      </c>
      <c r="AJ54">
        <f>2.5649096892988*1</f>
        <v>2.5649096892987999</v>
      </c>
      <c r="AK54">
        <v>1</v>
      </c>
      <c r="AL54">
        <v>0</v>
      </c>
      <c r="AM54">
        <v>0</v>
      </c>
    </row>
    <row r="55" spans="1:39" hidden="1" x14ac:dyDescent="0.2">
      <c r="A55" t="s">
        <v>163</v>
      </c>
      <c r="B55" t="s">
        <v>164</v>
      </c>
      <c r="C55" t="s">
        <v>165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6.2</v>
      </c>
      <c r="AE55">
        <v>222</v>
      </c>
      <c r="AF55">
        <v>13.379656201012979</v>
      </c>
      <c r="AG55">
        <v>15.488851333385551</v>
      </c>
      <c r="AH55">
        <v>5.2762559822801984</v>
      </c>
      <c r="AI55">
        <f>14.7691333339081*1</f>
        <v>14.769133333908099</v>
      </c>
      <c r="AJ55">
        <f>2.95036346567067*1</f>
        <v>2.9503634656706699</v>
      </c>
      <c r="AK55">
        <v>1</v>
      </c>
      <c r="AL55">
        <v>0</v>
      </c>
      <c r="AM55">
        <v>0</v>
      </c>
    </row>
    <row r="56" spans="1:39" hidden="1" x14ac:dyDescent="0.2">
      <c r="A56" t="s">
        <v>166</v>
      </c>
      <c r="B56" t="s">
        <v>167</v>
      </c>
      <c r="C56" t="s">
        <v>167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6.6</v>
      </c>
      <c r="AE56">
        <v>237</v>
      </c>
      <c r="AF56">
        <v>19.291666666666671</v>
      </c>
      <c r="AG56">
        <v>16.655182131955041</v>
      </c>
      <c r="AH56">
        <v>11.244859305587919</v>
      </c>
      <c r="AI56">
        <f>6.69227972871418*1</f>
        <v>6.6922797287141798</v>
      </c>
      <c r="AJ56">
        <f>1.26162272183735*1</f>
        <v>1.2616227218373499</v>
      </c>
      <c r="AK56">
        <v>1</v>
      </c>
      <c r="AL56">
        <v>0</v>
      </c>
      <c r="AM56">
        <v>0</v>
      </c>
    </row>
    <row r="57" spans="1:39" hidden="1" x14ac:dyDescent="0.2">
      <c r="A57" t="s">
        <v>147</v>
      </c>
      <c r="B57" t="s">
        <v>168</v>
      </c>
      <c r="C57" t="s">
        <v>168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238</v>
      </c>
      <c r="AF57">
        <v>14.827575716052531</v>
      </c>
      <c r="AG57">
        <v>14.92351940391042</v>
      </c>
      <c r="AH57">
        <v>7.7751093844869583</v>
      </c>
      <c r="AI57">
        <f>8.7407201038266*1</f>
        <v>8.7407201038266003</v>
      </c>
      <c r="AJ57">
        <f>1.97705683882548*1</f>
        <v>1.9770568388254799</v>
      </c>
      <c r="AK57">
        <v>1</v>
      </c>
      <c r="AL57">
        <v>0</v>
      </c>
      <c r="AM57">
        <v>0</v>
      </c>
    </row>
    <row r="58" spans="1:39" hidden="1" x14ac:dyDescent="0.2">
      <c r="A58" t="s">
        <v>169</v>
      </c>
      <c r="B58" t="s">
        <v>170</v>
      </c>
      <c r="C58" t="s">
        <v>170</v>
      </c>
      <c r="D58" t="s">
        <v>3</v>
      </c>
      <c r="E58">
        <v>1</v>
      </c>
      <c r="F58">
        <v>0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4.4000000000000004</v>
      </c>
      <c r="AE58">
        <v>239</v>
      </c>
      <c r="AF58">
        <v>19.50511852082073</v>
      </c>
      <c r="AG58">
        <v>20.187177076606179</v>
      </c>
      <c r="AH58">
        <v>9.7518194726469627</v>
      </c>
      <c r="AI58">
        <f>12.5150799194104*1</f>
        <v>12.5150799194104</v>
      </c>
      <c r="AJ58">
        <f>2.52425956365709*1</f>
        <v>2.5242595636570901</v>
      </c>
      <c r="AK58">
        <v>1</v>
      </c>
      <c r="AL58">
        <v>0</v>
      </c>
      <c r="AM58">
        <v>0</v>
      </c>
    </row>
    <row r="59" spans="1:39" hidden="1" x14ac:dyDescent="0.2">
      <c r="A59" t="s">
        <v>171</v>
      </c>
      <c r="B59" t="s">
        <v>172</v>
      </c>
      <c r="C59" t="s">
        <v>172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4.9000000000000004</v>
      </c>
      <c r="AE59">
        <v>241</v>
      </c>
      <c r="AF59">
        <v>10.51020408163266</v>
      </c>
      <c r="AG59">
        <v>9.4700440336759719</v>
      </c>
      <c r="AH59">
        <v>8.6822289499065537</v>
      </c>
      <c r="AI59">
        <f>14.6753549680915*1</f>
        <v>14.675354968091501</v>
      </c>
      <c r="AJ59">
        <f>2.58524241796674*1</f>
        <v>2.5852424179667399</v>
      </c>
      <c r="AK59">
        <v>1</v>
      </c>
      <c r="AL59">
        <v>0</v>
      </c>
      <c r="AM59">
        <v>0</v>
      </c>
    </row>
    <row r="60" spans="1:39" hidden="1" x14ac:dyDescent="0.2">
      <c r="A60" t="s">
        <v>173</v>
      </c>
      <c r="B60" t="s">
        <v>174</v>
      </c>
      <c r="C60" t="s">
        <v>174</v>
      </c>
      <c r="D60" t="s">
        <v>6</v>
      </c>
      <c r="E60">
        <v>0</v>
      </c>
      <c r="F60">
        <v>0</v>
      </c>
      <c r="G60">
        <v>0</v>
      </c>
      <c r="H60">
        <v>1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7.2</v>
      </c>
      <c r="AE60">
        <v>244</v>
      </c>
      <c r="AF60">
        <v>17.77418674860585</v>
      </c>
      <c r="AG60">
        <v>11.22054569168092</v>
      </c>
      <c r="AH60">
        <v>9.2285714285714278</v>
      </c>
      <c r="AI60">
        <f>10.2368854898094*1</f>
        <v>10.236885489809399</v>
      </c>
      <c r="AJ60">
        <f>2.01031455602562*1</f>
        <v>2.0103145560256199</v>
      </c>
      <c r="AK60">
        <v>1</v>
      </c>
      <c r="AL60">
        <v>0</v>
      </c>
      <c r="AM60">
        <v>0</v>
      </c>
    </row>
    <row r="61" spans="1:39" hidden="1" x14ac:dyDescent="0.2">
      <c r="A61" t="s">
        <v>175</v>
      </c>
      <c r="B61" t="s">
        <v>176</v>
      </c>
      <c r="C61" t="s">
        <v>176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4.8</v>
      </c>
      <c r="AE61">
        <v>247</v>
      </c>
      <c r="AF61">
        <v>14.722222222222211</v>
      </c>
      <c r="AG61">
        <v>13.05556251278775</v>
      </c>
      <c r="AH61">
        <v>37.485601336541961</v>
      </c>
      <c r="AI61">
        <f>16.6449677561938*1</f>
        <v>16.6449677561938</v>
      </c>
      <c r="AJ61">
        <f>3.06116224503279*1</f>
        <v>3.06116224503279</v>
      </c>
      <c r="AK61">
        <v>1</v>
      </c>
      <c r="AL61">
        <v>0</v>
      </c>
      <c r="AM61">
        <v>0</v>
      </c>
    </row>
    <row r="62" spans="1:39" hidden="1" x14ac:dyDescent="0.2">
      <c r="A62" t="s">
        <v>177</v>
      </c>
      <c r="B62" t="s">
        <v>178</v>
      </c>
      <c r="C62" t="s">
        <v>178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4.7</v>
      </c>
      <c r="AE62">
        <v>248</v>
      </c>
      <c r="AF62">
        <v>17.5</v>
      </c>
      <c r="AG62">
        <v>16.048796562686739</v>
      </c>
      <c r="AH62">
        <v>21.411705503237169</v>
      </c>
      <c r="AI62">
        <f>26.0793185310249*1</f>
        <v>26.079318531024899</v>
      </c>
      <c r="AJ62">
        <f>5.27160605851971*1</f>
        <v>5.2716060585197102</v>
      </c>
      <c r="AK62">
        <v>1</v>
      </c>
      <c r="AL62">
        <v>0</v>
      </c>
      <c r="AM62">
        <v>0</v>
      </c>
    </row>
    <row r="63" spans="1:39" x14ac:dyDescent="0.2">
      <c r="A63" t="s">
        <v>256</v>
      </c>
      <c r="B63" t="s">
        <v>257</v>
      </c>
      <c r="C63" t="s">
        <v>258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23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13.5</v>
      </c>
      <c r="AE63">
        <v>407</v>
      </c>
      <c r="AF63">
        <v>37.046132866701292</v>
      </c>
      <c r="AG63">
        <v>35.881537264979698</v>
      </c>
      <c r="AH63">
        <v>56.44827387648084</v>
      </c>
      <c r="AI63">
        <f>46.0248429791334*1</f>
        <v>46.024842979133403</v>
      </c>
      <c r="AJ63">
        <f>8.5394049988032*1</f>
        <v>8.5394049988031995</v>
      </c>
      <c r="AK63">
        <v>1</v>
      </c>
      <c r="AL63">
        <v>1</v>
      </c>
      <c r="AM63">
        <v>1</v>
      </c>
    </row>
    <row r="64" spans="1:39" hidden="1" x14ac:dyDescent="0.2">
      <c r="A64" t="s">
        <v>182</v>
      </c>
      <c r="B64" t="s">
        <v>183</v>
      </c>
      <c r="C64" t="s">
        <v>183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</v>
      </c>
      <c r="AE64">
        <v>260</v>
      </c>
      <c r="AF64">
        <v>0</v>
      </c>
      <c r="AG64">
        <v>0</v>
      </c>
      <c r="AH64">
        <v>0</v>
      </c>
      <c r="AI64">
        <f>0*1</f>
        <v>0</v>
      </c>
      <c r="AJ64">
        <f>0*1</f>
        <v>0</v>
      </c>
      <c r="AK64">
        <v>1</v>
      </c>
      <c r="AL64">
        <v>0</v>
      </c>
      <c r="AM64">
        <v>0</v>
      </c>
    </row>
    <row r="65" spans="1:39" hidden="1" x14ac:dyDescent="0.2">
      <c r="A65" t="s">
        <v>184</v>
      </c>
      <c r="B65" t="s">
        <v>185</v>
      </c>
      <c r="C65" t="s">
        <v>186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5.0999999999999996</v>
      </c>
      <c r="AE65">
        <v>264</v>
      </c>
      <c r="AF65">
        <v>15.54404145077722</v>
      </c>
      <c r="AG65">
        <v>16.63326987538386</v>
      </c>
      <c r="AH65">
        <v>12.53880913346045</v>
      </c>
      <c r="AI65">
        <f>11.3339001505483*1</f>
        <v>11.333900150548301</v>
      </c>
      <c r="AJ65">
        <f>2.31509717687008*1</f>
        <v>2.3150971768700801</v>
      </c>
      <c r="AK65">
        <v>1</v>
      </c>
      <c r="AL65">
        <v>0</v>
      </c>
      <c r="AM65">
        <v>0</v>
      </c>
    </row>
    <row r="66" spans="1:39" hidden="1" x14ac:dyDescent="0.2">
      <c r="A66" t="s">
        <v>187</v>
      </c>
      <c r="B66" t="s">
        <v>188</v>
      </c>
      <c r="C66" t="s">
        <v>188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5.4</v>
      </c>
      <c r="AE66">
        <v>267</v>
      </c>
      <c r="AF66">
        <v>16.69263586997301</v>
      </c>
      <c r="AG66">
        <v>17.77625065800127</v>
      </c>
      <c r="AH66">
        <v>9.6751668943926621</v>
      </c>
      <c r="AI66">
        <f>9.86894831920118*1</f>
        <v>9.8689483192011807</v>
      </c>
      <c r="AJ66">
        <f>1.71187505375195*1</f>
        <v>1.71187505375195</v>
      </c>
      <c r="AK66">
        <v>1</v>
      </c>
      <c r="AL66">
        <v>0</v>
      </c>
      <c r="AM66">
        <v>0</v>
      </c>
    </row>
    <row r="67" spans="1:39" hidden="1" x14ac:dyDescent="0.2">
      <c r="A67" t="s">
        <v>189</v>
      </c>
      <c r="B67" t="s">
        <v>190</v>
      </c>
      <c r="C67" t="s">
        <v>191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4.8</v>
      </c>
      <c r="AE67">
        <v>269</v>
      </c>
      <c r="AF67">
        <v>11.580985488286821</v>
      </c>
      <c r="AG67">
        <v>9.0370083131535388</v>
      </c>
      <c r="AH67">
        <v>12.31646769981405</v>
      </c>
      <c r="AI67">
        <f>8.84790446194109*1</f>
        <v>8.8479044619410896</v>
      </c>
      <c r="AJ67">
        <f>1.76835334236426*1</f>
        <v>1.7683533423642599</v>
      </c>
      <c r="AK67">
        <v>1</v>
      </c>
      <c r="AL67">
        <v>0</v>
      </c>
      <c r="AM67">
        <v>0</v>
      </c>
    </row>
    <row r="68" spans="1:39" hidden="1" x14ac:dyDescent="0.2">
      <c r="A68" t="s">
        <v>192</v>
      </c>
      <c r="B68" t="s">
        <v>193</v>
      </c>
      <c r="C68" t="s">
        <v>193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5.2</v>
      </c>
      <c r="AE68">
        <v>271</v>
      </c>
      <c r="AF68">
        <v>18.000000000000011</v>
      </c>
      <c r="AG68">
        <v>15.76582603359522</v>
      </c>
      <c r="AH68">
        <v>12.39878814759639</v>
      </c>
      <c r="AI68">
        <f>7.64911591451607*1</f>
        <v>7.6491159145160701</v>
      </c>
      <c r="AJ68">
        <f>1.46226507169369*1</f>
        <v>1.46226507169369</v>
      </c>
      <c r="AK68">
        <v>1</v>
      </c>
      <c r="AL68">
        <v>0</v>
      </c>
      <c r="AM68">
        <v>0</v>
      </c>
    </row>
    <row r="69" spans="1:39" hidden="1" x14ac:dyDescent="0.2">
      <c r="A69" t="s">
        <v>194</v>
      </c>
      <c r="B69" t="s">
        <v>195</v>
      </c>
      <c r="C69" t="s">
        <v>195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5.2</v>
      </c>
      <c r="AE69">
        <v>277</v>
      </c>
      <c r="AF69">
        <v>16.411886341614011</v>
      </c>
      <c r="AG69">
        <v>15.029214137751991</v>
      </c>
      <c r="AH69">
        <v>22.036270084055321</v>
      </c>
      <c r="AI69">
        <f>13.9328775709926*1</f>
        <v>13.9328775709926</v>
      </c>
      <c r="AJ69">
        <f>2.7382335920699*1</f>
        <v>2.7382335920698999</v>
      </c>
      <c r="AK69">
        <v>1</v>
      </c>
      <c r="AL69">
        <v>0</v>
      </c>
      <c r="AM69">
        <v>0</v>
      </c>
    </row>
    <row r="70" spans="1:39" x14ac:dyDescent="0.2">
      <c r="A70" t="s">
        <v>282</v>
      </c>
      <c r="B70" t="s">
        <v>283</v>
      </c>
      <c r="C70" t="s">
        <v>282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456</v>
      </c>
      <c r="AF70">
        <v>20.567874997825051</v>
      </c>
      <c r="AG70">
        <v>16.774748297195821</v>
      </c>
      <c r="AH70">
        <v>32.053333333333327</v>
      </c>
      <c r="AI70">
        <f>29.4754622508334*1</f>
        <v>29.475462250833399</v>
      </c>
      <c r="AJ70">
        <f>6.12561003332704*1</f>
        <v>6.1256100333270398</v>
      </c>
      <c r="AK70">
        <v>1</v>
      </c>
      <c r="AL70">
        <v>1</v>
      </c>
      <c r="AM70">
        <v>1</v>
      </c>
    </row>
    <row r="71" spans="1:39" hidden="1" x14ac:dyDescent="0.2">
      <c r="A71" t="s">
        <v>198</v>
      </c>
      <c r="B71" t="s">
        <v>199</v>
      </c>
      <c r="C71" t="s">
        <v>199</v>
      </c>
      <c r="D71" t="s">
        <v>6</v>
      </c>
      <c r="E71">
        <v>0</v>
      </c>
      <c r="F71">
        <v>0</v>
      </c>
      <c r="G71">
        <v>0</v>
      </c>
      <c r="H71">
        <v>1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5.4</v>
      </c>
      <c r="AE71">
        <v>279</v>
      </c>
      <c r="AF71">
        <v>0</v>
      </c>
      <c r="AG71">
        <v>0</v>
      </c>
      <c r="AH71">
        <v>0</v>
      </c>
      <c r="AI71">
        <f>0*1</f>
        <v>0</v>
      </c>
      <c r="AJ71">
        <f>0*1</f>
        <v>0</v>
      </c>
      <c r="AK71">
        <v>1</v>
      </c>
      <c r="AL71">
        <v>0</v>
      </c>
      <c r="AM71">
        <v>0</v>
      </c>
    </row>
    <row r="72" spans="1:39" x14ac:dyDescent="0.2">
      <c r="A72" t="s">
        <v>313</v>
      </c>
      <c r="B72" t="s">
        <v>314</v>
      </c>
      <c r="C72" t="s">
        <v>314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27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5.0999999999999996</v>
      </c>
      <c r="AE72">
        <v>524</v>
      </c>
      <c r="AF72">
        <v>18.369565217391301</v>
      </c>
      <c r="AG72">
        <v>13.07924454034881</v>
      </c>
      <c r="AH72">
        <v>42.833279003072718</v>
      </c>
      <c r="AI72">
        <f>28.368991288265*1</f>
        <v>28.368991288265001</v>
      </c>
      <c r="AJ72">
        <f>5.81748010814308*1</f>
        <v>5.81748010814308</v>
      </c>
      <c r="AK72">
        <v>1</v>
      </c>
      <c r="AL72">
        <v>1</v>
      </c>
      <c r="AM72">
        <v>1</v>
      </c>
    </row>
    <row r="73" spans="1:39" x14ac:dyDescent="0.2">
      <c r="A73" t="s">
        <v>375</v>
      </c>
      <c r="B73" t="s">
        <v>376</v>
      </c>
      <c r="C73" t="s">
        <v>377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31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7.1</v>
      </c>
      <c r="AE73">
        <v>674</v>
      </c>
      <c r="AF73">
        <v>32.740946536434613</v>
      </c>
      <c r="AG73">
        <v>17.58881796525964</v>
      </c>
      <c r="AH73">
        <v>43.445015776071109</v>
      </c>
      <c r="AI73">
        <f>20.4664268842274*1</f>
        <v>20.466426884227399</v>
      </c>
      <c r="AJ73">
        <f>4.03795525086655*1</f>
        <v>4.0379552508665499</v>
      </c>
      <c r="AK73">
        <v>1</v>
      </c>
      <c r="AL73">
        <v>1</v>
      </c>
      <c r="AM73">
        <v>1</v>
      </c>
    </row>
    <row r="74" spans="1:39" hidden="1" x14ac:dyDescent="0.2">
      <c r="A74" t="s">
        <v>204</v>
      </c>
      <c r="B74" t="s">
        <v>205</v>
      </c>
      <c r="C74" t="s">
        <v>205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4.7</v>
      </c>
      <c r="AE74">
        <v>284</v>
      </c>
      <c r="AF74">
        <v>13.22222222222222</v>
      </c>
      <c r="AG74">
        <v>11.55234589989607</v>
      </c>
      <c r="AH74">
        <v>51.091243172086678</v>
      </c>
      <c r="AI74">
        <f>21.369829744494*1</f>
        <v>21.369829744494002</v>
      </c>
      <c r="AJ74">
        <f>4.43221845754297*1</f>
        <v>4.4322184575429704</v>
      </c>
      <c r="AK74">
        <v>1</v>
      </c>
      <c r="AL74">
        <v>0</v>
      </c>
      <c r="AM74">
        <v>0</v>
      </c>
    </row>
    <row r="75" spans="1:39" hidden="1" x14ac:dyDescent="0.2">
      <c r="A75" t="s">
        <v>206</v>
      </c>
      <c r="B75" t="s">
        <v>207</v>
      </c>
      <c r="C75" t="s">
        <v>207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</v>
      </c>
      <c r="AE75">
        <v>291</v>
      </c>
      <c r="AF75">
        <v>9.7500000000000036</v>
      </c>
      <c r="AG75">
        <v>7.8865432502303019</v>
      </c>
      <c r="AH75">
        <v>9.658118709259579</v>
      </c>
      <c r="AI75">
        <f>8.42406546106941*1</f>
        <v>8.4240654610694108</v>
      </c>
      <c r="AJ75">
        <f>1.65667905320629*1</f>
        <v>1.6566790532062901</v>
      </c>
      <c r="AK75">
        <v>1</v>
      </c>
      <c r="AL75">
        <v>0</v>
      </c>
      <c r="AM75">
        <v>0</v>
      </c>
    </row>
    <row r="76" spans="1:39" hidden="1" x14ac:dyDescent="0.2">
      <c r="A76" t="s">
        <v>208</v>
      </c>
      <c r="B76" t="s">
        <v>209</v>
      </c>
      <c r="C76" t="s">
        <v>208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</v>
      </c>
      <c r="AE76">
        <v>297</v>
      </c>
      <c r="AF76">
        <v>17.176470588235301</v>
      </c>
      <c r="AG76">
        <v>18.244606940302749</v>
      </c>
      <c r="AH76">
        <v>12.625</v>
      </c>
      <c r="AI76">
        <f>8.74466278619253*1</f>
        <v>8.7446627861925297</v>
      </c>
      <c r="AJ76">
        <f>1.73206613924404*1</f>
        <v>1.73206613924404</v>
      </c>
      <c r="AK76">
        <v>1</v>
      </c>
      <c r="AL76">
        <v>0</v>
      </c>
      <c r="AM76">
        <v>0</v>
      </c>
    </row>
    <row r="77" spans="1:39" hidden="1" x14ac:dyDescent="0.2">
      <c r="A77" t="s">
        <v>210</v>
      </c>
      <c r="B77" t="s">
        <v>211</v>
      </c>
      <c r="C77" t="s">
        <v>211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298</v>
      </c>
      <c r="AF77">
        <v>10.58129800096672</v>
      </c>
      <c r="AG77">
        <v>9.21070460652696</v>
      </c>
      <c r="AH77">
        <v>12.20752257817716</v>
      </c>
      <c r="AI77">
        <f>9.41447253099386*1</f>
        <v>9.4144725309938604</v>
      </c>
      <c r="AJ77">
        <f>1.63522799512933*1</f>
        <v>1.63522799512933</v>
      </c>
      <c r="AK77">
        <v>1</v>
      </c>
      <c r="AL77">
        <v>0</v>
      </c>
      <c r="AM77">
        <v>0</v>
      </c>
    </row>
    <row r="78" spans="1:39" hidden="1" x14ac:dyDescent="0.2">
      <c r="A78" t="s">
        <v>212</v>
      </c>
      <c r="B78" t="s">
        <v>213</v>
      </c>
      <c r="C78" t="s">
        <v>213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5.8</v>
      </c>
      <c r="AE78">
        <v>304</v>
      </c>
      <c r="AF78">
        <v>19.391384363182059</v>
      </c>
      <c r="AG78">
        <v>12.764651363222921</v>
      </c>
      <c r="AH78">
        <v>12.1699120435055</v>
      </c>
      <c r="AI78">
        <f>15.1729307758629*1</f>
        <v>15.1729307758629</v>
      </c>
      <c r="AJ78">
        <f>3.05840168483368*1</f>
        <v>3.0584016848336799</v>
      </c>
      <c r="AK78">
        <v>1</v>
      </c>
      <c r="AL78">
        <v>0</v>
      </c>
      <c r="AM78">
        <v>0</v>
      </c>
    </row>
    <row r="79" spans="1:39" hidden="1" x14ac:dyDescent="0.2">
      <c r="A79" t="s">
        <v>214</v>
      </c>
      <c r="B79" t="s">
        <v>215</v>
      </c>
      <c r="C79" t="s">
        <v>215</v>
      </c>
      <c r="D79" t="s">
        <v>3</v>
      </c>
      <c r="E79">
        <v>1</v>
      </c>
      <c r="F79">
        <v>0</v>
      </c>
      <c r="G79">
        <v>0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</v>
      </c>
      <c r="AE79">
        <v>305</v>
      </c>
      <c r="AF79">
        <v>17.794190582782711</v>
      </c>
      <c r="AG79">
        <v>18.568544197719799</v>
      </c>
      <c r="AH79">
        <v>17.94159973052346</v>
      </c>
      <c r="AI79">
        <f>14.8143080044061*1</f>
        <v>14.814308004406101</v>
      </c>
      <c r="AJ79">
        <f>2.92521515428105*1</f>
        <v>2.9252151542810498</v>
      </c>
      <c r="AK79">
        <v>1</v>
      </c>
      <c r="AL79">
        <v>0</v>
      </c>
      <c r="AM79">
        <v>0</v>
      </c>
    </row>
    <row r="80" spans="1:39" hidden="1" x14ac:dyDescent="0.2">
      <c r="A80" t="s">
        <v>216</v>
      </c>
      <c r="B80" t="s">
        <v>217</v>
      </c>
      <c r="C80" t="s">
        <v>218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5.5</v>
      </c>
      <c r="AE80">
        <v>308</v>
      </c>
      <c r="AF80">
        <v>16.849607134704598</v>
      </c>
      <c r="AG80">
        <v>19.005857390404049</v>
      </c>
      <c r="AH80">
        <v>18.145497835497839</v>
      </c>
      <c r="AI80">
        <f>9.45521165865707*1</f>
        <v>9.4552116586570705</v>
      </c>
      <c r="AJ80">
        <f>1.98303725485067*1</f>
        <v>1.9830372548506701</v>
      </c>
      <c r="AK80">
        <v>1</v>
      </c>
      <c r="AL80">
        <v>0</v>
      </c>
      <c r="AM80">
        <v>0</v>
      </c>
    </row>
    <row r="81" spans="1:39" hidden="1" x14ac:dyDescent="0.2">
      <c r="A81" t="s">
        <v>219</v>
      </c>
      <c r="B81" t="s">
        <v>220</v>
      </c>
      <c r="C81" t="s">
        <v>219</v>
      </c>
      <c r="D81" t="s">
        <v>6</v>
      </c>
      <c r="E81">
        <v>0</v>
      </c>
      <c r="F81">
        <v>0</v>
      </c>
      <c r="G81">
        <v>0</v>
      </c>
      <c r="H81">
        <v>1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5.5</v>
      </c>
      <c r="AE81">
        <v>309</v>
      </c>
      <c r="AF81">
        <v>17.5315506495661</v>
      </c>
      <c r="AG81">
        <v>19.815599154519919</v>
      </c>
      <c r="AH81">
        <v>5.4278948338669686</v>
      </c>
      <c r="AI81">
        <f>6.1872136288293*1</f>
        <v>6.1872136288292996</v>
      </c>
      <c r="AJ81">
        <f>1.20770540570531*1</f>
        <v>1.20770540570531</v>
      </c>
      <c r="AK81">
        <v>1</v>
      </c>
      <c r="AL81">
        <v>0</v>
      </c>
      <c r="AM81">
        <v>0</v>
      </c>
    </row>
    <row r="82" spans="1:39" hidden="1" x14ac:dyDescent="0.2">
      <c r="A82" t="s">
        <v>221</v>
      </c>
      <c r="B82" t="s">
        <v>222</v>
      </c>
      <c r="C82" t="s">
        <v>222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4.9000000000000004</v>
      </c>
      <c r="AE82">
        <v>312</v>
      </c>
      <c r="AF82">
        <v>13.391304347826081</v>
      </c>
      <c r="AG82">
        <v>12.125119317821349</v>
      </c>
      <c r="AH82">
        <v>22.804658055884762</v>
      </c>
      <c r="AI82">
        <f>16.7780719307873*1</f>
        <v>16.778071930787299</v>
      </c>
      <c r="AJ82">
        <f>3.41150195160951*1</f>
        <v>3.4115019516095102</v>
      </c>
      <c r="AK82">
        <v>1</v>
      </c>
      <c r="AL82">
        <v>0</v>
      </c>
      <c r="AM82">
        <v>0</v>
      </c>
    </row>
    <row r="83" spans="1:39" hidden="1" x14ac:dyDescent="0.2">
      <c r="A83" t="s">
        <v>223</v>
      </c>
      <c r="B83" t="s">
        <v>224</v>
      </c>
      <c r="C83" t="s">
        <v>224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</v>
      </c>
      <c r="AE83">
        <v>314</v>
      </c>
      <c r="AF83">
        <v>11.53737424753761</v>
      </c>
      <c r="AG83">
        <v>12.42960339540449</v>
      </c>
      <c r="AH83">
        <v>17.762061974684109</v>
      </c>
      <c r="AI83">
        <f>8.38452891414876*1</f>
        <v>8.3845289141487598</v>
      </c>
      <c r="AJ83">
        <f>1.39993660681087*1</f>
        <v>1.3999366068108701</v>
      </c>
      <c r="AK83">
        <v>1</v>
      </c>
      <c r="AL83">
        <v>0</v>
      </c>
      <c r="AM83">
        <v>0</v>
      </c>
    </row>
    <row r="84" spans="1:39" hidden="1" x14ac:dyDescent="0.2">
      <c r="A84" t="s">
        <v>225</v>
      </c>
      <c r="B84" t="s">
        <v>226</v>
      </c>
      <c r="C84" t="s">
        <v>226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5.2</v>
      </c>
      <c r="AE84">
        <v>316</v>
      </c>
      <c r="AF84">
        <v>13.3644859813084</v>
      </c>
      <c r="AG84">
        <v>13.30515134983723</v>
      </c>
      <c r="AH84">
        <v>15.281818805565051</v>
      </c>
      <c r="AI84">
        <f>18.6515931640329*1</f>
        <v>18.651593164032899</v>
      </c>
      <c r="AJ84">
        <f>3.78327966486496*1</f>
        <v>3.7832796648649598</v>
      </c>
      <c r="AK84">
        <v>1</v>
      </c>
      <c r="AL84">
        <v>0</v>
      </c>
      <c r="AM84">
        <v>0</v>
      </c>
    </row>
    <row r="85" spans="1:39" hidden="1" x14ac:dyDescent="0.2">
      <c r="A85" t="s">
        <v>227</v>
      </c>
      <c r="B85" t="s">
        <v>228</v>
      </c>
      <c r="C85" t="s">
        <v>228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5.0999999999999996</v>
      </c>
      <c r="AE85">
        <v>328</v>
      </c>
      <c r="AF85">
        <v>0</v>
      </c>
      <c r="AG85">
        <v>0</v>
      </c>
      <c r="AH85">
        <v>0</v>
      </c>
      <c r="AI85">
        <f>0*1</f>
        <v>0</v>
      </c>
      <c r="AJ85">
        <f>0*1</f>
        <v>0</v>
      </c>
      <c r="AK85">
        <v>1</v>
      </c>
      <c r="AL85">
        <v>0</v>
      </c>
      <c r="AM85">
        <v>0</v>
      </c>
    </row>
    <row r="86" spans="1:39" hidden="1" x14ac:dyDescent="0.2">
      <c r="A86" t="s">
        <v>229</v>
      </c>
      <c r="B86" t="s">
        <v>230</v>
      </c>
      <c r="C86" t="s">
        <v>230</v>
      </c>
      <c r="D86" t="s">
        <v>3</v>
      </c>
      <c r="E86">
        <v>1</v>
      </c>
      <c r="F86">
        <v>0</v>
      </c>
      <c r="G86">
        <v>0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4.4000000000000004</v>
      </c>
      <c r="AE86">
        <v>349</v>
      </c>
      <c r="AF86">
        <v>17.062433811228619</v>
      </c>
      <c r="AG86">
        <v>35.502141268812302</v>
      </c>
      <c r="AH86">
        <v>13.443187670029779</v>
      </c>
      <c r="AI86">
        <f>10.631722984956*1</f>
        <v>10.631722984955999</v>
      </c>
      <c r="AJ86">
        <f>1.73971204088367*1</f>
        <v>1.7397120408836699</v>
      </c>
      <c r="AK86">
        <v>1</v>
      </c>
      <c r="AL86">
        <v>0</v>
      </c>
      <c r="AM86">
        <v>0</v>
      </c>
    </row>
    <row r="87" spans="1:39" hidden="1" x14ac:dyDescent="0.2">
      <c r="A87" t="s">
        <v>231</v>
      </c>
      <c r="B87" t="s">
        <v>232</v>
      </c>
      <c r="C87" t="s">
        <v>232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5.8</v>
      </c>
      <c r="AE87">
        <v>351</v>
      </c>
      <c r="AF87">
        <v>0</v>
      </c>
      <c r="AG87">
        <v>0</v>
      </c>
      <c r="AH87">
        <v>0</v>
      </c>
      <c r="AI87">
        <f>0*1</f>
        <v>0</v>
      </c>
      <c r="AJ87">
        <f>0*1</f>
        <v>0</v>
      </c>
      <c r="AK87">
        <v>1</v>
      </c>
      <c r="AL87">
        <v>0</v>
      </c>
      <c r="AM87">
        <v>0</v>
      </c>
    </row>
    <row r="88" spans="1:39" hidden="1" x14ac:dyDescent="0.2">
      <c r="A88" t="s">
        <v>233</v>
      </c>
      <c r="B88" t="s">
        <v>234</v>
      </c>
      <c r="C88" t="s">
        <v>234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4.9000000000000004</v>
      </c>
      <c r="AE88">
        <v>356</v>
      </c>
      <c r="AF88">
        <v>12.843137254901951</v>
      </c>
      <c r="AG88">
        <v>11.583677938698759</v>
      </c>
      <c r="AH88">
        <v>6.9047344322344317</v>
      </c>
      <c r="AI88">
        <f>7.52456836859626*1</f>
        <v>7.5245683685962597</v>
      </c>
      <c r="AJ88">
        <f>1.47694993222193*1</f>
        <v>1.4769499322219299</v>
      </c>
      <c r="AK88">
        <v>1</v>
      </c>
      <c r="AL88">
        <v>0</v>
      </c>
      <c r="AM88">
        <v>0</v>
      </c>
    </row>
    <row r="89" spans="1:39" hidden="1" x14ac:dyDescent="0.2">
      <c r="A89" t="s">
        <v>200</v>
      </c>
      <c r="B89" t="s">
        <v>235</v>
      </c>
      <c r="C89" t="s">
        <v>236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5.2</v>
      </c>
      <c r="AE89">
        <v>357</v>
      </c>
      <c r="AF89">
        <v>13.975609756097571</v>
      </c>
      <c r="AG89">
        <v>13.449490963290261</v>
      </c>
      <c r="AH89">
        <v>15.02301883622701</v>
      </c>
      <c r="AI89">
        <f>12.0312230216618*1</f>
        <v>12.0312230216618</v>
      </c>
      <c r="AJ89">
        <f>2.41849777914022*1</f>
        <v>2.4184977791402198</v>
      </c>
      <c r="AK89">
        <v>1</v>
      </c>
      <c r="AL89">
        <v>0</v>
      </c>
      <c r="AM89">
        <v>0</v>
      </c>
    </row>
    <row r="90" spans="1:39" hidden="1" x14ac:dyDescent="0.2">
      <c r="A90" t="s">
        <v>237</v>
      </c>
      <c r="B90" t="s">
        <v>238</v>
      </c>
      <c r="C90" t="s">
        <v>238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5.2</v>
      </c>
      <c r="AE90">
        <v>364</v>
      </c>
      <c r="AF90">
        <v>15.08565751459844</v>
      </c>
      <c r="AG90">
        <v>16.957988423711299</v>
      </c>
      <c r="AH90">
        <v>6.0019240815943613</v>
      </c>
      <c r="AI90">
        <f>10.4555203109378*1</f>
        <v>10.4555203109378</v>
      </c>
      <c r="AJ90">
        <f>2.24895233575831*1</f>
        <v>2.2489523357583101</v>
      </c>
      <c r="AK90">
        <v>1</v>
      </c>
      <c r="AL90">
        <v>0</v>
      </c>
      <c r="AM90">
        <v>0</v>
      </c>
    </row>
    <row r="91" spans="1:39" hidden="1" x14ac:dyDescent="0.2">
      <c r="A91" t="s">
        <v>239</v>
      </c>
      <c r="B91" t="s">
        <v>240</v>
      </c>
      <c r="C91" t="s">
        <v>240</v>
      </c>
      <c r="D91" t="s">
        <v>3</v>
      </c>
      <c r="E91">
        <v>1</v>
      </c>
      <c r="F91">
        <v>0</v>
      </c>
      <c r="G91">
        <v>0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367</v>
      </c>
      <c r="AF91">
        <v>0</v>
      </c>
      <c r="AG91">
        <v>0</v>
      </c>
      <c r="AH91">
        <v>0</v>
      </c>
      <c r="AI91">
        <f>0*1</f>
        <v>0</v>
      </c>
      <c r="AJ91">
        <f>0*1</f>
        <v>0</v>
      </c>
      <c r="AK91">
        <v>1</v>
      </c>
      <c r="AL91">
        <v>0</v>
      </c>
      <c r="AM91">
        <v>0</v>
      </c>
    </row>
    <row r="92" spans="1:39" hidden="1" x14ac:dyDescent="0.2">
      <c r="A92" t="s">
        <v>241</v>
      </c>
      <c r="B92" t="s">
        <v>242</v>
      </c>
      <c r="C92" t="s">
        <v>242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5.0999999999999996</v>
      </c>
      <c r="AE92">
        <v>372</v>
      </c>
      <c r="AF92">
        <v>0</v>
      </c>
      <c r="AG92">
        <v>0</v>
      </c>
      <c r="AH92">
        <v>0</v>
      </c>
      <c r="AI92">
        <f>0*1</f>
        <v>0</v>
      </c>
      <c r="AJ92">
        <f>0*1</f>
        <v>0</v>
      </c>
      <c r="AK92">
        <v>1</v>
      </c>
      <c r="AL92">
        <v>0</v>
      </c>
      <c r="AM92">
        <v>0</v>
      </c>
    </row>
    <row r="93" spans="1:39" hidden="1" x14ac:dyDescent="0.2">
      <c r="A93" t="s">
        <v>243</v>
      </c>
      <c r="B93" t="s">
        <v>244</v>
      </c>
      <c r="C93" t="s">
        <v>244</v>
      </c>
      <c r="D93" t="s">
        <v>6</v>
      </c>
      <c r="E93">
        <v>0</v>
      </c>
      <c r="F93">
        <v>0</v>
      </c>
      <c r="G93">
        <v>0</v>
      </c>
      <c r="H93">
        <v>1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5.6</v>
      </c>
      <c r="AE93">
        <v>380</v>
      </c>
      <c r="AF93">
        <v>18.2387402753684</v>
      </c>
      <c r="AG93">
        <v>24.013344815694531</v>
      </c>
      <c r="AH93">
        <v>15.506757695397519</v>
      </c>
      <c r="AI93">
        <f>20.5929495728828*0.75</f>
        <v>15.444712179662101</v>
      </c>
      <c r="AJ93">
        <f>3.84513490395049*0.75</f>
        <v>2.8838511779628675</v>
      </c>
      <c r="AK93">
        <v>0.75</v>
      </c>
      <c r="AL93">
        <v>0</v>
      </c>
      <c r="AM93">
        <v>0</v>
      </c>
    </row>
    <row r="94" spans="1:39" hidden="1" x14ac:dyDescent="0.2">
      <c r="A94" t="s">
        <v>245</v>
      </c>
      <c r="B94" t="s">
        <v>246</v>
      </c>
      <c r="C94" t="s">
        <v>246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4.8</v>
      </c>
      <c r="AE94">
        <v>388</v>
      </c>
      <c r="AF94">
        <v>0</v>
      </c>
      <c r="AG94">
        <v>0</v>
      </c>
      <c r="AH94">
        <v>0</v>
      </c>
      <c r="AI94">
        <f>0*1</f>
        <v>0</v>
      </c>
      <c r="AJ94">
        <f>0*1</f>
        <v>0</v>
      </c>
      <c r="AK94">
        <v>1</v>
      </c>
      <c r="AL94">
        <v>0</v>
      </c>
      <c r="AM94">
        <v>0</v>
      </c>
    </row>
    <row r="95" spans="1:39" hidden="1" x14ac:dyDescent="0.2">
      <c r="A95" t="s">
        <v>247</v>
      </c>
      <c r="B95" t="s">
        <v>248</v>
      </c>
      <c r="C95" t="s">
        <v>248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7.1</v>
      </c>
      <c r="AE95">
        <v>391</v>
      </c>
      <c r="AF95">
        <v>25.047387776129941</v>
      </c>
      <c r="AG95">
        <v>28.960684194376011</v>
      </c>
      <c r="AH95">
        <v>20.978136568939028</v>
      </c>
      <c r="AI95">
        <f>10.547946790821*1</f>
        <v>10.547946790820999</v>
      </c>
      <c r="AJ95">
        <f>1.86847109049034*1</f>
        <v>1.8684710904903401</v>
      </c>
      <c r="AK95">
        <v>1</v>
      </c>
      <c r="AL95">
        <v>0</v>
      </c>
      <c r="AM95">
        <v>0</v>
      </c>
    </row>
    <row r="96" spans="1:39" hidden="1" x14ac:dyDescent="0.2">
      <c r="A96" t="s">
        <v>249</v>
      </c>
      <c r="B96" t="s">
        <v>250</v>
      </c>
      <c r="C96" t="s">
        <v>250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7.2</v>
      </c>
      <c r="AE96">
        <v>400</v>
      </c>
      <c r="AF96">
        <v>14.98914864905802</v>
      </c>
      <c r="AG96">
        <v>15.4388372518615</v>
      </c>
      <c r="AH96">
        <v>37.285711415021758</v>
      </c>
      <c r="AI96">
        <f>22.4114734793712*1</f>
        <v>22.4114734793712</v>
      </c>
      <c r="AJ96">
        <f>3.61525829931057*1</f>
        <v>3.61525829931057</v>
      </c>
      <c r="AK96">
        <v>1</v>
      </c>
      <c r="AL96">
        <v>0</v>
      </c>
      <c r="AM96">
        <v>0</v>
      </c>
    </row>
    <row r="97" spans="1:39" hidden="1" x14ac:dyDescent="0.2">
      <c r="A97" t="s">
        <v>251</v>
      </c>
      <c r="B97" t="s">
        <v>252</v>
      </c>
      <c r="C97" t="s">
        <v>252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5.3</v>
      </c>
      <c r="AE97">
        <v>403</v>
      </c>
      <c r="AF97">
        <v>11.64948453608247</v>
      </c>
      <c r="AG97">
        <v>9.6334967841601014</v>
      </c>
      <c r="AH97">
        <v>21.361015198252041</v>
      </c>
      <c r="AI97">
        <f>3.58394260156996*1</f>
        <v>3.58394260156996</v>
      </c>
      <c r="AJ97">
        <f>0.844621528269955*1</f>
        <v>0.84462152826995496</v>
      </c>
      <c r="AK97">
        <v>1</v>
      </c>
      <c r="AL97">
        <v>0</v>
      </c>
      <c r="AM97">
        <v>0</v>
      </c>
    </row>
    <row r="98" spans="1:39" hidden="1" x14ac:dyDescent="0.2">
      <c r="A98" t="s">
        <v>253</v>
      </c>
      <c r="B98" t="s">
        <v>254</v>
      </c>
      <c r="C98" t="s">
        <v>255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7.5</v>
      </c>
      <c r="AE98">
        <v>406</v>
      </c>
      <c r="AF98">
        <v>20.12987012987012</v>
      </c>
      <c r="AG98">
        <v>12.96051328425613</v>
      </c>
      <c r="AH98">
        <v>24.505215530656709</v>
      </c>
      <c r="AI98">
        <f>10.6686187510209*1</f>
        <v>10.668618751020899</v>
      </c>
      <c r="AJ98">
        <f>2.10415244027012*1</f>
        <v>2.1041524402701199</v>
      </c>
      <c r="AK98">
        <v>1</v>
      </c>
      <c r="AL98">
        <v>0</v>
      </c>
      <c r="AM98">
        <v>0</v>
      </c>
    </row>
    <row r="99" spans="1:39" x14ac:dyDescent="0.2">
      <c r="A99" t="s">
        <v>179</v>
      </c>
      <c r="B99" t="s">
        <v>180</v>
      </c>
      <c r="C99" t="s">
        <v>181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5.8</v>
      </c>
      <c r="AE99">
        <v>255</v>
      </c>
      <c r="AF99">
        <v>23.382422407053902</v>
      </c>
      <c r="AG99">
        <v>12.213712786916769</v>
      </c>
      <c r="AH99">
        <v>20.02178425734812</v>
      </c>
      <c r="AI99">
        <f>21.8072419179369*1</f>
        <v>21.807241917936899</v>
      </c>
      <c r="AJ99">
        <f>3.53158750228108*1</f>
        <v>3.5315875022810799</v>
      </c>
      <c r="AK99">
        <v>1</v>
      </c>
      <c r="AL99">
        <v>1</v>
      </c>
      <c r="AM99">
        <v>1</v>
      </c>
    </row>
    <row r="100" spans="1:39" hidden="1" x14ac:dyDescent="0.2">
      <c r="A100" t="s">
        <v>259</v>
      </c>
      <c r="B100" t="s">
        <v>260</v>
      </c>
      <c r="C100" t="s">
        <v>260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6.2</v>
      </c>
      <c r="AE100">
        <v>408</v>
      </c>
      <c r="AF100">
        <v>15.708088218690371</v>
      </c>
      <c r="AG100">
        <v>15.635921306823169</v>
      </c>
      <c r="AH100">
        <v>23.013218510768379</v>
      </c>
      <c r="AI100">
        <f>14.7588517404716*1</f>
        <v>14.7588517404716</v>
      </c>
      <c r="AJ100">
        <f>3.17341333826952*1</f>
        <v>3.17341333826952</v>
      </c>
      <c r="AK100">
        <v>1</v>
      </c>
      <c r="AL100">
        <v>0</v>
      </c>
      <c r="AM100">
        <v>0</v>
      </c>
    </row>
    <row r="101" spans="1:39" hidden="1" x14ac:dyDescent="0.2">
      <c r="A101" t="s">
        <v>261</v>
      </c>
      <c r="B101" t="s">
        <v>262</v>
      </c>
      <c r="C101" t="s">
        <v>262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6.3</v>
      </c>
      <c r="AE101">
        <v>415</v>
      </c>
      <c r="AF101">
        <v>16.122448979591841</v>
      </c>
      <c r="AG101">
        <v>12.06187303272525</v>
      </c>
      <c r="AH101">
        <v>36.261726719969452</v>
      </c>
      <c r="AI101">
        <f>17.1194172370723*1</f>
        <v>17.119417237072302</v>
      </c>
      <c r="AJ101">
        <f>3.32382942641361*1</f>
        <v>3.3238294264136101</v>
      </c>
      <c r="AK101">
        <v>1</v>
      </c>
      <c r="AL101">
        <v>0</v>
      </c>
      <c r="AM101">
        <v>0</v>
      </c>
    </row>
    <row r="102" spans="1:39" hidden="1" x14ac:dyDescent="0.2">
      <c r="A102" t="s">
        <v>263</v>
      </c>
      <c r="B102" t="s">
        <v>264</v>
      </c>
      <c r="C102" t="s">
        <v>263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6.5</v>
      </c>
      <c r="AE102">
        <v>417</v>
      </c>
      <c r="AF102">
        <v>19.888484455521471</v>
      </c>
      <c r="AG102">
        <v>22.119141648067728</v>
      </c>
      <c r="AH102">
        <v>8.4083902355734992</v>
      </c>
      <c r="AI102">
        <f>11.0290881160363*1</f>
        <v>11.0290881160363</v>
      </c>
      <c r="AJ102">
        <f>1.87262398324569*1</f>
        <v>1.8726239832456899</v>
      </c>
      <c r="AK102">
        <v>1</v>
      </c>
      <c r="AL102">
        <v>0</v>
      </c>
      <c r="AM102">
        <v>0</v>
      </c>
    </row>
    <row r="103" spans="1:39" hidden="1" x14ac:dyDescent="0.2">
      <c r="A103" t="s">
        <v>265</v>
      </c>
      <c r="B103" t="s">
        <v>266</v>
      </c>
      <c r="C103" t="s">
        <v>265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6.3</v>
      </c>
      <c r="AE103">
        <v>425</v>
      </c>
      <c r="AF103">
        <v>19.604293608385561</v>
      </c>
      <c r="AG103">
        <v>21.776166890122258</v>
      </c>
      <c r="AH103">
        <v>20.324533859185269</v>
      </c>
      <c r="AI103">
        <f>16.7028623851159*1</f>
        <v>16.7028623851159</v>
      </c>
      <c r="AJ103">
        <f>3.62431251110937*1</f>
        <v>3.6243125111093701</v>
      </c>
      <c r="AK103">
        <v>1</v>
      </c>
      <c r="AL103">
        <v>0</v>
      </c>
      <c r="AM103">
        <v>0</v>
      </c>
    </row>
    <row r="104" spans="1:39" hidden="1" x14ac:dyDescent="0.2">
      <c r="A104" t="s">
        <v>267</v>
      </c>
      <c r="B104" t="s">
        <v>268</v>
      </c>
      <c r="C104" t="s">
        <v>268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6.2</v>
      </c>
      <c r="AE104">
        <v>429</v>
      </c>
      <c r="AF104">
        <v>17.195121951219519</v>
      </c>
      <c r="AG104">
        <v>20.343095611579979</v>
      </c>
      <c r="AH104">
        <v>13.63053938477759</v>
      </c>
      <c r="AI104">
        <f>19.625059543795*1</f>
        <v>19.625059543795</v>
      </c>
      <c r="AJ104">
        <f>3.24979716434557*1</f>
        <v>3.2497971643455701</v>
      </c>
      <c r="AK104">
        <v>1</v>
      </c>
      <c r="AL104">
        <v>0</v>
      </c>
      <c r="AM104">
        <v>0</v>
      </c>
    </row>
    <row r="105" spans="1:39" hidden="1" x14ac:dyDescent="0.2">
      <c r="A105" t="s">
        <v>269</v>
      </c>
      <c r="B105" t="s">
        <v>270</v>
      </c>
      <c r="C105" t="s">
        <v>271</v>
      </c>
      <c r="D105" t="s">
        <v>3</v>
      </c>
      <c r="E105">
        <v>1</v>
      </c>
      <c r="F105">
        <v>0</v>
      </c>
      <c r="G105">
        <v>0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5.3</v>
      </c>
      <c r="AE105">
        <v>430</v>
      </c>
      <c r="AF105">
        <v>16.045089625927481</v>
      </c>
      <c r="AG105">
        <v>19.219832983333401</v>
      </c>
      <c r="AH105">
        <v>4.583816738816739</v>
      </c>
      <c r="AI105">
        <f>5.4788536103113*1</f>
        <v>5.4788536103113001</v>
      </c>
      <c r="AJ105">
        <f>1.05211440141624*1</f>
        <v>1.05211440141624</v>
      </c>
      <c r="AK105">
        <v>1</v>
      </c>
      <c r="AL105">
        <v>0</v>
      </c>
      <c r="AM105">
        <v>0</v>
      </c>
    </row>
    <row r="106" spans="1:39" hidden="1" x14ac:dyDescent="0.2">
      <c r="A106" t="s">
        <v>272</v>
      </c>
      <c r="B106" t="s">
        <v>273</v>
      </c>
      <c r="C106" t="s">
        <v>273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9.1999999999999993</v>
      </c>
      <c r="AE106">
        <v>431</v>
      </c>
      <c r="AF106">
        <v>20.653996203120141</v>
      </c>
      <c r="AG106">
        <v>20.343074508899338</v>
      </c>
      <c r="AH106">
        <v>30.364868508491739</v>
      </c>
      <c r="AI106">
        <f>8.90208036317545*1</f>
        <v>8.9020803631754504</v>
      </c>
      <c r="AJ106">
        <f>1.42830333114349*1</f>
        <v>1.4283033311434901</v>
      </c>
      <c r="AK106">
        <v>1</v>
      </c>
      <c r="AL106">
        <v>0</v>
      </c>
      <c r="AM106">
        <v>0</v>
      </c>
    </row>
    <row r="107" spans="1:39" hidden="1" x14ac:dyDescent="0.2">
      <c r="A107" t="s">
        <v>274</v>
      </c>
      <c r="B107" t="s">
        <v>275</v>
      </c>
      <c r="C107" t="s">
        <v>275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</v>
      </c>
      <c r="AE107">
        <v>433</v>
      </c>
      <c r="AF107">
        <v>19.09090909090909</v>
      </c>
      <c r="AG107">
        <v>16.515187701806411</v>
      </c>
      <c r="AH107">
        <v>15.592707280750391</v>
      </c>
      <c r="AI107">
        <f>9.17586730988069*1</f>
        <v>9.1758673098806902</v>
      </c>
      <c r="AJ107">
        <f>1.60505587551058*1</f>
        <v>1.6050558755105799</v>
      </c>
      <c r="AK107">
        <v>1</v>
      </c>
      <c r="AL107">
        <v>0</v>
      </c>
      <c r="AM107">
        <v>0</v>
      </c>
    </row>
    <row r="108" spans="1:39" hidden="1" x14ac:dyDescent="0.2">
      <c r="A108" t="s">
        <v>276</v>
      </c>
      <c r="B108" t="s">
        <v>277</v>
      </c>
      <c r="C108" t="s">
        <v>277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14.8</v>
      </c>
      <c r="AE108">
        <v>434</v>
      </c>
      <c r="AF108">
        <v>36.666666666666657</v>
      </c>
      <c r="AG108">
        <v>51.430759401186741</v>
      </c>
      <c r="AH108">
        <v>18.42800499107668</v>
      </c>
      <c r="AI108">
        <f>14.8755431279327*1</f>
        <v>14.8755431279327</v>
      </c>
      <c r="AJ108">
        <f>2.82570927991631*1</f>
        <v>2.8257092799163099</v>
      </c>
      <c r="AK108">
        <v>1</v>
      </c>
      <c r="AL108">
        <v>0</v>
      </c>
      <c r="AM108">
        <v>0</v>
      </c>
    </row>
    <row r="109" spans="1:39" hidden="1" x14ac:dyDescent="0.2">
      <c r="A109" t="s">
        <v>278</v>
      </c>
      <c r="B109" t="s">
        <v>279</v>
      </c>
      <c r="C109" t="s">
        <v>279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5.4</v>
      </c>
      <c r="AE109">
        <v>437</v>
      </c>
      <c r="AF109">
        <v>12.32558139534884</v>
      </c>
      <c r="AG109">
        <v>8.905456683210387</v>
      </c>
      <c r="AH109">
        <v>8.6999999999999993</v>
      </c>
      <c r="AI109">
        <f>4.88825281723686*1</f>
        <v>4.88825281723686</v>
      </c>
      <c r="AJ109">
        <f>0.925565789680377*1</f>
        <v>0.92556578968037695</v>
      </c>
      <c r="AK109">
        <v>1</v>
      </c>
      <c r="AL109">
        <v>0</v>
      </c>
      <c r="AM109">
        <v>0</v>
      </c>
    </row>
    <row r="110" spans="1:39" hidden="1" x14ac:dyDescent="0.2">
      <c r="A110" t="s">
        <v>280</v>
      </c>
      <c r="B110" t="s">
        <v>281</v>
      </c>
      <c r="C110" t="s">
        <v>280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5.4</v>
      </c>
      <c r="AE110">
        <v>443</v>
      </c>
      <c r="AF110">
        <v>14.30769230769231</v>
      </c>
      <c r="AG110">
        <v>19.307005557065409</v>
      </c>
      <c r="AH110">
        <v>9.2011925259614333</v>
      </c>
      <c r="AI110">
        <f>9.53706228749984*1</f>
        <v>9.5370622874998396</v>
      </c>
      <c r="AJ110">
        <f>2.1629520564231*1</f>
        <v>2.1629520564231002</v>
      </c>
      <c r="AK110">
        <v>1</v>
      </c>
      <c r="AL110">
        <v>0</v>
      </c>
      <c r="AM110">
        <v>0</v>
      </c>
    </row>
    <row r="111" spans="1:39" x14ac:dyDescent="0.2">
      <c r="A111" t="s">
        <v>125</v>
      </c>
      <c r="B111" t="s">
        <v>300</v>
      </c>
      <c r="C111" t="s">
        <v>300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4.7</v>
      </c>
      <c r="AE111">
        <v>498</v>
      </c>
      <c r="AF111">
        <v>14.04761904761904</v>
      </c>
      <c r="AG111">
        <v>12.536152882056969</v>
      </c>
      <c r="AH111">
        <v>38</v>
      </c>
      <c r="AI111">
        <f>17.92492995572*1</f>
        <v>17.92492995572</v>
      </c>
      <c r="AJ111">
        <f>3.47755971674996*1</f>
        <v>3.4775597167499601</v>
      </c>
      <c r="AK111">
        <v>1</v>
      </c>
      <c r="AL111">
        <v>1</v>
      </c>
      <c r="AM111">
        <v>1</v>
      </c>
    </row>
    <row r="112" spans="1:39" hidden="1" x14ac:dyDescent="0.2">
      <c r="A112" t="s">
        <v>284</v>
      </c>
      <c r="B112" t="s">
        <v>285</v>
      </c>
      <c r="C112" t="s">
        <v>286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8.4</v>
      </c>
      <c r="AE112">
        <v>458</v>
      </c>
      <c r="AF112">
        <v>22.823529411764699</v>
      </c>
      <c r="AG112">
        <v>24.548360154601561</v>
      </c>
      <c r="AH112">
        <v>9.8081703395980355</v>
      </c>
      <c r="AI112">
        <f>33.8482746888612*0</f>
        <v>0</v>
      </c>
      <c r="AJ112">
        <f>5.69306104080281*0</f>
        <v>0</v>
      </c>
      <c r="AK112">
        <v>0</v>
      </c>
      <c r="AL112">
        <v>0</v>
      </c>
      <c r="AM112">
        <v>0</v>
      </c>
    </row>
    <row r="113" spans="1:39" hidden="1" x14ac:dyDescent="0.2">
      <c r="A113" t="s">
        <v>287</v>
      </c>
      <c r="B113" t="s">
        <v>288</v>
      </c>
      <c r="C113" t="s">
        <v>288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6.9</v>
      </c>
      <c r="AE113">
        <v>467</v>
      </c>
      <c r="AF113">
        <v>16.37193968461365</v>
      </c>
      <c r="AG113">
        <v>20.364203957630949</v>
      </c>
      <c r="AH113">
        <v>10.462088784231639</v>
      </c>
      <c r="AI113">
        <f>7.77607417488218*1</f>
        <v>7.7760741748821802</v>
      </c>
      <c r="AJ113">
        <f>1.29135390812457*1</f>
        <v>1.29135390812457</v>
      </c>
      <c r="AK113">
        <v>1</v>
      </c>
      <c r="AL113">
        <v>0</v>
      </c>
      <c r="AM113">
        <v>0</v>
      </c>
    </row>
    <row r="114" spans="1:39" hidden="1" x14ac:dyDescent="0.2">
      <c r="A114" t="s">
        <v>289</v>
      </c>
      <c r="B114" t="s">
        <v>290</v>
      </c>
      <c r="C114" t="s">
        <v>76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4.4000000000000004</v>
      </c>
      <c r="AE114">
        <v>472</v>
      </c>
      <c r="AF114">
        <v>13.4</v>
      </c>
      <c r="AG114">
        <v>16.503725518204451</v>
      </c>
      <c r="AH114">
        <v>8.1479478075206497</v>
      </c>
      <c r="AI114">
        <f>10.6749238446689*1</f>
        <v>10.6749238446689</v>
      </c>
      <c r="AJ114">
        <f>2.39177595500161*1</f>
        <v>2.3917759550016102</v>
      </c>
      <c r="AK114">
        <v>1</v>
      </c>
      <c r="AL114">
        <v>0</v>
      </c>
      <c r="AM114">
        <v>0</v>
      </c>
    </row>
    <row r="115" spans="1:39" hidden="1" x14ac:dyDescent="0.2">
      <c r="A115" t="s">
        <v>99</v>
      </c>
      <c r="B115" t="s">
        <v>291</v>
      </c>
      <c r="C115" t="s">
        <v>291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6.7</v>
      </c>
      <c r="AE115">
        <v>477</v>
      </c>
      <c r="AF115">
        <v>21.827411167512679</v>
      </c>
      <c r="AG115">
        <v>24.199667461960718</v>
      </c>
      <c r="AH115">
        <v>15.58860759989223</v>
      </c>
      <c r="AI115">
        <f>18.4391742129073*1</f>
        <v>18.4391742129073</v>
      </c>
      <c r="AJ115">
        <f>3.68717093034802*1</f>
        <v>3.68717093034802</v>
      </c>
      <c r="AK115">
        <v>1</v>
      </c>
      <c r="AL115">
        <v>0</v>
      </c>
      <c r="AM115">
        <v>0</v>
      </c>
    </row>
    <row r="116" spans="1:39" hidden="1" x14ac:dyDescent="0.2">
      <c r="A116" t="s">
        <v>292</v>
      </c>
      <c r="B116" t="s">
        <v>293</v>
      </c>
      <c r="C116" t="s">
        <v>293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6.1</v>
      </c>
      <c r="AE116">
        <v>492</v>
      </c>
      <c r="AF116">
        <v>19.734808801002021</v>
      </c>
      <c r="AG116">
        <v>19.108823906880669</v>
      </c>
      <c r="AH116">
        <v>7.4535015499607944</v>
      </c>
      <c r="AI116">
        <f>10.5133374301768*1</f>
        <v>10.513337430176801</v>
      </c>
      <c r="AJ116">
        <f>1.97962169632313*1</f>
        <v>1.9796216963231299</v>
      </c>
      <c r="AK116">
        <v>1</v>
      </c>
      <c r="AL116">
        <v>0</v>
      </c>
      <c r="AM116">
        <v>0</v>
      </c>
    </row>
    <row r="117" spans="1:39" hidden="1" x14ac:dyDescent="0.2">
      <c r="A117" t="s">
        <v>284</v>
      </c>
      <c r="B117" t="s">
        <v>294</v>
      </c>
      <c r="C117" t="s">
        <v>295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6.1</v>
      </c>
      <c r="AE117">
        <v>494</v>
      </c>
      <c r="AF117">
        <v>18.571428571428569</v>
      </c>
      <c r="AG117">
        <v>19.15291096345161</v>
      </c>
      <c r="AH117">
        <v>21.309727307101632</v>
      </c>
      <c r="AI117">
        <f>16.4932818085782*1</f>
        <v>16.4932818085782</v>
      </c>
      <c r="AJ117">
        <f>3.3980259901814*1</f>
        <v>3.3980259901814001</v>
      </c>
      <c r="AK117">
        <v>1</v>
      </c>
      <c r="AL117">
        <v>0</v>
      </c>
      <c r="AM117">
        <v>0</v>
      </c>
    </row>
    <row r="118" spans="1:39" hidden="1" x14ac:dyDescent="0.2">
      <c r="A118" t="s">
        <v>296</v>
      </c>
      <c r="B118" t="s">
        <v>297</v>
      </c>
      <c r="C118" t="s">
        <v>297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4.4000000000000004</v>
      </c>
      <c r="AE118">
        <v>495</v>
      </c>
      <c r="AF118">
        <v>14.84734660971087</v>
      </c>
      <c r="AG118">
        <v>14.889115982390351</v>
      </c>
      <c r="AH118">
        <v>26.782410490694939</v>
      </c>
      <c r="AI118">
        <f>14.8416865343729*1</f>
        <v>14.841686534372901</v>
      </c>
      <c r="AJ118">
        <f>2.99532088167945*1</f>
        <v>2.9953208816794499</v>
      </c>
      <c r="AK118">
        <v>1</v>
      </c>
      <c r="AL118">
        <v>0</v>
      </c>
      <c r="AM118">
        <v>0</v>
      </c>
    </row>
    <row r="119" spans="1:39" hidden="1" x14ac:dyDescent="0.2">
      <c r="A119" t="s">
        <v>298</v>
      </c>
      <c r="B119" t="s">
        <v>299</v>
      </c>
      <c r="C119" t="s">
        <v>299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7.3</v>
      </c>
      <c r="AE119">
        <v>497</v>
      </c>
      <c r="AF119">
        <v>26.668673734853911</v>
      </c>
      <c r="AG119">
        <v>15.92529158794572</v>
      </c>
      <c r="AH119">
        <v>34.273513279941852</v>
      </c>
      <c r="AI119">
        <f>33.957693091101*1</f>
        <v>33.957693091101</v>
      </c>
      <c r="AJ119">
        <f>6.18501037924874*1</f>
        <v>6.1850103792487401</v>
      </c>
      <c r="AK119">
        <v>1</v>
      </c>
      <c r="AL119">
        <v>0</v>
      </c>
      <c r="AM119">
        <v>0</v>
      </c>
    </row>
    <row r="120" spans="1:39" x14ac:dyDescent="0.2">
      <c r="A120" t="s">
        <v>200</v>
      </c>
      <c r="B120" t="s">
        <v>201</v>
      </c>
      <c r="C120" t="s">
        <v>201</v>
      </c>
      <c r="D120" t="s">
        <v>3</v>
      </c>
      <c r="E120">
        <v>1</v>
      </c>
      <c r="F120">
        <v>0</v>
      </c>
      <c r="G120">
        <v>0</v>
      </c>
      <c r="H120">
        <v>0</v>
      </c>
      <c r="I120" t="s">
        <v>19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4.9000000000000004</v>
      </c>
      <c r="AE120">
        <v>281</v>
      </c>
      <c r="AF120">
        <v>18.451327433628311</v>
      </c>
      <c r="AG120">
        <v>19.019910786620219</v>
      </c>
      <c r="AH120">
        <v>33.900885667410229</v>
      </c>
      <c r="AI120">
        <f>16.2248891334402*1</f>
        <v>16.2248891334402</v>
      </c>
      <c r="AJ120">
        <f>3.35820579723965*1</f>
        <v>3.3582057972396502</v>
      </c>
      <c r="AK120">
        <v>1</v>
      </c>
      <c r="AL120">
        <v>1</v>
      </c>
      <c r="AM120">
        <v>1</v>
      </c>
    </row>
    <row r="121" spans="1:39" x14ac:dyDescent="0.2">
      <c r="A121" t="s">
        <v>88</v>
      </c>
      <c r="B121" t="s">
        <v>89</v>
      </c>
      <c r="C121" t="s">
        <v>89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14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4.7</v>
      </c>
      <c r="AE121">
        <v>82</v>
      </c>
      <c r="AF121">
        <v>20.544958179937481</v>
      </c>
      <c r="AG121">
        <v>10.61665009624241</v>
      </c>
      <c r="AH121">
        <v>25.061570356339121</v>
      </c>
      <c r="AI121">
        <f>16.0851478308837*1</f>
        <v>16.085147830883699</v>
      </c>
      <c r="AJ121">
        <f>3.33325557394564*1</f>
        <v>3.3332555739456402</v>
      </c>
      <c r="AK121">
        <v>1</v>
      </c>
      <c r="AL121">
        <v>1</v>
      </c>
      <c r="AM121">
        <v>1</v>
      </c>
    </row>
    <row r="122" spans="1:39" x14ac:dyDescent="0.2">
      <c r="A122" t="s">
        <v>196</v>
      </c>
      <c r="B122" t="s">
        <v>197</v>
      </c>
      <c r="C122" t="s">
        <v>197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19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4.3</v>
      </c>
      <c r="AE122">
        <v>278</v>
      </c>
      <c r="AF122">
        <v>17.211227318840201</v>
      </c>
      <c r="AG122">
        <v>14.93071722568402</v>
      </c>
      <c r="AH122">
        <v>19.338438795595401</v>
      </c>
      <c r="AI122">
        <f>15.6905450553392*1</f>
        <v>15.6905450553392</v>
      </c>
      <c r="AJ122">
        <f>3.13175228775272*1</f>
        <v>3.13175228775272</v>
      </c>
      <c r="AK122">
        <v>1</v>
      </c>
      <c r="AL122">
        <v>1</v>
      </c>
      <c r="AM122">
        <v>1</v>
      </c>
    </row>
    <row r="123" spans="1:39" hidden="1" x14ac:dyDescent="0.2">
      <c r="A123" t="s">
        <v>306</v>
      </c>
      <c r="B123" t="s">
        <v>307</v>
      </c>
      <c r="C123" t="s">
        <v>308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</v>
      </c>
      <c r="AE123">
        <v>502</v>
      </c>
      <c r="AF123">
        <v>15.023650472815691</v>
      </c>
      <c r="AG123">
        <v>11.359011557470501</v>
      </c>
      <c r="AH123">
        <v>36.18361454587027</v>
      </c>
      <c r="AI123">
        <f>22.1938222490372*1</f>
        <v>22.193822249037201</v>
      </c>
      <c r="AJ123">
        <f>4.76053070870031*1</f>
        <v>4.7605307087003101</v>
      </c>
      <c r="AK123">
        <v>1</v>
      </c>
      <c r="AL123">
        <v>0</v>
      </c>
      <c r="AM123">
        <v>0</v>
      </c>
    </row>
    <row r="124" spans="1:39" hidden="1" x14ac:dyDescent="0.2">
      <c r="A124" t="s">
        <v>309</v>
      </c>
      <c r="B124" t="s">
        <v>310</v>
      </c>
      <c r="C124" t="s">
        <v>310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4.5</v>
      </c>
      <c r="AE124">
        <v>508</v>
      </c>
      <c r="AF124">
        <v>11.33723437703452</v>
      </c>
      <c r="AG124">
        <v>13.390215660404809</v>
      </c>
      <c r="AH124">
        <v>14.311103069895569</v>
      </c>
      <c r="AI124">
        <f>12.0165708155945*1</f>
        <v>12.0165708155945</v>
      </c>
      <c r="AJ124">
        <f>2.14392867034795*1</f>
        <v>2.1439286703479499</v>
      </c>
      <c r="AK124">
        <v>1</v>
      </c>
      <c r="AL124">
        <v>0</v>
      </c>
      <c r="AM124">
        <v>0</v>
      </c>
    </row>
    <row r="125" spans="1:39" hidden="1" x14ac:dyDescent="0.2">
      <c r="A125" t="s">
        <v>311</v>
      </c>
      <c r="B125" t="s">
        <v>312</v>
      </c>
      <c r="C125" t="s">
        <v>312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5.4</v>
      </c>
      <c r="AE125">
        <v>514</v>
      </c>
      <c r="AF125">
        <v>18.442282071192441</v>
      </c>
      <c r="AG125">
        <v>14.39413574863838</v>
      </c>
      <c r="AH125">
        <v>27.302039096717319</v>
      </c>
      <c r="AI125">
        <f>19.4210393540603*1</f>
        <v>19.421039354060301</v>
      </c>
      <c r="AJ125">
        <f>3.56787683256567*1</f>
        <v>3.5678768325656698</v>
      </c>
      <c r="AK125">
        <v>1</v>
      </c>
      <c r="AL125">
        <v>0</v>
      </c>
      <c r="AM125">
        <v>0</v>
      </c>
    </row>
    <row r="126" spans="1:39" x14ac:dyDescent="0.2">
      <c r="A126" t="s">
        <v>121</v>
      </c>
      <c r="B126" t="s">
        <v>122</v>
      </c>
      <c r="C126" t="s">
        <v>122</v>
      </c>
      <c r="D126" t="s">
        <v>6</v>
      </c>
      <c r="E126">
        <v>0</v>
      </c>
      <c r="F126">
        <v>0</v>
      </c>
      <c r="G126">
        <v>0</v>
      </c>
      <c r="H126">
        <v>1</v>
      </c>
      <c r="I126" t="s">
        <v>15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6.2</v>
      </c>
      <c r="AE126">
        <v>128</v>
      </c>
      <c r="AF126">
        <v>22.56550085874014</v>
      </c>
      <c r="AG126">
        <v>13.55324307542338</v>
      </c>
      <c r="AH126">
        <v>14.98704730805051</v>
      </c>
      <c r="AI126">
        <f>13.7401719213215*1</f>
        <v>13.740171921321499</v>
      </c>
      <c r="AJ126">
        <f>2.6910304211094*1</f>
        <v>2.6910304211093998</v>
      </c>
      <c r="AK126">
        <v>1</v>
      </c>
      <c r="AL126">
        <v>1</v>
      </c>
      <c r="AM126">
        <v>1</v>
      </c>
    </row>
    <row r="127" spans="1:39" hidden="1" x14ac:dyDescent="0.2">
      <c r="A127" t="s">
        <v>315</v>
      </c>
      <c r="B127" t="s">
        <v>316</v>
      </c>
      <c r="C127" t="s">
        <v>316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525</v>
      </c>
      <c r="AF127">
        <v>10</v>
      </c>
      <c r="AG127">
        <v>7.5592880008043286</v>
      </c>
      <c r="AH127">
        <v>23.24</v>
      </c>
      <c r="AI127">
        <f>17.5986509114286*1</f>
        <v>17.598650911428599</v>
      </c>
      <c r="AJ127">
        <f>3.54634689271855*1</f>
        <v>3.54634689271855</v>
      </c>
      <c r="AK127">
        <v>1</v>
      </c>
      <c r="AL127">
        <v>0</v>
      </c>
      <c r="AM127">
        <v>0</v>
      </c>
    </row>
    <row r="128" spans="1:39" hidden="1" x14ac:dyDescent="0.2">
      <c r="A128" t="s">
        <v>298</v>
      </c>
      <c r="B128" t="s">
        <v>317</v>
      </c>
      <c r="C128" t="s">
        <v>317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5.0999999999999996</v>
      </c>
      <c r="AE128">
        <v>534</v>
      </c>
      <c r="AF128">
        <v>16.281167658223861</v>
      </c>
      <c r="AG128">
        <v>13.114913435175559</v>
      </c>
      <c r="AH128">
        <v>23.714285714285719</v>
      </c>
      <c r="AI128">
        <f>21.6337241623515*1</f>
        <v>21.633724162351498</v>
      </c>
      <c r="AJ128">
        <f>5.06342959375689*1</f>
        <v>5.0634295937568901</v>
      </c>
      <c r="AK128">
        <v>1</v>
      </c>
      <c r="AL128">
        <v>0</v>
      </c>
      <c r="AM128">
        <v>0</v>
      </c>
    </row>
    <row r="129" spans="1:39" hidden="1" x14ac:dyDescent="0.2">
      <c r="A129" t="s">
        <v>79</v>
      </c>
      <c r="B129" t="s">
        <v>318</v>
      </c>
      <c r="C129" t="s">
        <v>318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6.3</v>
      </c>
      <c r="AE129">
        <v>535</v>
      </c>
      <c r="AF129">
        <v>21.001630756417509</v>
      </c>
      <c r="AG129">
        <v>13.98478406892132</v>
      </c>
      <c r="AH129">
        <v>36.549999999999997</v>
      </c>
      <c r="AI129">
        <f>21.362084731067*1</f>
        <v>21.362084731067</v>
      </c>
      <c r="AJ129">
        <f>4.58993229859892*1</f>
        <v>4.5899322985989199</v>
      </c>
      <c r="AK129">
        <v>1</v>
      </c>
      <c r="AL129">
        <v>0</v>
      </c>
      <c r="AM129">
        <v>0</v>
      </c>
    </row>
    <row r="130" spans="1:39" hidden="1" x14ac:dyDescent="0.2">
      <c r="A130" t="s">
        <v>319</v>
      </c>
      <c r="B130" t="s">
        <v>320</v>
      </c>
      <c r="C130" t="s">
        <v>320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5.3</v>
      </c>
      <c r="AE130">
        <v>536</v>
      </c>
      <c r="AF130">
        <v>15.08849557522124</v>
      </c>
      <c r="AG130">
        <v>13.95564652866727</v>
      </c>
      <c r="AH130">
        <v>17.390117435647621</v>
      </c>
      <c r="AI130">
        <f>14.165365478044*1</f>
        <v>14.165365478044</v>
      </c>
      <c r="AJ130">
        <f>3.01042055788835*1</f>
        <v>3.0104205578883501</v>
      </c>
      <c r="AK130">
        <v>1</v>
      </c>
      <c r="AL130">
        <v>0</v>
      </c>
      <c r="AM130">
        <v>0</v>
      </c>
    </row>
    <row r="131" spans="1:39" hidden="1" x14ac:dyDescent="0.2">
      <c r="A131" t="s">
        <v>321</v>
      </c>
      <c r="B131" t="s">
        <v>322</v>
      </c>
      <c r="C131" t="s">
        <v>321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4.5999999999999996</v>
      </c>
      <c r="AE131">
        <v>538</v>
      </c>
      <c r="AF131">
        <v>12.6</v>
      </c>
      <c r="AG131">
        <v>10.511757728873491</v>
      </c>
      <c r="AH131">
        <v>29.2</v>
      </c>
      <c r="AI131">
        <f>10.8206836843199*1</f>
        <v>10.820683684319899</v>
      </c>
      <c r="AJ131">
        <f>2.15877036595734*1</f>
        <v>2.1587703659573401</v>
      </c>
      <c r="AK131">
        <v>1</v>
      </c>
      <c r="AL131">
        <v>0</v>
      </c>
      <c r="AM131">
        <v>0</v>
      </c>
    </row>
    <row r="132" spans="1:39" hidden="1" x14ac:dyDescent="0.2">
      <c r="A132" t="s">
        <v>323</v>
      </c>
      <c r="B132" t="s">
        <v>324</v>
      </c>
      <c r="C132" t="s">
        <v>325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4.3</v>
      </c>
      <c r="AE132">
        <v>539</v>
      </c>
      <c r="AF132">
        <v>9.4642857142857135</v>
      </c>
      <c r="AG132">
        <v>7.1822541994446567</v>
      </c>
      <c r="AH132">
        <v>30.92</v>
      </c>
      <c r="AI132">
        <f>15.9721165537405*1</f>
        <v>15.9721165537405</v>
      </c>
      <c r="AJ132">
        <f>3.24680118289745*1</f>
        <v>3.2468011828974501</v>
      </c>
      <c r="AK132">
        <v>1</v>
      </c>
      <c r="AL132">
        <v>0</v>
      </c>
      <c r="AM132">
        <v>0</v>
      </c>
    </row>
    <row r="133" spans="1:39" x14ac:dyDescent="0.2">
      <c r="A133" t="s">
        <v>202</v>
      </c>
      <c r="B133" t="s">
        <v>203</v>
      </c>
      <c r="C133" t="s">
        <v>203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19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4.8</v>
      </c>
      <c r="AE133">
        <v>282</v>
      </c>
      <c r="AF133">
        <v>14.321069023254941</v>
      </c>
      <c r="AG133">
        <v>14.334490861550901</v>
      </c>
      <c r="AH133">
        <v>20.589130525367739</v>
      </c>
      <c r="AI133">
        <f>13.8705168754706*1</f>
        <v>13.870516875470599</v>
      </c>
      <c r="AJ133">
        <f>2.67270976401765*1</f>
        <v>2.6727097640176498</v>
      </c>
      <c r="AK133">
        <v>1</v>
      </c>
      <c r="AL133">
        <v>1</v>
      </c>
      <c r="AM133">
        <v>1</v>
      </c>
    </row>
    <row r="134" spans="1:39" hidden="1" x14ac:dyDescent="0.2">
      <c r="A134" t="s">
        <v>328</v>
      </c>
      <c r="B134" t="s">
        <v>329</v>
      </c>
      <c r="C134" t="s">
        <v>329</v>
      </c>
      <c r="D134" t="s">
        <v>6</v>
      </c>
      <c r="E134">
        <v>0</v>
      </c>
      <c r="F134">
        <v>0</v>
      </c>
      <c r="G134">
        <v>0</v>
      </c>
      <c r="H134">
        <v>1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6.6</v>
      </c>
      <c r="AE134">
        <v>548</v>
      </c>
      <c r="AF134">
        <v>18.172758628115929</v>
      </c>
      <c r="AG134">
        <v>16.685251829611349</v>
      </c>
      <c r="AH134">
        <v>11.40698688770332</v>
      </c>
      <c r="AI134">
        <f>7.09219997752645*1</f>
        <v>7.0921999775264499</v>
      </c>
      <c r="AJ134">
        <f>1.25754033495674*1</f>
        <v>1.25754033495674</v>
      </c>
      <c r="AK134">
        <v>1</v>
      </c>
      <c r="AL134">
        <v>0</v>
      </c>
      <c r="AM134">
        <v>0</v>
      </c>
    </row>
    <row r="135" spans="1:39" hidden="1" x14ac:dyDescent="0.2">
      <c r="A135" t="s">
        <v>330</v>
      </c>
      <c r="B135" t="s">
        <v>331</v>
      </c>
      <c r="C135" t="s">
        <v>331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4.7</v>
      </c>
      <c r="AE135">
        <v>552</v>
      </c>
      <c r="AF135">
        <v>0</v>
      </c>
      <c r="AG135">
        <v>0</v>
      </c>
      <c r="AH135">
        <v>0</v>
      </c>
      <c r="AI135">
        <f>0*1</f>
        <v>0</v>
      </c>
      <c r="AJ135">
        <f>0*1</f>
        <v>0</v>
      </c>
      <c r="AK135">
        <v>1</v>
      </c>
      <c r="AL135">
        <v>0</v>
      </c>
      <c r="AM135">
        <v>0</v>
      </c>
    </row>
    <row r="136" spans="1:39" hidden="1" x14ac:dyDescent="0.2">
      <c r="A136" t="s">
        <v>332</v>
      </c>
      <c r="B136" t="s">
        <v>333</v>
      </c>
      <c r="C136" t="s">
        <v>333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4.9000000000000004</v>
      </c>
      <c r="AE136">
        <v>562</v>
      </c>
      <c r="AF136">
        <v>0</v>
      </c>
      <c r="AG136">
        <v>0</v>
      </c>
      <c r="AH136">
        <v>0</v>
      </c>
      <c r="AI136">
        <f>0*1</f>
        <v>0</v>
      </c>
      <c r="AJ136">
        <f>0*1</f>
        <v>0</v>
      </c>
      <c r="AK136">
        <v>1</v>
      </c>
      <c r="AL136">
        <v>0</v>
      </c>
      <c r="AM136">
        <v>0</v>
      </c>
    </row>
    <row r="137" spans="1:39" hidden="1" x14ac:dyDescent="0.2">
      <c r="A137" t="s">
        <v>334</v>
      </c>
      <c r="B137" t="s">
        <v>335</v>
      </c>
      <c r="C137" t="s">
        <v>335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4.0999999999999996</v>
      </c>
      <c r="AE137">
        <v>571</v>
      </c>
      <c r="AF137">
        <v>0</v>
      </c>
      <c r="AG137">
        <v>0</v>
      </c>
      <c r="AH137">
        <v>0</v>
      </c>
      <c r="AI137">
        <f>0*1</f>
        <v>0</v>
      </c>
      <c r="AJ137">
        <f>0*1</f>
        <v>0</v>
      </c>
      <c r="AK137">
        <v>1</v>
      </c>
      <c r="AL137">
        <v>0</v>
      </c>
      <c r="AM137">
        <v>0</v>
      </c>
    </row>
    <row r="138" spans="1:39" hidden="1" x14ac:dyDescent="0.2">
      <c r="A138" t="s">
        <v>336</v>
      </c>
      <c r="B138" t="s">
        <v>337</v>
      </c>
      <c r="C138" t="s">
        <v>336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4.3</v>
      </c>
      <c r="AE138">
        <v>584</v>
      </c>
      <c r="AF138">
        <v>0</v>
      </c>
      <c r="AG138">
        <v>0</v>
      </c>
      <c r="AH138">
        <v>0</v>
      </c>
      <c r="AI138">
        <f>0*1</f>
        <v>0</v>
      </c>
      <c r="AJ138">
        <f>0*1</f>
        <v>0</v>
      </c>
      <c r="AK138">
        <v>1</v>
      </c>
      <c r="AL138">
        <v>0</v>
      </c>
      <c r="AM138">
        <v>0</v>
      </c>
    </row>
    <row r="139" spans="1:39" hidden="1" x14ac:dyDescent="0.2">
      <c r="A139" t="s">
        <v>338</v>
      </c>
      <c r="B139" t="s">
        <v>339</v>
      </c>
      <c r="C139" t="s">
        <v>339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4.3</v>
      </c>
      <c r="AE139">
        <v>586</v>
      </c>
      <c r="AF139">
        <v>9.9989776556055929</v>
      </c>
      <c r="AG139">
        <v>12.396297631038729</v>
      </c>
      <c r="AH139">
        <v>14.179602431185099</v>
      </c>
      <c r="AI139">
        <f>9.82986496043224*1</f>
        <v>9.8298649604322392</v>
      </c>
      <c r="AJ139">
        <f>1.94499570487273*1</f>
        <v>1.94499570487273</v>
      </c>
      <c r="AK139">
        <v>1</v>
      </c>
      <c r="AL139">
        <v>0</v>
      </c>
      <c r="AM139">
        <v>0</v>
      </c>
    </row>
    <row r="140" spans="1:39" hidden="1" x14ac:dyDescent="0.2">
      <c r="A140" t="s">
        <v>340</v>
      </c>
      <c r="B140" t="s">
        <v>341</v>
      </c>
      <c r="C140" t="s">
        <v>341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4.8</v>
      </c>
      <c r="AE140">
        <v>589</v>
      </c>
      <c r="AF140">
        <v>8.0555555291618202</v>
      </c>
      <c r="AG140">
        <v>7.1673089194265689</v>
      </c>
      <c r="AH140">
        <v>11.097010247873341</v>
      </c>
      <c r="AI140">
        <f>9.82351102561037*1</f>
        <v>9.8235110256103706</v>
      </c>
      <c r="AJ140">
        <f>2.00995553268759*1</f>
        <v>2.0099555326875902</v>
      </c>
      <c r="AK140">
        <v>1</v>
      </c>
      <c r="AL140">
        <v>0</v>
      </c>
      <c r="AM140">
        <v>0</v>
      </c>
    </row>
    <row r="141" spans="1:39" hidden="1" x14ac:dyDescent="0.2">
      <c r="A141" t="s">
        <v>342</v>
      </c>
      <c r="B141" t="s">
        <v>343</v>
      </c>
      <c r="C141" t="s">
        <v>344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5</v>
      </c>
      <c r="AE141">
        <v>592</v>
      </c>
      <c r="AF141">
        <v>0</v>
      </c>
      <c r="AG141">
        <v>0</v>
      </c>
      <c r="AH141">
        <v>0</v>
      </c>
      <c r="AI141">
        <f>0*1</f>
        <v>0</v>
      </c>
      <c r="AJ141">
        <f>0*1</f>
        <v>0</v>
      </c>
      <c r="AK141">
        <v>1</v>
      </c>
      <c r="AL141">
        <v>0</v>
      </c>
      <c r="AM141">
        <v>0</v>
      </c>
    </row>
    <row r="142" spans="1:39" hidden="1" x14ac:dyDescent="0.2">
      <c r="A142" t="s">
        <v>187</v>
      </c>
      <c r="B142" t="s">
        <v>345</v>
      </c>
      <c r="C142" t="s">
        <v>346</v>
      </c>
      <c r="D142" t="s">
        <v>6</v>
      </c>
      <c r="E142">
        <v>0</v>
      </c>
      <c r="F142">
        <v>0</v>
      </c>
      <c r="G142">
        <v>0</v>
      </c>
      <c r="H142">
        <v>1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7.5</v>
      </c>
      <c r="AE142">
        <v>594</v>
      </c>
      <c r="AF142">
        <v>0</v>
      </c>
      <c r="AG142">
        <v>0</v>
      </c>
      <c r="AH142">
        <v>0</v>
      </c>
      <c r="AI142">
        <f>0*1</f>
        <v>0</v>
      </c>
      <c r="AJ142">
        <f>0*1</f>
        <v>0</v>
      </c>
      <c r="AK142">
        <v>1</v>
      </c>
      <c r="AL142">
        <v>0</v>
      </c>
      <c r="AM142">
        <v>0</v>
      </c>
    </row>
    <row r="143" spans="1:39" hidden="1" x14ac:dyDescent="0.2">
      <c r="A143" t="s">
        <v>347</v>
      </c>
      <c r="B143" t="s">
        <v>348</v>
      </c>
      <c r="C143" t="s">
        <v>348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6.5</v>
      </c>
      <c r="AE143">
        <v>608</v>
      </c>
      <c r="AF143">
        <v>18.01136363636363</v>
      </c>
      <c r="AG143">
        <v>13.27130059602873</v>
      </c>
      <c r="AH143">
        <v>18.577166782575969</v>
      </c>
      <c r="AI143">
        <f>8.23812426869345*1</f>
        <v>8.2381242686934506</v>
      </c>
      <c r="AJ143">
        <f>1.57633293835817*1</f>
        <v>1.5763329383581699</v>
      </c>
      <c r="AK143">
        <v>1</v>
      </c>
      <c r="AL143">
        <v>0</v>
      </c>
      <c r="AM143">
        <v>0</v>
      </c>
    </row>
    <row r="144" spans="1:39" hidden="1" x14ac:dyDescent="0.2">
      <c r="A144" t="s">
        <v>349</v>
      </c>
      <c r="B144" t="s">
        <v>350</v>
      </c>
      <c r="C144" t="s">
        <v>350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6.4</v>
      </c>
      <c r="AE144">
        <v>609</v>
      </c>
      <c r="AF144">
        <v>19.583333333333339</v>
      </c>
      <c r="AG144">
        <v>17.338567061296789</v>
      </c>
      <c r="AH144">
        <v>19.483233153978741</v>
      </c>
      <c r="AI144">
        <f>14.4123536750879*1</f>
        <v>14.4123536750879</v>
      </c>
      <c r="AJ144">
        <f>3.02082359875973*1</f>
        <v>3.0208235987597298</v>
      </c>
      <c r="AK144">
        <v>1</v>
      </c>
      <c r="AL144">
        <v>0</v>
      </c>
      <c r="AM144">
        <v>0</v>
      </c>
    </row>
    <row r="145" spans="1:39" hidden="1" x14ac:dyDescent="0.2">
      <c r="A145" t="s">
        <v>202</v>
      </c>
      <c r="B145" t="s">
        <v>351</v>
      </c>
      <c r="C145" t="s">
        <v>351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7.7</v>
      </c>
      <c r="AE145">
        <v>611</v>
      </c>
      <c r="AF145">
        <v>25.106979454656241</v>
      </c>
      <c r="AG145">
        <v>22.294563712787809</v>
      </c>
      <c r="AH145">
        <v>29.05877238512582</v>
      </c>
      <c r="AI145">
        <f>24.7400817284863*1</f>
        <v>24.740081728486299</v>
      </c>
      <c r="AJ145">
        <f>5.30373360813557*1</f>
        <v>5.3037336081355697</v>
      </c>
      <c r="AK145">
        <v>1</v>
      </c>
      <c r="AL145">
        <v>0</v>
      </c>
      <c r="AM145">
        <v>0</v>
      </c>
    </row>
    <row r="146" spans="1:39" hidden="1" x14ac:dyDescent="0.2">
      <c r="A146" t="s">
        <v>163</v>
      </c>
      <c r="B146" t="s">
        <v>352</v>
      </c>
      <c r="C146" t="s">
        <v>353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5.5</v>
      </c>
      <c r="AE146">
        <v>612</v>
      </c>
      <c r="AF146">
        <v>18.63636363636364</v>
      </c>
      <c r="AG146">
        <v>20.825968084367432</v>
      </c>
      <c r="AH146">
        <v>11.786734670341829</v>
      </c>
      <c r="AI146">
        <f>17.2694011871407*1</f>
        <v>17.269401187140701</v>
      </c>
      <c r="AJ146">
        <f>3.0051493830285*1</f>
        <v>3.0051493830284999</v>
      </c>
      <c r="AK146">
        <v>1</v>
      </c>
      <c r="AL146">
        <v>0</v>
      </c>
      <c r="AM146">
        <v>0</v>
      </c>
    </row>
    <row r="147" spans="1:39" hidden="1" x14ac:dyDescent="0.2">
      <c r="A147" t="s">
        <v>354</v>
      </c>
      <c r="B147" t="s">
        <v>180</v>
      </c>
      <c r="C147" t="s">
        <v>355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4.8</v>
      </c>
      <c r="AE147">
        <v>616</v>
      </c>
      <c r="AF147">
        <v>11.06557377049181</v>
      </c>
      <c r="AG147">
        <v>10.57068244014509</v>
      </c>
      <c r="AH147">
        <v>11.09230769230769</v>
      </c>
      <c r="AI147">
        <f>8.38020987192978*1</f>
        <v>8.3802098719297806</v>
      </c>
      <c r="AJ147">
        <f>1.76364048946698*1</f>
        <v>1.7636404894669799</v>
      </c>
      <c r="AK147">
        <v>1</v>
      </c>
      <c r="AL147">
        <v>0</v>
      </c>
      <c r="AM147">
        <v>0</v>
      </c>
    </row>
    <row r="148" spans="1:39" x14ac:dyDescent="0.2">
      <c r="A148" t="s">
        <v>356</v>
      </c>
      <c r="B148" t="s">
        <v>357</v>
      </c>
      <c r="C148" t="s">
        <v>356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9.8000000000000007</v>
      </c>
      <c r="AE148">
        <v>619</v>
      </c>
      <c r="AF148">
        <v>26.745539943633041</v>
      </c>
      <c r="AG148">
        <v>36.381569177760547</v>
      </c>
      <c r="AH148">
        <v>16.662474468170149</v>
      </c>
      <c r="AI148">
        <f>11.0196132626597*1</f>
        <v>11.0196132626597</v>
      </c>
      <c r="AJ148">
        <f>2.20923294370508*1</f>
        <v>2.2092329437050799</v>
      </c>
      <c r="AK148">
        <v>1</v>
      </c>
      <c r="AL148">
        <v>1</v>
      </c>
      <c r="AM148">
        <v>1</v>
      </c>
    </row>
    <row r="149" spans="1:39" hidden="1" x14ac:dyDescent="0.2">
      <c r="A149" t="s">
        <v>358</v>
      </c>
      <c r="B149" t="s">
        <v>359</v>
      </c>
      <c r="C149" t="s">
        <v>359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4.5999999999999996</v>
      </c>
      <c r="AE149">
        <v>635</v>
      </c>
      <c r="AF149">
        <v>16.31428571428571</v>
      </c>
      <c r="AG149">
        <v>16.523371275472709</v>
      </c>
      <c r="AH149">
        <v>21.914239353530579</v>
      </c>
      <c r="AI149">
        <f>30.6793536592415*1</f>
        <v>30.679353659241499</v>
      </c>
      <c r="AJ149">
        <f>6.12508589594198*1</f>
        <v>6.1250858959419796</v>
      </c>
      <c r="AK149">
        <v>1</v>
      </c>
      <c r="AL149">
        <v>0</v>
      </c>
      <c r="AM149">
        <v>0</v>
      </c>
    </row>
    <row r="150" spans="1:39" hidden="1" x14ac:dyDescent="0.2">
      <c r="A150" t="s">
        <v>360</v>
      </c>
      <c r="B150" t="s">
        <v>361</v>
      </c>
      <c r="C150" t="s">
        <v>361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7.5</v>
      </c>
      <c r="AE150">
        <v>639</v>
      </c>
      <c r="AF150">
        <v>22.409555105822729</v>
      </c>
      <c r="AG150">
        <v>23.709316700613591</v>
      </c>
      <c r="AH150">
        <v>56.046360536581389</v>
      </c>
      <c r="AI150">
        <f>14.3958623914319*1</f>
        <v>14.395862391431899</v>
      </c>
      <c r="AJ150">
        <f>2.9005031329857*1</f>
        <v>2.9005031329856998</v>
      </c>
      <c r="AK150">
        <v>1</v>
      </c>
      <c r="AL150">
        <v>0</v>
      </c>
      <c r="AM150">
        <v>0</v>
      </c>
    </row>
    <row r="151" spans="1:39" hidden="1" x14ac:dyDescent="0.2">
      <c r="A151" t="s">
        <v>362</v>
      </c>
      <c r="B151" t="s">
        <v>363</v>
      </c>
      <c r="C151" t="s">
        <v>362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4.4000000000000004</v>
      </c>
      <c r="AE151">
        <v>643</v>
      </c>
      <c r="AF151">
        <v>11.244460717635111</v>
      </c>
      <c r="AG151">
        <v>8.5382766906513279</v>
      </c>
      <c r="AH151">
        <v>16.466666666666669</v>
      </c>
      <c r="AI151">
        <f>16.0887546892842*1</f>
        <v>16.088754689284201</v>
      </c>
      <c r="AJ151">
        <f>3.20818626535654*1</f>
        <v>3.2081862653565398</v>
      </c>
      <c r="AK151">
        <v>1</v>
      </c>
      <c r="AL151">
        <v>0</v>
      </c>
      <c r="AM151">
        <v>0</v>
      </c>
    </row>
    <row r="152" spans="1:39" hidden="1" x14ac:dyDescent="0.2">
      <c r="A152" t="s">
        <v>364</v>
      </c>
      <c r="B152" t="s">
        <v>365</v>
      </c>
      <c r="C152" t="s">
        <v>365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6.2</v>
      </c>
      <c r="AE152">
        <v>648</v>
      </c>
      <c r="AF152">
        <v>20.342149249805249</v>
      </c>
      <c r="AG152">
        <v>14.324472083426491</v>
      </c>
      <c r="AH152">
        <v>22.561807991844759</v>
      </c>
      <c r="AI152">
        <f>14.072395162364*1</f>
        <v>14.072395162364</v>
      </c>
      <c r="AJ152">
        <f>2.66506589934722*1</f>
        <v>2.66506589934722</v>
      </c>
      <c r="AK152">
        <v>1</v>
      </c>
      <c r="AL152">
        <v>0</v>
      </c>
      <c r="AM152">
        <v>0</v>
      </c>
    </row>
    <row r="153" spans="1:39" hidden="1" x14ac:dyDescent="0.2">
      <c r="A153" t="s">
        <v>366</v>
      </c>
      <c r="B153" t="s">
        <v>367</v>
      </c>
      <c r="C153" t="s">
        <v>368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5.7</v>
      </c>
      <c r="AE153">
        <v>650</v>
      </c>
      <c r="AF153">
        <v>16.192778948581189</v>
      </c>
      <c r="AG153">
        <v>20.38329449809358</v>
      </c>
      <c r="AH153">
        <v>21.70225306871205</v>
      </c>
      <c r="AI153">
        <f>13.3094027235488*1</f>
        <v>13.3094027235488</v>
      </c>
      <c r="AJ153">
        <f>3.15734898836637*1</f>
        <v>3.1573489883663699</v>
      </c>
      <c r="AK153">
        <v>1</v>
      </c>
      <c r="AL153">
        <v>0</v>
      </c>
      <c r="AM153">
        <v>0</v>
      </c>
    </row>
    <row r="154" spans="1:39" hidden="1" x14ac:dyDescent="0.2">
      <c r="A154" t="s">
        <v>369</v>
      </c>
      <c r="B154" t="s">
        <v>370</v>
      </c>
      <c r="C154" t="s">
        <v>370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4.4000000000000004</v>
      </c>
      <c r="AE154">
        <v>651</v>
      </c>
      <c r="AF154">
        <v>12.25840915364706</v>
      </c>
      <c r="AG154">
        <v>11.90756745047041</v>
      </c>
      <c r="AH154">
        <v>14.92</v>
      </c>
      <c r="AI154">
        <f>10.2970112155995*1</f>
        <v>10.2970112155995</v>
      </c>
      <c r="AJ154">
        <f>2.71134963938634*1</f>
        <v>2.7113496393863401</v>
      </c>
      <c r="AK154">
        <v>1</v>
      </c>
      <c r="AL154">
        <v>0</v>
      </c>
      <c r="AM154">
        <v>0</v>
      </c>
    </row>
    <row r="155" spans="1:39" hidden="1" x14ac:dyDescent="0.2">
      <c r="A155" t="s">
        <v>371</v>
      </c>
      <c r="B155" t="s">
        <v>372</v>
      </c>
      <c r="C155" t="s">
        <v>372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4.9000000000000004</v>
      </c>
      <c r="AE155">
        <v>653</v>
      </c>
      <c r="AF155">
        <v>16.296296296296301</v>
      </c>
      <c r="AG155">
        <v>18.71912495197877</v>
      </c>
      <c r="AH155">
        <v>10.06666666666667</v>
      </c>
      <c r="AI155">
        <f>15.6669303405055*1</f>
        <v>15.6669303405055</v>
      </c>
      <c r="AJ155">
        <f>2.95537603537999*1</f>
        <v>2.9553760353799898</v>
      </c>
      <c r="AK155">
        <v>1</v>
      </c>
      <c r="AL155">
        <v>0</v>
      </c>
      <c r="AM155">
        <v>0</v>
      </c>
    </row>
    <row r="156" spans="1:39" hidden="1" x14ac:dyDescent="0.2">
      <c r="A156" t="s">
        <v>373</v>
      </c>
      <c r="B156" t="s">
        <v>374</v>
      </c>
      <c r="C156" t="s">
        <v>374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31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4.9000000000000004</v>
      </c>
      <c r="AE156">
        <v>668</v>
      </c>
      <c r="AF156">
        <v>10.394736842105271</v>
      </c>
      <c r="AG156">
        <v>15.324607932560619</v>
      </c>
      <c r="AH156">
        <v>7.8969789976840321</v>
      </c>
      <c r="AI156">
        <f>7.41526574287107*1</f>
        <v>7.4152657428710702</v>
      </c>
      <c r="AJ156">
        <f>1.52874752582502*1</f>
        <v>1.52874752582502</v>
      </c>
      <c r="AK156">
        <v>1</v>
      </c>
      <c r="AL156">
        <v>0</v>
      </c>
      <c r="AM156">
        <v>0</v>
      </c>
    </row>
    <row r="157" spans="1:39" x14ac:dyDescent="0.2">
      <c r="A157" t="s">
        <v>326</v>
      </c>
      <c r="B157" t="s">
        <v>327</v>
      </c>
      <c r="C157" t="s">
        <v>327</v>
      </c>
      <c r="D157" t="s">
        <v>3</v>
      </c>
      <c r="E157">
        <v>1</v>
      </c>
      <c r="F157">
        <v>0</v>
      </c>
      <c r="G157">
        <v>0</v>
      </c>
      <c r="H157">
        <v>0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4.8</v>
      </c>
      <c r="AE157">
        <v>545</v>
      </c>
      <c r="AF157">
        <v>21.880231730105521</v>
      </c>
      <c r="AG157">
        <v>16.041718603014399</v>
      </c>
      <c r="AH157">
        <v>32.018181818181823</v>
      </c>
      <c r="AI157">
        <f>9.20568000366072*1</f>
        <v>9.2056800036607207</v>
      </c>
      <c r="AJ157">
        <f>1.93540422133615*1</f>
        <v>1.93540422133615</v>
      </c>
      <c r="AK157">
        <v>1</v>
      </c>
      <c r="AL157">
        <v>1</v>
      </c>
      <c r="AM157">
        <v>1</v>
      </c>
    </row>
    <row r="158" spans="1:39" hidden="1" x14ac:dyDescent="0.2">
      <c r="A158" t="s">
        <v>378</v>
      </c>
      <c r="B158" t="s">
        <v>379</v>
      </c>
      <c r="C158" t="s">
        <v>380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31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5.3</v>
      </c>
      <c r="AE158">
        <v>681</v>
      </c>
      <c r="AF158">
        <v>12.678571428571431</v>
      </c>
      <c r="AG158">
        <v>12.184557322293079</v>
      </c>
      <c r="AH158">
        <v>35.625986012611392</v>
      </c>
      <c r="AI158">
        <f>29.3348380908152*1</f>
        <v>29.3348380908152</v>
      </c>
      <c r="AJ158">
        <f>5.76308318523485*1</f>
        <v>5.7630831852348496</v>
      </c>
      <c r="AK158">
        <v>1</v>
      </c>
      <c r="AL158">
        <v>0</v>
      </c>
      <c r="AM158">
        <v>0</v>
      </c>
    </row>
    <row r="159" spans="1:39" hidden="1" x14ac:dyDescent="0.2">
      <c r="A159" t="s">
        <v>381</v>
      </c>
      <c r="B159" t="s">
        <v>382</v>
      </c>
      <c r="C159" t="s">
        <v>383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31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4.9000000000000004</v>
      </c>
      <c r="AE159">
        <v>686</v>
      </c>
      <c r="AF159">
        <v>11.90503955000956</v>
      </c>
      <c r="AG159">
        <v>9.56584613030296</v>
      </c>
      <c r="AH159">
        <v>11.68571428571429</v>
      </c>
      <c r="AI159">
        <f>18.2110751184533*1</f>
        <v>18.211075118453302</v>
      </c>
      <c r="AJ159">
        <f>3.83247476595098*1</f>
        <v>3.8324747659509799</v>
      </c>
      <c r="AK159">
        <v>1</v>
      </c>
      <c r="AL159">
        <v>0</v>
      </c>
      <c r="AM159">
        <v>0</v>
      </c>
    </row>
    <row r="160" spans="1:39" hidden="1" x14ac:dyDescent="0.2">
      <c r="A160" t="s">
        <v>384</v>
      </c>
      <c r="B160" t="s">
        <v>385</v>
      </c>
      <c r="C160" t="s">
        <v>386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31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5</v>
      </c>
      <c r="AE160">
        <v>690</v>
      </c>
      <c r="AF160">
        <v>11.65217391304347</v>
      </c>
      <c r="AG160">
        <v>10.4390794830588</v>
      </c>
      <c r="AH160">
        <v>11.75002870026894</v>
      </c>
      <c r="AI160">
        <f>9.03412452555684*1</f>
        <v>9.0341245255568392</v>
      </c>
      <c r="AJ160">
        <f>1.80353033794023*1</f>
        <v>1.8035303379402301</v>
      </c>
      <c r="AK160">
        <v>1</v>
      </c>
      <c r="AL160">
        <v>0</v>
      </c>
      <c r="AM160">
        <v>0</v>
      </c>
    </row>
    <row r="161" spans="1:39" hidden="1" x14ac:dyDescent="0.2">
      <c r="A161" t="s">
        <v>387</v>
      </c>
      <c r="B161" t="s">
        <v>388</v>
      </c>
      <c r="C161" t="s">
        <v>389</v>
      </c>
      <c r="D161" t="s">
        <v>4</v>
      </c>
      <c r="E161">
        <v>0</v>
      </c>
      <c r="F161">
        <v>1</v>
      </c>
      <c r="G161">
        <v>0</v>
      </c>
      <c r="H161">
        <v>0</v>
      </c>
      <c r="I161" t="s">
        <v>31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4.5</v>
      </c>
      <c r="AE161">
        <v>692</v>
      </c>
      <c r="AF161">
        <v>18.69731683978652</v>
      </c>
      <c r="AG161">
        <v>15.99441376202493</v>
      </c>
      <c r="AH161">
        <v>23.923069045452252</v>
      </c>
      <c r="AI161">
        <f>19.8067709223342*1</f>
        <v>19.806770922334199</v>
      </c>
      <c r="AJ161">
        <f>3.16020327195522*1</f>
        <v>3.1602032719552202</v>
      </c>
      <c r="AK161">
        <v>1</v>
      </c>
      <c r="AL161">
        <v>0</v>
      </c>
      <c r="AM161">
        <v>0</v>
      </c>
    </row>
    <row r="162" spans="1:39" hidden="1" x14ac:dyDescent="0.2">
      <c r="A162" t="s">
        <v>390</v>
      </c>
      <c r="B162" t="s">
        <v>391</v>
      </c>
      <c r="C162" t="s">
        <v>391</v>
      </c>
      <c r="D162" t="s">
        <v>6</v>
      </c>
      <c r="E162">
        <v>0</v>
      </c>
      <c r="F162">
        <v>0</v>
      </c>
      <c r="G162">
        <v>0</v>
      </c>
      <c r="H162">
        <v>1</v>
      </c>
      <c r="I162" t="s">
        <v>31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5.6</v>
      </c>
      <c r="AE162">
        <v>698</v>
      </c>
      <c r="AF162">
        <v>0</v>
      </c>
      <c r="AG162">
        <v>0</v>
      </c>
      <c r="AH162">
        <v>0</v>
      </c>
      <c r="AI162">
        <f>0*1</f>
        <v>0</v>
      </c>
      <c r="AJ162">
        <f>0*1</f>
        <v>0</v>
      </c>
      <c r="AK162">
        <v>1</v>
      </c>
      <c r="AL162">
        <v>0</v>
      </c>
      <c r="AM162">
        <v>0</v>
      </c>
    </row>
    <row r="163" spans="1:39" hidden="1" x14ac:dyDescent="0.2">
      <c r="A163" t="s">
        <v>392</v>
      </c>
      <c r="B163" t="s">
        <v>393</v>
      </c>
      <c r="C163" t="s">
        <v>394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31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4.3</v>
      </c>
      <c r="AE163">
        <v>699</v>
      </c>
      <c r="AF163">
        <v>11.619718309859151</v>
      </c>
      <c r="AG163">
        <v>11.840852262963191</v>
      </c>
      <c r="AH163">
        <v>19.903686810209791</v>
      </c>
      <c r="AI163">
        <f>19.4453396324954*1</f>
        <v>19.445339632495401</v>
      </c>
      <c r="AJ163">
        <f>3.82519526645905*1</f>
        <v>3.8251952664590498</v>
      </c>
      <c r="AK163">
        <v>1</v>
      </c>
      <c r="AL163">
        <v>0</v>
      </c>
      <c r="AM16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2024-12-28T16:56:53Z</dcterms:created>
  <dcterms:modified xsi:type="dcterms:W3CDTF">2024-12-28T17:07:08Z</dcterms:modified>
</cp:coreProperties>
</file>