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68AC362A-450A-5E4B-8359-405826FA37B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1" i="1" l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30" i="1"/>
  <c r="AI130" i="1"/>
  <c r="AJ129" i="1"/>
  <c r="AI129" i="1"/>
  <c r="AJ128" i="1"/>
  <c r="AI128" i="1"/>
  <c r="AJ127" i="1"/>
  <c r="AI127" i="1"/>
  <c r="AJ126" i="1"/>
  <c r="AI126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110" i="1"/>
  <c r="AI11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P37" i="1"/>
  <c r="AJ37" i="1"/>
  <c r="AI37" i="1"/>
  <c r="AP36" i="1"/>
  <c r="AJ36" i="1"/>
  <c r="AI36" i="1"/>
  <c r="AP35" i="1"/>
  <c r="AJ35" i="1"/>
  <c r="AI35" i="1"/>
  <c r="AP34" i="1"/>
  <c r="AJ34" i="1"/>
  <c r="AI34" i="1"/>
  <c r="AP33" i="1"/>
  <c r="AJ33" i="1"/>
  <c r="AI33" i="1"/>
  <c r="AP32" i="1"/>
  <c r="AJ32" i="1"/>
  <c r="AI32" i="1"/>
  <c r="AP31" i="1"/>
  <c r="AJ31" i="1"/>
  <c r="AI31" i="1"/>
  <c r="AP30" i="1"/>
  <c r="AJ30" i="1"/>
  <c r="AI30" i="1"/>
  <c r="AP29" i="1"/>
  <c r="AJ29" i="1"/>
  <c r="AI29" i="1"/>
  <c r="AP28" i="1"/>
  <c r="AJ28" i="1"/>
  <c r="AI28" i="1"/>
  <c r="AP27" i="1"/>
  <c r="AJ27" i="1"/>
  <c r="AI27" i="1"/>
  <c r="AP26" i="1"/>
  <c r="AJ26" i="1"/>
  <c r="AI26" i="1"/>
  <c r="AP25" i="1"/>
  <c r="AJ25" i="1"/>
  <c r="AI25" i="1"/>
  <c r="AP24" i="1"/>
  <c r="AJ24" i="1"/>
  <c r="AI24" i="1"/>
  <c r="AP23" i="1"/>
  <c r="AJ23" i="1"/>
  <c r="AI23" i="1"/>
  <c r="AP22" i="1"/>
  <c r="AJ22" i="1"/>
  <c r="AI22" i="1"/>
  <c r="AP21" i="1"/>
  <c r="AJ21" i="1"/>
  <c r="AI21" i="1"/>
  <c r="AP20" i="1"/>
  <c r="AJ20" i="1"/>
  <c r="AI20" i="1"/>
  <c r="AP19" i="1"/>
  <c r="AJ19" i="1"/>
  <c r="AI19" i="1"/>
  <c r="AP18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P11" i="1"/>
  <c r="AP14" i="1" s="1"/>
  <c r="AJ11" i="1"/>
  <c r="AI11" i="1"/>
  <c r="AJ10" i="1"/>
  <c r="AI10" i="1"/>
  <c r="AP9" i="1"/>
  <c r="AJ9" i="1"/>
  <c r="AI9" i="1"/>
  <c r="AP8" i="1"/>
  <c r="AJ8" i="1"/>
  <c r="AI8" i="1"/>
  <c r="AP7" i="1"/>
  <c r="AJ7" i="1"/>
  <c r="AI7" i="1"/>
  <c r="AP6" i="1"/>
  <c r="AJ6" i="1"/>
  <c r="AI6" i="1"/>
  <c r="AJ5" i="1"/>
  <c r="AI5" i="1"/>
  <c r="AP4" i="1"/>
  <c r="AJ4" i="1"/>
  <c r="AI4" i="1"/>
  <c r="AJ3" i="1"/>
  <c r="AI3" i="1"/>
  <c r="AJ2" i="1"/>
  <c r="AI2" i="1"/>
  <c r="AP2" i="1" s="1"/>
  <c r="AP16" i="1" l="1"/>
</calcChain>
</file>

<file path=xl/sharedStrings.xml><?xml version="1.0" encoding="utf-8"?>
<sst xmlns="http://schemas.openxmlformats.org/spreadsheetml/2006/main" count="770" uniqueCount="334">
  <si>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</si>
  <si>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</si>
  <si>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</si>
  <si>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</si>
  <si>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</si>
  <si>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</si>
  <si>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</si>
  <si>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</si>
  <si>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</si>
  <si>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</si>
  <si>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</si>
  <si>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</si>
  <si>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</si>
  <si>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</si>
  <si>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</si>
  <si>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</si>
  <si>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</si>
  <si>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</si>
  <si>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</si>
  <si>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</si>
  <si>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</si>
  <si>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</si>
  <si>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</si>
  <si>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</si>
  <si>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</si>
  <si>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</si>
  <si>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</si>
  <si>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</si>
  <si>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</si>
  <si>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</si>
  <si>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</si>
  <si>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</si>
  <si>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</si>
  <si>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</si>
  <si>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</si>
  <si>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</si>
  <si>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</si>
  <si>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</si>
  <si>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</si>
  <si>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</si>
  <si>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</si>
  <si>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</si>
  <si>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</si>
  <si>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</si>
  <si>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</si>
  <si>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</si>
  <si>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</si>
  <si>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</si>
  <si>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</si>
  <si>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Martinelli Silva</t>
  </si>
  <si>
    <t>Martinelli</t>
  </si>
  <si>
    <t>David</t>
  </si>
  <si>
    <t>Raya Martin</t>
  </si>
  <si>
    <t>Raya</t>
  </si>
  <si>
    <t>Bukayo</t>
  </si>
  <si>
    <t>Saka</t>
  </si>
  <si>
    <t>William</t>
  </si>
  <si>
    <t>Saliba</t>
  </si>
  <si>
    <t>Thomas</t>
  </si>
  <si>
    <t>Partey</t>
  </si>
  <si>
    <t>Leandro</t>
  </si>
  <si>
    <t>Trossard</t>
  </si>
  <si>
    <t>Leon</t>
  </si>
  <si>
    <t>Bailey</t>
  </si>
  <si>
    <t>Ross</t>
  </si>
  <si>
    <t>Barkley</t>
  </si>
  <si>
    <t>Lucas</t>
  </si>
  <si>
    <t>Digne</t>
  </si>
  <si>
    <t>Emiliano</t>
  </si>
  <si>
    <t>Martínez Romero</t>
  </si>
  <si>
    <t>Martinez</t>
  </si>
  <si>
    <t>John</t>
  </si>
  <si>
    <t>McGinn</t>
  </si>
  <si>
    <t>Jacob</t>
  </si>
  <si>
    <t>Ramsey</t>
  </si>
  <si>
    <t>Morgan</t>
  </si>
  <si>
    <t>Rogers</t>
  </si>
  <si>
    <t>Youri</t>
  </si>
  <si>
    <t>Tielemans</t>
  </si>
  <si>
    <t>Ollie</t>
  </si>
  <si>
    <t>Watkins</t>
  </si>
  <si>
    <t>Ryan</t>
  </si>
  <si>
    <t>Christie</t>
  </si>
  <si>
    <t>Lewis</t>
  </si>
  <si>
    <t>Cook</t>
  </si>
  <si>
    <t>Milos</t>
  </si>
  <si>
    <t>Kerkez</t>
  </si>
  <si>
    <t>Justin</t>
  </si>
  <si>
    <t>Kluivert</t>
  </si>
  <si>
    <t>Dango</t>
  </si>
  <si>
    <t>Ouattara</t>
  </si>
  <si>
    <t>O.Dango</t>
  </si>
  <si>
    <t>Antoine</t>
  </si>
  <si>
    <t>Semenyo</t>
  </si>
  <si>
    <t>Marcos</t>
  </si>
  <si>
    <t>Senesi</t>
  </si>
  <si>
    <t>Marcus</t>
  </si>
  <si>
    <t>Tavernier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</si>
  <si>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</si>
  <si>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</si>
  <si>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</si>
  <si>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</si>
  <si>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</si>
  <si>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</si>
  <si>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</si>
  <si>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</si>
  <si>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Keane</t>
  </si>
  <si>
    <t>Lewis-Potter</t>
  </si>
  <si>
    <t>Bryan</t>
  </si>
  <si>
    <t>Mbeumo</t>
  </si>
  <si>
    <t>Ethan</t>
  </si>
  <si>
    <t>Pinnock</t>
  </si>
  <si>
    <t>Yoane</t>
  </si>
  <si>
    <t>Wissa</t>
  </si>
  <si>
    <t>Joël</t>
  </si>
  <si>
    <t>Veltman</t>
  </si>
  <si>
    <t>Bart</t>
  </si>
  <si>
    <t>Verbruggen</t>
  </si>
  <si>
    <t>Danny</t>
  </si>
  <si>
    <t>Welbeck</t>
  </si>
  <si>
    <t>Georginio</t>
  </si>
  <si>
    <t>Rutter</t>
  </si>
  <si>
    <t>Moisés</t>
  </si>
  <si>
    <t>Caicedo Corozo</t>
  </si>
  <si>
    <t>Caicedo</t>
  </si>
  <si>
    <t>Enzo</t>
  </si>
  <si>
    <t>Fernández</t>
  </si>
  <si>
    <t>Nicolas</t>
  </si>
  <si>
    <t>Jackson</t>
  </si>
  <si>
    <t>N.Jackson</t>
  </si>
  <si>
    <t>Cole</t>
  </si>
  <si>
    <t>Palmer</t>
  </si>
  <si>
    <t>Pedro</t>
  </si>
  <si>
    <t>Lomba Neto</t>
  </si>
  <si>
    <t>Neto</t>
  </si>
  <si>
    <t>Eberechi</t>
  </si>
  <si>
    <t>Eze</t>
  </si>
  <si>
    <t>Marc</t>
  </si>
  <si>
    <t>Guéhi</t>
  </si>
  <si>
    <t>Dean</t>
  </si>
  <si>
    <t>Henderson</t>
  </si>
  <si>
    <t>Jean-Philippe</t>
  </si>
  <si>
    <t>Mateta</t>
  </si>
  <si>
    <t>Tyrick</t>
  </si>
  <si>
    <t>Mitchell</t>
  </si>
  <si>
    <t>Daniel</t>
  </si>
  <si>
    <t>Muñoz</t>
  </si>
  <si>
    <t>Ismaïla</t>
  </si>
  <si>
    <t>Sarr</t>
  </si>
  <si>
    <t>I.Sarr</t>
  </si>
  <si>
    <t>Abdoulaye</t>
  </si>
  <si>
    <t>Doucouré</t>
  </si>
  <si>
    <t>A.Doucoure</t>
  </si>
  <si>
    <t>Dominic</t>
  </si>
  <si>
    <t>Calvert-Lewin</t>
  </si>
  <si>
    <t>Idrissa</t>
  </si>
  <si>
    <t>Gueye</t>
  </si>
  <si>
    <t>Gana</t>
  </si>
  <si>
    <t>Jack</t>
  </si>
  <si>
    <t>Harrison</t>
  </si>
  <si>
    <t>Michael</t>
  </si>
  <si>
    <t>Dwight</t>
  </si>
  <si>
    <t>McNeil</t>
  </si>
  <si>
    <t>Vitalii</t>
  </si>
  <si>
    <t>Mykolenko</t>
  </si>
  <si>
    <t>Iliman</t>
  </si>
  <si>
    <t>Ndiaye</t>
  </si>
  <si>
    <t>Jordan</t>
  </si>
  <si>
    <t>Pickford</t>
  </si>
  <si>
    <t>James</t>
  </si>
  <si>
    <t>Tarkowski</t>
  </si>
  <si>
    <t>Ashley</t>
  </si>
  <si>
    <t>Young</t>
  </si>
  <si>
    <t>Emile</t>
  </si>
  <si>
    <t>Smith Rowe</t>
  </si>
  <si>
    <t>Adama</t>
  </si>
  <si>
    <t>Traoré</t>
  </si>
  <si>
    <t>Alex</t>
  </si>
  <si>
    <t>Iwobi</t>
  </si>
  <si>
    <t>Bernd</t>
  </si>
  <si>
    <t>Leno</t>
  </si>
  <si>
    <t>Raúl</t>
  </si>
  <si>
    <t>Jiménez</t>
  </si>
  <si>
    <t>Antonee</t>
  </si>
  <si>
    <t>Robinson</t>
  </si>
  <si>
    <t>Kenny</t>
  </si>
  <si>
    <t>Tete</t>
  </si>
  <si>
    <t>Leif</t>
  </si>
  <si>
    <t>Davis</t>
  </si>
  <si>
    <t>Liam</t>
  </si>
  <si>
    <t>Delap</t>
  </si>
  <si>
    <t>Arijanet</t>
  </si>
  <si>
    <t>Muric</t>
  </si>
  <si>
    <t>Facundo</t>
  </si>
  <si>
    <t>Buonanotte</t>
  </si>
  <si>
    <t>Ayew</t>
  </si>
  <si>
    <t>J.Ayew</t>
  </si>
  <si>
    <t>Jamie</t>
  </si>
  <si>
    <t>Vardy</t>
  </si>
  <si>
    <t>Harry</t>
  </si>
  <si>
    <t>Winks</t>
  </si>
  <si>
    <t>Trent</t>
  </si>
  <si>
    <t>Alexander-Arnold</t>
  </si>
  <si>
    <t>Darwin</t>
  </si>
  <si>
    <t>Núñez Ribeiro</t>
  </si>
  <si>
    <t>Gravenberch</t>
  </si>
  <si>
    <t>Curtis</t>
  </si>
  <si>
    <t>Jones</t>
  </si>
  <si>
    <t>Luis</t>
  </si>
  <si>
    <t>Díaz</t>
  </si>
  <si>
    <t>Luis Díaz</t>
  </si>
  <si>
    <t>Mohamed</t>
  </si>
  <si>
    <t>Salah</t>
  </si>
  <si>
    <t>M.Salah</t>
  </si>
  <si>
    <t>Andrew</t>
  </si>
  <si>
    <t>Robertson</t>
  </si>
  <si>
    <t>Dominik</t>
  </si>
  <si>
    <t>Szoboszlai</t>
  </si>
  <si>
    <t>Virgil</t>
  </si>
  <si>
    <t>van Dijk</t>
  </si>
  <si>
    <t>Manuel</t>
  </si>
  <si>
    <t>Akanji</t>
  </si>
  <si>
    <t>Ederson</t>
  </si>
  <si>
    <t>Santana de Moraes</t>
  </si>
  <si>
    <t>Ederson M.</t>
  </si>
  <si>
    <t>Phil</t>
  </si>
  <si>
    <t>Foden</t>
  </si>
  <si>
    <t>Joško</t>
  </si>
  <si>
    <t>Gvardiol</t>
  </si>
  <si>
    <t>Erling</t>
  </si>
  <si>
    <t>Haaland</t>
  </si>
  <si>
    <t>Mateo</t>
  </si>
  <si>
    <t>Kovačić</t>
  </si>
  <si>
    <t>Rúben</t>
  </si>
  <si>
    <t>Gato Alves Dias</t>
  </si>
  <si>
    <t>Ilkay</t>
  </si>
  <si>
    <t>Gündogan</t>
  </si>
  <si>
    <t>Amad</t>
  </si>
  <si>
    <t>Diallo</t>
  </si>
  <si>
    <t>Bruno</t>
  </si>
  <si>
    <t>Borges Fernandes</t>
  </si>
  <si>
    <t>B.Fernandes</t>
  </si>
  <si>
    <t>Carlos Henrique</t>
  </si>
  <si>
    <t>Casimiro</t>
  </si>
  <si>
    <t>Casemiro</t>
  </si>
  <si>
    <t>Diogo</t>
  </si>
  <si>
    <t>Dalot Teixeira</t>
  </si>
  <si>
    <t>Dalot</t>
  </si>
  <si>
    <t>Alejandro</t>
  </si>
  <si>
    <t>Garnacho</t>
  </si>
  <si>
    <t>Lisandro</t>
  </si>
  <si>
    <t>Martínez</t>
  </si>
  <si>
    <t>André</t>
  </si>
  <si>
    <t>Onana</t>
  </si>
  <si>
    <t>Rashford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</si>
  <si>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</si>
  <si>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</si>
  <si>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</si>
  <si>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</si>
  <si>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</si>
  <si>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</si>
  <si>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</si>
  <si>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</si>
  <si>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</si>
  <si>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</si>
  <si>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</si>
  <si>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Joelinton Cássio</t>
  </si>
  <si>
    <t>Apolinário de Lira</t>
  </si>
  <si>
    <t>Joelinton</t>
  </si>
  <si>
    <t>Tino</t>
  </si>
  <si>
    <t>Livramento</t>
  </si>
  <si>
    <t>Nick</t>
  </si>
  <si>
    <t>Pope</t>
  </si>
  <si>
    <t>Fabian</t>
  </si>
  <si>
    <t>Schär</t>
  </si>
  <si>
    <t>Ola</t>
  </si>
  <si>
    <t>Aina</t>
  </si>
  <si>
    <t>Elliot</t>
  </si>
  <si>
    <t>Anderson</t>
  </si>
  <si>
    <t>Elanga</t>
  </si>
  <si>
    <t>Callum</t>
  </si>
  <si>
    <t>Hudson-Odoi</t>
  </si>
  <si>
    <t>Murillo</t>
  </si>
  <si>
    <t>Santiago Costa dos Santos</t>
  </si>
  <si>
    <t>Matz</t>
  </si>
  <si>
    <t>Sels</t>
  </si>
  <si>
    <t>Chris</t>
  </si>
  <si>
    <t>Wood</t>
  </si>
  <si>
    <t>Yates</t>
  </si>
  <si>
    <t>Aaron</t>
  </si>
  <si>
    <t>Ramsdale</t>
  </si>
  <si>
    <t>Cameron</t>
  </si>
  <si>
    <t>Archer</t>
  </si>
  <si>
    <t>Adam</t>
  </si>
  <si>
    <t>Armstrong</t>
  </si>
  <si>
    <t>Kyle</t>
  </si>
  <si>
    <t>Walker-Peters</t>
  </si>
  <si>
    <t>Yves</t>
  </si>
  <si>
    <t>Bissouma</t>
  </si>
  <si>
    <t>Brennan</t>
  </si>
  <si>
    <t>Johnson</t>
  </si>
  <si>
    <t>Dejan</t>
  </si>
  <si>
    <t>Kulusevski</t>
  </si>
  <si>
    <t>Maddison</t>
  </si>
  <si>
    <t>Porro</t>
  </si>
  <si>
    <t>Pedro Porro</t>
  </si>
  <si>
    <t>Son</t>
  </si>
  <si>
    <t>Heung-min</t>
  </si>
  <si>
    <t>Destiny</t>
  </si>
  <si>
    <t>Udogie</t>
  </si>
  <si>
    <t>Guglielmo</t>
  </si>
  <si>
    <t>Vicario</t>
  </si>
  <si>
    <t>Timo</t>
  </si>
  <si>
    <t>Werner</t>
  </si>
  <si>
    <t>Wan-Bissaka</t>
  </si>
  <si>
    <t>Jarrod</t>
  </si>
  <si>
    <t>Bowen</t>
  </si>
  <si>
    <t>Emerson</t>
  </si>
  <si>
    <t>Palmieri dos Santos</t>
  </si>
  <si>
    <t>Max</t>
  </si>
  <si>
    <t>Kilman</t>
  </si>
  <si>
    <t>Tomáš</t>
  </si>
  <si>
    <t>Souček</t>
  </si>
  <si>
    <t>Rayan</t>
  </si>
  <si>
    <t>Aït-Nouri</t>
  </si>
  <si>
    <t>Matheus</t>
  </si>
  <si>
    <t>Santos Carneiro Da Cunha</t>
  </si>
  <si>
    <t>Cunha</t>
  </si>
  <si>
    <t>João Victor</t>
  </si>
  <si>
    <t>Gomes da Silva</t>
  </si>
  <si>
    <t>J.Gomes</t>
  </si>
  <si>
    <t>Mario</t>
  </si>
  <si>
    <t>Lemina</t>
  </si>
  <si>
    <t>Mario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</si>
</sst>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41" totalsRowShown="0">
  <autoFilter ref="A1:AM141" xr:uid="{00000000-0009-0000-0100-000001000000}">
    <filterColumn colId="37">
      <filters>
        <filter val="0"/>
      </filters>
    </filterColumn>
    <filterColumn colId="38">
      <filters>
        <filter val="1"/>
      </filters>
    </filterColumn>
  </autoFilter>
  <tableColumns count="39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5" xr3:uid="{00000000-0010-0000-0000-000023000000}" name="PP"/>
    <tableColumn id="36" xr3:uid="{00000000-0010-0000-0000-000024000000}" name="NEXT"/>
    <tableColumn id="37" xr3:uid="{00000000-0010-0000-0000-000025000000}" name="Health"/>
    <tableColumn id="38" xr3:uid="{00000000-0010-0000-0000-000026000000}" name="PREV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1"/>
  <sheetViews>
    <sheetView tabSelected="1" workbookViewId="0">
      <selection activeCell="C127" sqref="A127:C127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3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</row>
    <row r="2" spans="1:43" hidden="1" x14ac:dyDescent="0.2">
      <c r="A2" t="s">
        <v>45</v>
      </c>
      <c r="B2" t="s">
        <v>46</v>
      </c>
      <c r="C2" t="s">
        <v>45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6.2</v>
      </c>
      <c r="AE2">
        <v>2</v>
      </c>
      <c r="AF2">
        <v>19.190765117167931</v>
      </c>
      <c r="AG2">
        <v>18.009214213977849</v>
      </c>
      <c r="AH2">
        <v>14.43099314590712</v>
      </c>
      <c r="AI2">
        <f>11.7892109679012*0.75</f>
        <v>8.8419082259259003</v>
      </c>
      <c r="AJ2">
        <f>3.108879046416*0.75</f>
        <v>2.3316592848119999</v>
      </c>
      <c r="AK2">
        <v>0.75</v>
      </c>
      <c r="AL2">
        <v>1</v>
      </c>
      <c r="AM2">
        <v>1</v>
      </c>
      <c r="AO2" t="s">
        <v>0</v>
      </c>
      <c r="AP2">
        <f>SUMPRODUCT(Table1[Selected], Table1[PP])</f>
        <v>302.51471069271452</v>
      </c>
      <c r="AQ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7.9</v>
      </c>
      <c r="AE3">
        <v>3</v>
      </c>
      <c r="AF3">
        <v>16.760509108523038</v>
      </c>
      <c r="AG3">
        <v>13.792573042287239</v>
      </c>
      <c r="AH3">
        <v>10.261473852062091</v>
      </c>
      <c r="AI3">
        <f>6.58684840105922*1</f>
        <v>6.5868484010592203</v>
      </c>
      <c r="AJ3">
        <f>1.23979377623682*1</f>
        <v>1.2397937762368201</v>
      </c>
      <c r="AK3">
        <v>1</v>
      </c>
      <c r="AL3">
        <v>0</v>
      </c>
      <c r="AM3">
        <v>0</v>
      </c>
    </row>
    <row r="4" spans="1:43" hidden="1" x14ac:dyDescent="0.2">
      <c r="A4" t="s">
        <v>45</v>
      </c>
      <c r="B4" t="s">
        <v>49</v>
      </c>
      <c r="C4" t="s">
        <v>50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6.9</v>
      </c>
      <c r="AE4">
        <v>8</v>
      </c>
      <c r="AF4">
        <v>22.088607594936711</v>
      </c>
      <c r="AG4">
        <v>20.785602524793031</v>
      </c>
      <c r="AH4">
        <v>12.865</v>
      </c>
      <c r="AI4">
        <f>17.2253131943388*1</f>
        <v>17.225313194338799</v>
      </c>
      <c r="AJ4">
        <f>2.84210516133374*1</f>
        <v>2.8421051613337398</v>
      </c>
      <c r="AK4">
        <v>1</v>
      </c>
      <c r="AL4">
        <v>0</v>
      </c>
      <c r="AM4">
        <v>0</v>
      </c>
      <c r="AO4" t="s">
        <v>2</v>
      </c>
      <c r="AP4">
        <f>SUMPRODUCT(Table1[Selected],Table1[Cost])</f>
        <v>95.899999999999991</v>
      </c>
      <c r="AQ4">
        <v>99.699999999999989</v>
      </c>
    </row>
    <row r="5" spans="1:43" hidden="1" x14ac:dyDescent="0.2">
      <c r="A5" t="s">
        <v>51</v>
      </c>
      <c r="B5" t="s">
        <v>52</v>
      </c>
      <c r="C5" t="s">
        <v>53</v>
      </c>
      <c r="D5" t="s">
        <v>3</v>
      </c>
      <c r="E5">
        <v>1</v>
      </c>
      <c r="F5">
        <v>0</v>
      </c>
      <c r="G5">
        <v>0</v>
      </c>
      <c r="H5">
        <v>0</v>
      </c>
      <c r="I5" t="s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5.5</v>
      </c>
      <c r="AE5">
        <v>11</v>
      </c>
      <c r="AF5">
        <v>20.631067961165041</v>
      </c>
      <c r="AG5">
        <v>20.30545980292742</v>
      </c>
      <c r="AH5">
        <v>16.571358339288238</v>
      </c>
      <c r="AI5">
        <f>7.69869726911763*1</f>
        <v>7.6986972691176296</v>
      </c>
      <c r="AJ5">
        <f>1.5566912405367*1</f>
        <v>1.5566912405366999</v>
      </c>
      <c r="AK5">
        <v>1</v>
      </c>
      <c r="AL5">
        <v>0</v>
      </c>
      <c r="AM5">
        <v>0</v>
      </c>
    </row>
    <row r="6" spans="1:43" hidden="1" x14ac:dyDescent="0.2">
      <c r="A6" t="s">
        <v>54</v>
      </c>
      <c r="B6" t="s">
        <v>55</v>
      </c>
      <c r="C6" t="s">
        <v>55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10.199999999999999</v>
      </c>
      <c r="AE6">
        <v>13</v>
      </c>
      <c r="AF6">
        <v>33.953816642365531</v>
      </c>
      <c r="AG6">
        <v>22.71535232045532</v>
      </c>
      <c r="AH6">
        <v>28.839814870533971</v>
      </c>
      <c r="AI6">
        <f>23.6765313657956*1</f>
        <v>23.676531365795601</v>
      </c>
      <c r="AJ6">
        <f>4.63696969248447*1</f>
        <v>4.6369696924844703</v>
      </c>
      <c r="AK6">
        <v>1</v>
      </c>
      <c r="AL6">
        <v>0</v>
      </c>
      <c r="AM6">
        <v>0</v>
      </c>
      <c r="AO6" t="s">
        <v>3</v>
      </c>
      <c r="AP6">
        <f>SUMPRODUCT(Table1[Selected],Table1[GKP])</f>
        <v>2</v>
      </c>
      <c r="AQ6">
        <v>2</v>
      </c>
    </row>
    <row r="7" spans="1:43" hidden="1" x14ac:dyDescent="0.2">
      <c r="A7" t="s">
        <v>56</v>
      </c>
      <c r="B7" t="s">
        <v>57</v>
      </c>
      <c r="C7" t="s">
        <v>57</v>
      </c>
      <c r="D7" t="s">
        <v>4</v>
      </c>
      <c r="E7">
        <v>0</v>
      </c>
      <c r="F7">
        <v>1</v>
      </c>
      <c r="G7">
        <v>0</v>
      </c>
      <c r="H7">
        <v>0</v>
      </c>
      <c r="I7" t="s">
        <v>11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14</v>
      </c>
      <c r="AF7">
        <v>20.20547945205481</v>
      </c>
      <c r="AG7">
        <v>18.42490527088863</v>
      </c>
      <c r="AH7">
        <v>7.5829287134434198</v>
      </c>
      <c r="AI7">
        <f>6.21551074434143*1</f>
        <v>6.2155107443414304</v>
      </c>
      <c r="AJ7">
        <f>1.07761957223725*1</f>
        <v>1.0776195722372499</v>
      </c>
      <c r="AK7">
        <v>1</v>
      </c>
      <c r="AL7">
        <v>0</v>
      </c>
      <c r="AM7">
        <v>0</v>
      </c>
      <c r="AO7" t="s">
        <v>4</v>
      </c>
      <c r="AP7">
        <f>SUMPRODUCT(Table1[Selected],Table1[DEF])</f>
        <v>5</v>
      </c>
      <c r="AQ7">
        <v>5</v>
      </c>
    </row>
    <row r="8" spans="1:43" hidden="1" x14ac:dyDescent="0.2">
      <c r="A8" t="s">
        <v>58</v>
      </c>
      <c r="B8" t="s">
        <v>59</v>
      </c>
      <c r="C8" t="s">
        <v>58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15</v>
      </c>
      <c r="AF8">
        <v>12.009803921568629</v>
      </c>
      <c r="AG8">
        <v>10.65319500491537</v>
      </c>
      <c r="AH8">
        <v>33.771333333333338</v>
      </c>
      <c r="AI8">
        <f>6.31047893769265*1</f>
        <v>6.3104789376926496</v>
      </c>
      <c r="AJ8">
        <f>1.102458604276*1</f>
        <v>1.1024586042760001</v>
      </c>
      <c r="AK8">
        <v>1</v>
      </c>
      <c r="AL8">
        <v>0</v>
      </c>
      <c r="AM8">
        <v>0</v>
      </c>
      <c r="AO8" t="s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60</v>
      </c>
      <c r="B9" t="s">
        <v>61</v>
      </c>
      <c r="C9" t="s">
        <v>61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6.8</v>
      </c>
      <c r="AE9">
        <v>18</v>
      </c>
      <c r="AF9">
        <v>19.209039548022599</v>
      </c>
      <c r="AG9">
        <v>22.860687991297478</v>
      </c>
      <c r="AH9">
        <v>10.645520472708981</v>
      </c>
      <c r="AI9">
        <f>13.7800840680403*1</f>
        <v>13.780084068040299</v>
      </c>
      <c r="AJ9">
        <f>2.94731356099762*1</f>
        <v>2.9473135609976202</v>
      </c>
      <c r="AK9">
        <v>1</v>
      </c>
      <c r="AL9">
        <v>0</v>
      </c>
      <c r="AM9">
        <v>0</v>
      </c>
      <c r="AO9" t="s">
        <v>6</v>
      </c>
      <c r="AP9">
        <f>SUMPRODUCT(Table1[Selected],Table1[FWD])</f>
        <v>3</v>
      </c>
      <c r="AQ9">
        <v>3</v>
      </c>
    </row>
    <row r="10" spans="1:43" hidden="1" x14ac:dyDescent="0.2">
      <c r="A10" t="s">
        <v>62</v>
      </c>
      <c r="B10" t="s">
        <v>63</v>
      </c>
      <c r="C10" t="s">
        <v>63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12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6.3</v>
      </c>
      <c r="AE10">
        <v>33</v>
      </c>
      <c r="AF10">
        <v>15.98958333333333</v>
      </c>
      <c r="AG10">
        <v>15.064419810327189</v>
      </c>
      <c r="AH10">
        <v>9.0006409718784948</v>
      </c>
      <c r="AI10">
        <f>8.78383760043105*1</f>
        <v>8.7838376004310508</v>
      </c>
      <c r="AJ10">
        <f>1.79737738105166*1</f>
        <v>1.79737738105166</v>
      </c>
      <c r="AK10">
        <v>1</v>
      </c>
      <c r="AL10">
        <v>0</v>
      </c>
      <c r="AM10">
        <v>0</v>
      </c>
    </row>
    <row r="11" spans="1:43" hidden="1" x14ac:dyDescent="0.2">
      <c r="A11" t="s">
        <v>64</v>
      </c>
      <c r="B11" t="s">
        <v>65</v>
      </c>
      <c r="C11" t="s">
        <v>65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12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5.2</v>
      </c>
      <c r="AE11">
        <v>34</v>
      </c>
      <c r="AF11">
        <v>16.50482425285664</v>
      </c>
      <c r="AG11">
        <v>13.214395709163449</v>
      </c>
      <c r="AH11">
        <v>24.970835113179671</v>
      </c>
      <c r="AI11">
        <f>13.5362177441083*1</f>
        <v>13.536217744108299</v>
      </c>
      <c r="AJ11">
        <f>2.98259779540938*1</f>
        <v>2.9825977954093799</v>
      </c>
      <c r="AK11">
        <v>1</v>
      </c>
      <c r="AL11">
        <v>0</v>
      </c>
      <c r="AM11">
        <v>0</v>
      </c>
      <c r="AO11" t="s">
        <v>7</v>
      </c>
      <c r="AP11">
        <f>SUMPRODUCT(Table1[Selected], -- (Table1[PREV] = 0))</f>
        <v>2</v>
      </c>
    </row>
    <row r="12" spans="1:43" hidden="1" x14ac:dyDescent="0.2">
      <c r="A12" t="s">
        <v>66</v>
      </c>
      <c r="B12" t="s">
        <v>67</v>
      </c>
      <c r="C12" t="s">
        <v>67</v>
      </c>
      <c r="D12" t="s">
        <v>4</v>
      </c>
      <c r="E12">
        <v>0</v>
      </c>
      <c r="F12">
        <v>1</v>
      </c>
      <c r="G12">
        <v>0</v>
      </c>
      <c r="H12">
        <v>0</v>
      </c>
      <c r="I12" t="s">
        <v>12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4.7</v>
      </c>
      <c r="AE12">
        <v>41</v>
      </c>
      <c r="AF12">
        <v>13.366138012732319</v>
      </c>
      <c r="AG12">
        <v>16.260152675456489</v>
      </c>
      <c r="AH12">
        <v>5.8447779553823551</v>
      </c>
      <c r="AI12">
        <f>7.06901883184816*1</f>
        <v>7.0690188318481599</v>
      </c>
      <c r="AJ12">
        <f>1.54993503101834*1</f>
        <v>1.54993503101834</v>
      </c>
      <c r="AK12">
        <v>1</v>
      </c>
      <c r="AL12">
        <v>0</v>
      </c>
      <c r="AM12">
        <v>0</v>
      </c>
      <c r="AO12" t="s">
        <v>8</v>
      </c>
      <c r="AP12">
        <v>1</v>
      </c>
    </row>
    <row r="13" spans="1:43" hidden="1" x14ac:dyDescent="0.2">
      <c r="A13" t="s">
        <v>68</v>
      </c>
      <c r="B13" t="s">
        <v>69</v>
      </c>
      <c r="C13" t="s">
        <v>70</v>
      </c>
      <c r="D13" t="s">
        <v>3</v>
      </c>
      <c r="E13">
        <v>1</v>
      </c>
      <c r="F13">
        <v>0</v>
      </c>
      <c r="G13">
        <v>0</v>
      </c>
      <c r="H13">
        <v>0</v>
      </c>
      <c r="I13" t="s">
        <v>12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52</v>
      </c>
      <c r="AF13">
        <v>16.851851851851851</v>
      </c>
      <c r="AG13">
        <v>18.535854166094548</v>
      </c>
      <c r="AH13">
        <v>9.4106698236617525</v>
      </c>
      <c r="AI13">
        <f>13.8299477961873*1</f>
        <v>13.8299477961873</v>
      </c>
      <c r="AJ13">
        <f>3.00996205206722*1</f>
        <v>3.0099620520672201</v>
      </c>
      <c r="AK13">
        <v>1</v>
      </c>
      <c r="AL13">
        <v>0</v>
      </c>
      <c r="AM13">
        <v>0</v>
      </c>
    </row>
    <row r="14" spans="1:43" hidden="1" x14ac:dyDescent="0.2">
      <c r="A14" t="s">
        <v>71</v>
      </c>
      <c r="B14" t="s">
        <v>72</v>
      </c>
      <c r="C14" t="s">
        <v>72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12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5.2</v>
      </c>
      <c r="AE14">
        <v>53</v>
      </c>
      <c r="AF14">
        <v>14.854651162790709</v>
      </c>
      <c r="AG14">
        <v>16.199533807326748</v>
      </c>
      <c r="AH14">
        <v>12.537125045751029</v>
      </c>
      <c r="AI14">
        <f>9.20359983222864*1</f>
        <v>9.2035998322286403</v>
      </c>
      <c r="AJ14">
        <f>1.90009958846663*1</f>
        <v>1.9000995884666301</v>
      </c>
      <c r="AK14">
        <v>1</v>
      </c>
      <c r="AL14">
        <v>0</v>
      </c>
      <c r="AM14">
        <v>0</v>
      </c>
      <c r="AO14" t="s">
        <v>9</v>
      </c>
      <c r="AP14">
        <f>((AP11-AP12)+ABS((AP11-AP12)))/2*4</f>
        <v>4</v>
      </c>
    </row>
    <row r="15" spans="1:43" hidden="1" x14ac:dyDescent="0.2">
      <c r="A15" t="s">
        <v>73</v>
      </c>
      <c r="B15" t="s">
        <v>74</v>
      </c>
      <c r="C15" t="s">
        <v>74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12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5.4</v>
      </c>
      <c r="AE15">
        <v>58</v>
      </c>
      <c r="AF15">
        <v>13.87387387387388</v>
      </c>
      <c r="AG15">
        <v>12.80561187132327</v>
      </c>
      <c r="AH15">
        <v>9.4166666666666679</v>
      </c>
      <c r="AI15">
        <f>4.09489526351631*1</f>
        <v>4.0948952635163103</v>
      </c>
      <c r="AJ15">
        <f>0.804488093979138*1</f>
        <v>0.80448809397913801</v>
      </c>
      <c r="AK15">
        <v>1</v>
      </c>
      <c r="AL15">
        <v>0</v>
      </c>
      <c r="AM15">
        <v>0</v>
      </c>
    </row>
    <row r="16" spans="1:43" hidden="1" x14ac:dyDescent="0.2">
      <c r="A16" t="s">
        <v>75</v>
      </c>
      <c r="B16" t="s">
        <v>76</v>
      </c>
      <c r="C16" t="s">
        <v>76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5.4</v>
      </c>
      <c r="AE16">
        <v>59</v>
      </c>
      <c r="AF16">
        <v>17.826086956521738</v>
      </c>
      <c r="AG16">
        <v>31.71675297184299</v>
      </c>
      <c r="AH16">
        <v>18.88637389734448</v>
      </c>
      <c r="AI16">
        <f>27.1094889519053*1</f>
        <v>27.109488951905298</v>
      </c>
      <c r="AJ16">
        <f>5.79114707552773*1</f>
        <v>5.7911470755277303</v>
      </c>
      <c r="AK16">
        <v>1</v>
      </c>
      <c r="AL16">
        <v>1</v>
      </c>
      <c r="AM16">
        <v>1</v>
      </c>
      <c r="AO16" t="s">
        <v>10</v>
      </c>
      <c r="AP16">
        <f>AP2-AP14*5</f>
        <v>282.51471069271452</v>
      </c>
    </row>
    <row r="17" spans="1:43" hidden="1" x14ac:dyDescent="0.2">
      <c r="A17" t="s">
        <v>77</v>
      </c>
      <c r="B17" t="s">
        <v>78</v>
      </c>
      <c r="C17" t="s">
        <v>78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12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5.5</v>
      </c>
      <c r="AE17">
        <v>62</v>
      </c>
      <c r="AF17">
        <v>14.255343345570481</v>
      </c>
      <c r="AG17">
        <v>16.698197796550271</v>
      </c>
      <c r="AH17">
        <v>7.6773812090725952</v>
      </c>
      <c r="AI17">
        <f>12.8823473454415*1</f>
        <v>12.882347345441501</v>
      </c>
      <c r="AJ17">
        <f>2.50996443230358*1</f>
        <v>2.5099644323035801</v>
      </c>
      <c r="AK17">
        <v>1</v>
      </c>
      <c r="AL17">
        <v>0</v>
      </c>
      <c r="AM17">
        <v>0</v>
      </c>
    </row>
    <row r="18" spans="1:43" hidden="1" x14ac:dyDescent="0.2">
      <c r="A18" t="s">
        <v>79</v>
      </c>
      <c r="B18" t="s">
        <v>80</v>
      </c>
      <c r="C18" t="s">
        <v>80</v>
      </c>
      <c r="D18" t="s">
        <v>6</v>
      </c>
      <c r="E18">
        <v>0</v>
      </c>
      <c r="F18">
        <v>0</v>
      </c>
      <c r="G18">
        <v>0</v>
      </c>
      <c r="H18">
        <v>1</v>
      </c>
      <c r="I18" t="s">
        <v>12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63</v>
      </c>
      <c r="AF18">
        <v>27.13079654950754</v>
      </c>
      <c r="AG18">
        <v>21.995409309740701</v>
      </c>
      <c r="AH18">
        <v>25.62891485110767</v>
      </c>
      <c r="AI18">
        <f>25.9353284876522*1</f>
        <v>25.9353284876522</v>
      </c>
      <c r="AJ18">
        <f>5.36459833339123*1</f>
        <v>5.3645983333912302</v>
      </c>
      <c r="AK18">
        <v>1</v>
      </c>
      <c r="AL18">
        <v>0</v>
      </c>
      <c r="AM18">
        <v>0</v>
      </c>
      <c r="AO18" t="s">
        <v>11</v>
      </c>
      <c r="AP18">
        <f>SUMPRODUCT(Table1[Selected],Table1[ARS])</f>
        <v>1</v>
      </c>
      <c r="AQ18">
        <v>3</v>
      </c>
    </row>
    <row r="19" spans="1:43" hidden="1" x14ac:dyDescent="0.2">
      <c r="A19" t="s">
        <v>81</v>
      </c>
      <c r="B19" t="s">
        <v>82</v>
      </c>
      <c r="C19" t="s">
        <v>82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4.9000000000000004</v>
      </c>
      <c r="AE19">
        <v>75</v>
      </c>
      <c r="AF19">
        <v>10.90809213175671</v>
      </c>
      <c r="AG19">
        <v>8.2759775068417927</v>
      </c>
      <c r="AH19">
        <v>9.0359500354374163</v>
      </c>
      <c r="AI19">
        <f>7.98698741971365*1</f>
        <v>7.9869874197136497</v>
      </c>
      <c r="AJ19">
        <f>1.55951073872344*1</f>
        <v>1.5595107387234399</v>
      </c>
      <c r="AK19">
        <v>1</v>
      </c>
      <c r="AL19">
        <v>0</v>
      </c>
      <c r="AM19">
        <v>0</v>
      </c>
      <c r="AO19" t="s">
        <v>12</v>
      </c>
      <c r="AP19">
        <f>SUMPRODUCT(Table1[Selected],Table1[AVL])</f>
        <v>1</v>
      </c>
      <c r="AQ19">
        <v>3</v>
      </c>
    </row>
    <row r="20" spans="1:43" hidden="1" x14ac:dyDescent="0.2">
      <c r="A20" t="s">
        <v>83</v>
      </c>
      <c r="B20" t="s">
        <v>84</v>
      </c>
      <c r="C20" t="s">
        <v>84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76</v>
      </c>
      <c r="AF20">
        <v>13.047619520620101</v>
      </c>
      <c r="AG20">
        <v>8.1247879891451564</v>
      </c>
      <c r="AH20">
        <v>20.200727272727281</v>
      </c>
      <c r="AI20">
        <f>10.4422516427526*1</f>
        <v>10.4422516427526</v>
      </c>
      <c r="AJ20">
        <f>1.90895483082237*1</f>
        <v>1.9089548308223701</v>
      </c>
      <c r="AK20">
        <v>1</v>
      </c>
      <c r="AL20">
        <v>0</v>
      </c>
      <c r="AM20">
        <v>0</v>
      </c>
      <c r="AO20" t="s">
        <v>13</v>
      </c>
      <c r="AP20">
        <f>SUMPRODUCT(Table1[Selected],Table1[BOU])</f>
        <v>0</v>
      </c>
      <c r="AQ20">
        <v>3</v>
      </c>
    </row>
    <row r="21" spans="1:43" hidden="1" x14ac:dyDescent="0.2">
      <c r="A21" t="s">
        <v>85</v>
      </c>
      <c r="B21" t="s">
        <v>86</v>
      </c>
      <c r="C21" t="s">
        <v>86</v>
      </c>
      <c r="D21" t="s">
        <v>4</v>
      </c>
      <c r="E21">
        <v>0</v>
      </c>
      <c r="F21">
        <v>1</v>
      </c>
      <c r="G21">
        <v>0</v>
      </c>
      <c r="H21">
        <v>0</v>
      </c>
      <c r="I21" t="s">
        <v>13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4.4000000000000004</v>
      </c>
      <c r="AE21">
        <v>82</v>
      </c>
      <c r="AF21">
        <v>10.509965693498019</v>
      </c>
      <c r="AG21">
        <v>9.5441074123473406</v>
      </c>
      <c r="AH21">
        <v>23.702097524894061</v>
      </c>
      <c r="AI21">
        <f>15.7455788103922*1</f>
        <v>15.7455788103922</v>
      </c>
      <c r="AJ21">
        <f>2.71263694275347*1</f>
        <v>2.7126369427534698</v>
      </c>
      <c r="AK21">
        <v>1</v>
      </c>
      <c r="AL21">
        <v>0</v>
      </c>
      <c r="AM21">
        <v>0</v>
      </c>
      <c r="AO21" t="s">
        <v>14</v>
      </c>
      <c r="AP21">
        <f>SUMPRODUCT(Table1[Selected],Table1[BRE])</f>
        <v>2</v>
      </c>
      <c r="AQ21">
        <v>3</v>
      </c>
    </row>
    <row r="22" spans="1:43" hidden="1" x14ac:dyDescent="0.2">
      <c r="A22" t="s">
        <v>87</v>
      </c>
      <c r="B22" t="s">
        <v>88</v>
      </c>
      <c r="C22" t="s">
        <v>88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5.3</v>
      </c>
      <c r="AE22">
        <v>83</v>
      </c>
      <c r="AF22">
        <v>15.697674418604651</v>
      </c>
      <c r="AG22">
        <v>11.74640903116862</v>
      </c>
      <c r="AH22">
        <v>23.4</v>
      </c>
      <c r="AI22">
        <f>9.80990700243966*1</f>
        <v>9.80990700243966</v>
      </c>
      <c r="AJ22">
        <f>2.01816310030595*1</f>
        <v>2.0181631003059501</v>
      </c>
      <c r="AK22">
        <v>1</v>
      </c>
      <c r="AL22">
        <v>0</v>
      </c>
      <c r="AM22">
        <v>0</v>
      </c>
      <c r="AO22" t="s">
        <v>15</v>
      </c>
      <c r="AP22">
        <f>SUMPRODUCT(Table1[Selected],Table1[BHA])</f>
        <v>1</v>
      </c>
      <c r="AQ22">
        <v>3</v>
      </c>
    </row>
    <row r="23" spans="1:43" hidden="1" x14ac:dyDescent="0.2">
      <c r="A23" t="s">
        <v>89</v>
      </c>
      <c r="B23" t="s">
        <v>90</v>
      </c>
      <c r="C23" t="s">
        <v>91</v>
      </c>
      <c r="D23" t="s">
        <v>5</v>
      </c>
      <c r="E23">
        <v>0</v>
      </c>
      <c r="F23">
        <v>0</v>
      </c>
      <c r="G23">
        <v>1</v>
      </c>
      <c r="H23">
        <v>0</v>
      </c>
      <c r="I23" t="s">
        <v>13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85</v>
      </c>
      <c r="AF23">
        <v>9.4770308156874883</v>
      </c>
      <c r="AG23">
        <v>8.4675987765763363</v>
      </c>
      <c r="AH23">
        <v>6.3571428571428577</v>
      </c>
      <c r="AI23">
        <f>9.43768455697562*1</f>
        <v>9.4376845569756203</v>
      </c>
      <c r="AJ23">
        <f>1.55394314997105*1</f>
        <v>1.5539431499710501</v>
      </c>
      <c r="AK23">
        <v>1</v>
      </c>
      <c r="AL23">
        <v>0</v>
      </c>
      <c r="AM23">
        <v>0</v>
      </c>
      <c r="AO23" t="s">
        <v>16</v>
      </c>
      <c r="AP23">
        <f>SUMPRODUCT(Table1[Selected],Table1[CHE])</f>
        <v>1</v>
      </c>
      <c r="AQ23">
        <v>3</v>
      </c>
    </row>
    <row r="24" spans="1:43" hidden="1" x14ac:dyDescent="0.2">
      <c r="A24" t="s">
        <v>92</v>
      </c>
      <c r="B24" t="s">
        <v>93</v>
      </c>
      <c r="C24" t="s">
        <v>93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5.7</v>
      </c>
      <c r="AE24">
        <v>89</v>
      </c>
      <c r="AF24">
        <v>15.84905660377359</v>
      </c>
      <c r="AG24">
        <v>13.114535218942409</v>
      </c>
      <c r="AH24">
        <v>22.122326582157431</v>
      </c>
      <c r="AI24">
        <f>7.92227346218865*1</f>
        <v>7.9222734621886497</v>
      </c>
      <c r="AJ24">
        <f>1.50984422413531*1</f>
        <v>1.5098442241353101</v>
      </c>
      <c r="AK24">
        <v>1</v>
      </c>
      <c r="AL24">
        <v>0</v>
      </c>
      <c r="AM24">
        <v>0</v>
      </c>
      <c r="AO24" t="s">
        <v>17</v>
      </c>
      <c r="AP24">
        <f>SUMPRODUCT(Table1[Selected],Table1[CRY])</f>
        <v>0</v>
      </c>
      <c r="AQ24">
        <v>3</v>
      </c>
    </row>
    <row r="25" spans="1:43" hidden="1" x14ac:dyDescent="0.2">
      <c r="A25" t="s">
        <v>94</v>
      </c>
      <c r="B25" t="s">
        <v>95</v>
      </c>
      <c r="C25" t="s">
        <v>95</v>
      </c>
      <c r="D25" t="s">
        <v>4</v>
      </c>
      <c r="E25">
        <v>0</v>
      </c>
      <c r="F25">
        <v>1</v>
      </c>
      <c r="G25">
        <v>0</v>
      </c>
      <c r="H25">
        <v>0</v>
      </c>
      <c r="I25" t="s">
        <v>13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4.8</v>
      </c>
      <c r="AE25">
        <v>90</v>
      </c>
      <c r="AF25">
        <v>12.920971268844429</v>
      </c>
      <c r="AG25">
        <v>18.078541763692559</v>
      </c>
      <c r="AH25">
        <v>6.6866243446798084</v>
      </c>
      <c r="AI25">
        <f>8.29261113392631*1</f>
        <v>8.2926111339263109</v>
      </c>
      <c r="AJ25">
        <f>1.78173915971393*1</f>
        <v>1.78173915971393</v>
      </c>
      <c r="AK25">
        <v>1</v>
      </c>
      <c r="AL25">
        <v>0</v>
      </c>
      <c r="AM25">
        <v>0</v>
      </c>
      <c r="AO25" t="s">
        <v>18</v>
      </c>
      <c r="AP25">
        <f>SUMPRODUCT(Table1[Selected],Table1[EVE])</f>
        <v>0</v>
      </c>
      <c r="AQ25">
        <v>3</v>
      </c>
    </row>
    <row r="26" spans="1:43" hidden="1" x14ac:dyDescent="0.2">
      <c r="A26" t="s">
        <v>96</v>
      </c>
      <c r="B26" t="s">
        <v>97</v>
      </c>
      <c r="C26" t="s">
        <v>97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5.5</v>
      </c>
      <c r="AE26">
        <v>93</v>
      </c>
      <c r="AF26">
        <v>16.587301587301582</v>
      </c>
      <c r="AG26">
        <v>21.266713397722992</v>
      </c>
      <c r="AH26">
        <v>9.3792784992784988</v>
      </c>
      <c r="AI26">
        <f>7.78252751226053*1</f>
        <v>7.78252751226053</v>
      </c>
      <c r="AJ26">
        <f>1.59671949372473*1</f>
        <v>1.59671949372473</v>
      </c>
      <c r="AK26">
        <v>1</v>
      </c>
      <c r="AL26">
        <v>0</v>
      </c>
      <c r="AM26">
        <v>0</v>
      </c>
      <c r="AO26" t="s">
        <v>19</v>
      </c>
      <c r="AP26">
        <f>SUMPRODUCT(Table1[Selected],Table1[FUL])</f>
        <v>0</v>
      </c>
      <c r="AQ26">
        <v>3</v>
      </c>
    </row>
    <row r="27" spans="1:43" hidden="1" x14ac:dyDescent="0.2">
      <c r="A27" t="s">
        <v>98</v>
      </c>
      <c r="B27" t="s">
        <v>99</v>
      </c>
      <c r="C27" t="s">
        <v>99</v>
      </c>
      <c r="D27" t="s">
        <v>4</v>
      </c>
      <c r="E27">
        <v>0</v>
      </c>
      <c r="F27">
        <v>1</v>
      </c>
      <c r="G27">
        <v>0</v>
      </c>
      <c r="H27">
        <v>0</v>
      </c>
      <c r="I27" t="s">
        <v>14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104</v>
      </c>
      <c r="AF27">
        <v>12.586206896551721</v>
      </c>
      <c r="AG27">
        <v>10.642606963584271</v>
      </c>
      <c r="AH27">
        <v>10.257761512434969</v>
      </c>
      <c r="AI27">
        <f>9.70939933043777*1</f>
        <v>9.7093993304377708</v>
      </c>
      <c r="AJ27">
        <f>1.84720126314351*1</f>
        <v>1.84720126314351</v>
      </c>
      <c r="AK27">
        <v>1</v>
      </c>
      <c r="AL27">
        <v>0</v>
      </c>
      <c r="AM27">
        <v>0</v>
      </c>
      <c r="AO27" t="s">
        <v>20</v>
      </c>
      <c r="AP27">
        <f>SUMPRODUCT(Table1[Selected],Table1[IPS])</f>
        <v>0</v>
      </c>
      <c r="AQ27">
        <v>3</v>
      </c>
    </row>
    <row r="28" spans="1:43" hidden="1" x14ac:dyDescent="0.2">
      <c r="A28" t="s">
        <v>100</v>
      </c>
      <c r="B28" t="s">
        <v>101</v>
      </c>
      <c r="C28" t="s">
        <v>101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105</v>
      </c>
      <c r="AF28">
        <v>18.66169032020272</v>
      </c>
      <c r="AG28">
        <v>6.8648637521944584</v>
      </c>
      <c r="AH28">
        <v>30.466666666666669</v>
      </c>
      <c r="AI28">
        <f>29.5626329960584*1</f>
        <v>29.562632996058401</v>
      </c>
      <c r="AJ28">
        <f>4.68895959676013*1</f>
        <v>4.6889595967601299</v>
      </c>
      <c r="AK28">
        <v>1</v>
      </c>
      <c r="AL28">
        <v>0</v>
      </c>
      <c r="AM28">
        <v>0</v>
      </c>
      <c r="AO28" t="s">
        <v>21</v>
      </c>
      <c r="AP28">
        <f>SUMPRODUCT(Table1[Selected],Table1[LEI])</f>
        <v>0</v>
      </c>
      <c r="AQ28">
        <v>3</v>
      </c>
    </row>
    <row r="29" spans="1:43" hidden="1" x14ac:dyDescent="0.2">
      <c r="A29" t="s">
        <v>102</v>
      </c>
      <c r="B29" t="s">
        <v>103</v>
      </c>
      <c r="C29" t="s">
        <v>103</v>
      </c>
      <c r="D29" t="s">
        <v>3</v>
      </c>
      <c r="E29">
        <v>1</v>
      </c>
      <c r="F29">
        <v>0</v>
      </c>
      <c r="G29">
        <v>0</v>
      </c>
      <c r="H29">
        <v>0</v>
      </c>
      <c r="I29" t="s">
        <v>14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107</v>
      </c>
      <c r="AF29">
        <v>16.250000000000011</v>
      </c>
      <c r="AG29">
        <v>17.270689990619921</v>
      </c>
      <c r="AH29">
        <v>12.010555555555561</v>
      </c>
      <c r="AI29">
        <f>9.05460792215328*1</f>
        <v>9.0546079221532807</v>
      </c>
      <c r="AJ29">
        <f>1.68394786764285*1</f>
        <v>1.6839478676428501</v>
      </c>
      <c r="AK29">
        <v>1</v>
      </c>
      <c r="AL29">
        <v>0</v>
      </c>
      <c r="AM29">
        <v>0</v>
      </c>
      <c r="AO29" t="s">
        <v>22</v>
      </c>
      <c r="AP29">
        <f>SUMPRODUCT(Table1[Selected],Table1[LIV])</f>
        <v>2</v>
      </c>
      <c r="AQ29">
        <v>3</v>
      </c>
    </row>
    <row r="30" spans="1:43" hidden="1" x14ac:dyDescent="0.2">
      <c r="A30" t="s">
        <v>104</v>
      </c>
      <c r="B30" t="s">
        <v>105</v>
      </c>
      <c r="C30" t="s">
        <v>105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14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4.9000000000000004</v>
      </c>
      <c r="AE30">
        <v>110</v>
      </c>
      <c r="AF30">
        <v>13.482142857142859</v>
      </c>
      <c r="AG30">
        <v>11.547714536991959</v>
      </c>
      <c r="AH30">
        <v>14.17450874213486</v>
      </c>
      <c r="AI30">
        <f>14.9675740465046*1</f>
        <v>14.9675740465046</v>
      </c>
      <c r="AJ30">
        <f>2.94459812486208*1</f>
        <v>2.9445981248620798</v>
      </c>
      <c r="AK30">
        <v>1</v>
      </c>
      <c r="AL30">
        <v>0</v>
      </c>
      <c r="AM30">
        <v>0</v>
      </c>
      <c r="AO30" t="s">
        <v>23</v>
      </c>
      <c r="AP30">
        <f>SUMPRODUCT(Table1[Selected],Table1[MCI])</f>
        <v>0</v>
      </c>
      <c r="AQ30">
        <v>3</v>
      </c>
    </row>
    <row r="31" spans="1:43" hidden="1" x14ac:dyDescent="0.2">
      <c r="A31" t="s">
        <v>106</v>
      </c>
      <c r="B31" t="s">
        <v>107</v>
      </c>
      <c r="C31" t="s">
        <v>107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14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114</v>
      </c>
      <c r="AF31">
        <v>11.56862745098039</v>
      </c>
      <c r="AG31">
        <v>9.8747255196091572</v>
      </c>
      <c r="AH31">
        <v>13.9705346552702</v>
      </c>
      <c r="AI31">
        <f>11.3578047026321*1</f>
        <v>11.3578047026321</v>
      </c>
      <c r="AJ31">
        <f>2.12372900052912*1</f>
        <v>2.1237290005291198</v>
      </c>
      <c r="AK31">
        <v>1</v>
      </c>
      <c r="AL31">
        <v>0</v>
      </c>
      <c r="AM31">
        <v>0</v>
      </c>
      <c r="AO31" t="s">
        <v>24</v>
      </c>
      <c r="AP31">
        <f>SUMPRODUCT(Table1[Selected],Table1[MUN])</f>
        <v>2</v>
      </c>
      <c r="AQ31">
        <v>3</v>
      </c>
    </row>
    <row r="32" spans="1:43" hidden="1" x14ac:dyDescent="0.2">
      <c r="A32" t="s">
        <v>108</v>
      </c>
      <c r="B32" t="s">
        <v>109</v>
      </c>
      <c r="C32" t="s">
        <v>109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14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7.9</v>
      </c>
      <c r="AE32">
        <v>115</v>
      </c>
      <c r="AF32">
        <v>27.39496343381224</v>
      </c>
      <c r="AG32">
        <v>21.218877566717449</v>
      </c>
      <c r="AH32">
        <v>19.087176536913379</v>
      </c>
      <c r="AI32">
        <f>12.8207517031467*1</f>
        <v>12.8207517031467</v>
      </c>
      <c r="AJ32">
        <f>2.54545438046302*1</f>
        <v>2.5454543804630201</v>
      </c>
      <c r="AK32">
        <v>1</v>
      </c>
      <c r="AL32">
        <v>1</v>
      </c>
      <c r="AM32">
        <v>1</v>
      </c>
      <c r="AO32" t="s">
        <v>25</v>
      </c>
      <c r="AP32">
        <f>SUMPRODUCT(Table1[Selected],Table1[NEW])</f>
        <v>0</v>
      </c>
      <c r="AQ32">
        <v>3</v>
      </c>
    </row>
    <row r="33" spans="1:43" hidden="1" x14ac:dyDescent="0.2">
      <c r="A33" t="s">
        <v>110</v>
      </c>
      <c r="B33" t="s">
        <v>111</v>
      </c>
      <c r="C33" t="s">
        <v>111</v>
      </c>
      <c r="D33" t="s">
        <v>4</v>
      </c>
      <c r="E33">
        <v>0</v>
      </c>
      <c r="F33">
        <v>1</v>
      </c>
      <c r="G33">
        <v>0</v>
      </c>
      <c r="H33">
        <v>0</v>
      </c>
      <c r="I33" t="s">
        <v>14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4.5</v>
      </c>
      <c r="AE33">
        <v>120</v>
      </c>
      <c r="AF33">
        <v>14.94949494949495</v>
      </c>
      <c r="AG33">
        <v>16.03447867308212</v>
      </c>
      <c r="AH33">
        <v>20.17459263557372</v>
      </c>
      <c r="AI33">
        <f>12.9869508347622*1</f>
        <v>12.986950834762199</v>
      </c>
      <c r="AJ33">
        <f>2.10544775165879*1</f>
        <v>2.1054477516587902</v>
      </c>
      <c r="AK33">
        <v>1</v>
      </c>
      <c r="AL33">
        <v>0</v>
      </c>
      <c r="AM33">
        <v>0</v>
      </c>
      <c r="AO33" t="s">
        <v>26</v>
      </c>
      <c r="AP33">
        <f>SUMPRODUCT(Table1[Selected],Table1[NFO])</f>
        <v>3</v>
      </c>
      <c r="AQ33">
        <v>3</v>
      </c>
    </row>
    <row r="34" spans="1:43" hidden="1" x14ac:dyDescent="0.2">
      <c r="A34" t="s">
        <v>112</v>
      </c>
      <c r="B34" t="s">
        <v>113</v>
      </c>
      <c r="C34" t="s">
        <v>113</v>
      </c>
      <c r="D34" t="s">
        <v>6</v>
      </c>
      <c r="E34">
        <v>0</v>
      </c>
      <c r="F34">
        <v>0</v>
      </c>
      <c r="G34">
        <v>0</v>
      </c>
      <c r="H34">
        <v>1</v>
      </c>
      <c r="I34" t="s">
        <v>14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6.1</v>
      </c>
      <c r="AE34">
        <v>126</v>
      </c>
      <c r="AF34">
        <v>26.01036916907324</v>
      </c>
      <c r="AG34">
        <v>14.24845197191045</v>
      </c>
      <c r="AH34">
        <v>47.129007936507932</v>
      </c>
      <c r="AI34">
        <f>16.7683511418431*1</f>
        <v>16.768351141843102</v>
      </c>
      <c r="AJ34">
        <f>2.80375563102903*1</f>
        <v>2.8037556310290301</v>
      </c>
      <c r="AK34">
        <v>1</v>
      </c>
      <c r="AL34">
        <v>1</v>
      </c>
      <c r="AM34">
        <v>1</v>
      </c>
      <c r="AO34" t="s">
        <v>27</v>
      </c>
      <c r="AP34">
        <f>SUMPRODUCT(Table1[Selected],Table1[SOU])</f>
        <v>0</v>
      </c>
      <c r="AQ34">
        <v>3</v>
      </c>
    </row>
    <row r="35" spans="1:43" hidden="1" x14ac:dyDescent="0.2">
      <c r="A35" t="s">
        <v>114</v>
      </c>
      <c r="B35" t="s">
        <v>115</v>
      </c>
      <c r="C35" t="s">
        <v>115</v>
      </c>
      <c r="D35" t="s">
        <v>4</v>
      </c>
      <c r="E35">
        <v>0</v>
      </c>
      <c r="F35">
        <v>1</v>
      </c>
      <c r="G35">
        <v>0</v>
      </c>
      <c r="H35">
        <v>0</v>
      </c>
      <c r="I35" t="s">
        <v>15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4.5999999999999996</v>
      </c>
      <c r="AE35">
        <v>167</v>
      </c>
      <c r="AF35">
        <v>13.93994215110658</v>
      </c>
      <c r="AG35">
        <v>12.9666664185218</v>
      </c>
      <c r="AH35">
        <v>6.4002058633167058</v>
      </c>
      <c r="AI35">
        <f>6.55627178545262*1</f>
        <v>6.55627178545262</v>
      </c>
      <c r="AJ35">
        <f>1.15667755708079*1</f>
        <v>1.1566775570807899</v>
      </c>
      <c r="AK35">
        <v>1</v>
      </c>
      <c r="AL35">
        <v>0</v>
      </c>
      <c r="AM35">
        <v>0</v>
      </c>
      <c r="AO35" t="s">
        <v>28</v>
      </c>
      <c r="AP35">
        <f>SUMPRODUCT(Table1[Selected],Table1[TOT])</f>
        <v>1</v>
      </c>
      <c r="AQ35">
        <v>3</v>
      </c>
    </row>
    <row r="36" spans="1:43" hidden="1" x14ac:dyDescent="0.2">
      <c r="A36" t="s">
        <v>116</v>
      </c>
      <c r="B36" t="s">
        <v>117</v>
      </c>
      <c r="C36" t="s">
        <v>117</v>
      </c>
      <c r="D36" t="s">
        <v>3</v>
      </c>
      <c r="E36">
        <v>1</v>
      </c>
      <c r="F36">
        <v>0</v>
      </c>
      <c r="G36">
        <v>0</v>
      </c>
      <c r="H36">
        <v>0</v>
      </c>
      <c r="I36" t="s">
        <v>15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4.5</v>
      </c>
      <c r="AE36">
        <v>168</v>
      </c>
      <c r="AF36">
        <v>15.666666666666661</v>
      </c>
      <c r="AG36">
        <v>15.045799638888839</v>
      </c>
      <c r="AH36">
        <v>13.18069228953186</v>
      </c>
      <c r="AI36">
        <f>10.0446423139753*1</f>
        <v>10.0446423139753</v>
      </c>
      <c r="AJ36">
        <f>1.93916584196867*1</f>
        <v>1.9391658419686699</v>
      </c>
      <c r="AK36">
        <v>1</v>
      </c>
      <c r="AL36">
        <v>0</v>
      </c>
      <c r="AM36">
        <v>0</v>
      </c>
      <c r="AO36" t="s">
        <v>29</v>
      </c>
      <c r="AP36">
        <f>SUMPRODUCT(Table1[Selected],Table1[WHU])</f>
        <v>0</v>
      </c>
      <c r="AQ36">
        <v>3</v>
      </c>
    </row>
    <row r="37" spans="1:43" hidden="1" x14ac:dyDescent="0.2">
      <c r="A37" t="s">
        <v>118</v>
      </c>
      <c r="B37" t="s">
        <v>119</v>
      </c>
      <c r="C37" t="s">
        <v>119</v>
      </c>
      <c r="D37" t="s">
        <v>6</v>
      </c>
      <c r="E37">
        <v>0</v>
      </c>
      <c r="F37">
        <v>0</v>
      </c>
      <c r="G37">
        <v>0</v>
      </c>
      <c r="H37">
        <v>1</v>
      </c>
      <c r="I37" t="s">
        <v>15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170</v>
      </c>
      <c r="AF37">
        <v>15.779350136740479</v>
      </c>
      <c r="AG37">
        <v>12.91693814103045</v>
      </c>
      <c r="AH37">
        <v>14.50679999342697</v>
      </c>
      <c r="AI37">
        <f>7.97427507735125*1</f>
        <v>7.9742750773512503</v>
      </c>
      <c r="AJ37">
        <f>1.61665011776714*1</f>
        <v>1.61665011776714</v>
      </c>
      <c r="AK37">
        <v>1</v>
      </c>
      <c r="AL37">
        <v>0</v>
      </c>
      <c r="AM37">
        <v>0</v>
      </c>
      <c r="AO37" t="s">
        <v>30</v>
      </c>
      <c r="AP37">
        <f>SUMPRODUCT(Table1[Selected],Table1[WOL])</f>
        <v>1</v>
      </c>
      <c r="AQ37">
        <v>3</v>
      </c>
    </row>
    <row r="38" spans="1:43" x14ac:dyDescent="0.2">
      <c r="A38" t="s">
        <v>120</v>
      </c>
      <c r="B38" t="s">
        <v>121</v>
      </c>
      <c r="C38" t="s">
        <v>120</v>
      </c>
      <c r="D38" t="s">
        <v>5</v>
      </c>
      <c r="E38">
        <v>0</v>
      </c>
      <c r="F38">
        <v>0</v>
      </c>
      <c r="G38">
        <v>1</v>
      </c>
      <c r="H38">
        <v>0</v>
      </c>
      <c r="I38" t="s">
        <v>15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5.6</v>
      </c>
      <c r="AE38">
        <v>176</v>
      </c>
      <c r="AF38">
        <v>15.03786468473956</v>
      </c>
      <c r="AG38">
        <v>25.759024690110621</v>
      </c>
      <c r="AH38">
        <v>11.26</v>
      </c>
      <c r="AI38">
        <f>35.0532346033847*1</f>
        <v>35.053234603384702</v>
      </c>
      <c r="AJ38">
        <f>8.73136065035667*1</f>
        <v>8.7313606503566703</v>
      </c>
      <c r="AK38">
        <v>1</v>
      </c>
      <c r="AL38">
        <v>0</v>
      </c>
      <c r="AM38">
        <v>1</v>
      </c>
    </row>
    <row r="39" spans="1:43" hidden="1" x14ac:dyDescent="0.2">
      <c r="A39" t="s">
        <v>122</v>
      </c>
      <c r="B39" t="s">
        <v>123</v>
      </c>
      <c r="C39" t="s">
        <v>124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4.9000000000000004</v>
      </c>
      <c r="AE39">
        <v>187</v>
      </c>
      <c r="AF39">
        <v>11.71685410763779</v>
      </c>
      <c r="AG39">
        <v>7.9821503435323624</v>
      </c>
      <c r="AH39">
        <v>9.9624526232711865</v>
      </c>
      <c r="AI39">
        <f>14.2115837881598*1</f>
        <v>14.2115837881598</v>
      </c>
      <c r="AJ39">
        <f>3.01563080722708*1</f>
        <v>3.0156308072270801</v>
      </c>
      <c r="AK39">
        <v>1</v>
      </c>
      <c r="AL39">
        <v>0</v>
      </c>
      <c r="AM39">
        <v>0</v>
      </c>
    </row>
    <row r="40" spans="1:43" hidden="1" x14ac:dyDescent="0.2">
      <c r="A40" t="s">
        <v>125</v>
      </c>
      <c r="B40" t="s">
        <v>126</v>
      </c>
      <c r="C40" t="s">
        <v>125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4.8</v>
      </c>
      <c r="AE40">
        <v>197</v>
      </c>
      <c r="AF40">
        <v>13.45454545454546</v>
      </c>
      <c r="AG40">
        <v>9.8469110611422703</v>
      </c>
      <c r="AH40">
        <v>13.77142857142857</v>
      </c>
      <c r="AI40">
        <f>11.3534786796166*1</f>
        <v>11.3534786796166</v>
      </c>
      <c r="AJ40">
        <f>2.31005374489133*1</f>
        <v>2.3100537448913299</v>
      </c>
      <c r="AK40">
        <v>1</v>
      </c>
      <c r="AL40">
        <v>0</v>
      </c>
      <c r="AM40">
        <v>0</v>
      </c>
    </row>
    <row r="41" spans="1:43" hidden="1" x14ac:dyDescent="0.2">
      <c r="A41" t="s">
        <v>127</v>
      </c>
      <c r="B41" t="s">
        <v>128</v>
      </c>
      <c r="C41" t="s">
        <v>129</v>
      </c>
      <c r="D41" t="s">
        <v>6</v>
      </c>
      <c r="E41">
        <v>0</v>
      </c>
      <c r="F41">
        <v>0</v>
      </c>
      <c r="G41">
        <v>0</v>
      </c>
      <c r="H41">
        <v>1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209</v>
      </c>
      <c r="AF41">
        <v>26.810871394092029</v>
      </c>
      <c r="AG41">
        <v>22.399702606185141</v>
      </c>
      <c r="AH41">
        <v>37.716724036110413</v>
      </c>
      <c r="AI41">
        <f>15.253373390009*1</f>
        <v>15.253373390008999</v>
      </c>
      <c r="AJ41">
        <f>2.84928903356898*1</f>
        <v>2.8492890335689798</v>
      </c>
      <c r="AK41">
        <v>1</v>
      </c>
      <c r="AL41">
        <v>0</v>
      </c>
      <c r="AM41">
        <v>0</v>
      </c>
    </row>
    <row r="42" spans="1:43" hidden="1" x14ac:dyDescent="0.2">
      <c r="A42" t="s">
        <v>130</v>
      </c>
      <c r="B42" t="s">
        <v>131</v>
      </c>
      <c r="C42" t="s">
        <v>131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10.9</v>
      </c>
      <c r="AE42">
        <v>211</v>
      </c>
      <c r="AF42">
        <v>30.990492029543059</v>
      </c>
      <c r="AG42">
        <v>27.90978628076596</v>
      </c>
      <c r="AH42">
        <v>19.266666666666669</v>
      </c>
      <c r="AI42">
        <f>13.6699159649829*1</f>
        <v>13.6699159649829</v>
      </c>
      <c r="AJ42">
        <f>2.79227104163176*1</f>
        <v>2.7922710416317602</v>
      </c>
      <c r="AK42">
        <v>1</v>
      </c>
      <c r="AL42">
        <v>1</v>
      </c>
      <c r="AM42">
        <v>1</v>
      </c>
    </row>
    <row r="43" spans="1:43" hidden="1" x14ac:dyDescent="0.2">
      <c r="A43" t="s">
        <v>132</v>
      </c>
      <c r="B43" t="s">
        <v>133</v>
      </c>
      <c r="C43" t="s">
        <v>134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6.2</v>
      </c>
      <c r="AE43">
        <v>218</v>
      </c>
      <c r="AF43">
        <v>16.875429235767001</v>
      </c>
      <c r="AG43">
        <v>14.28284079324038</v>
      </c>
      <c r="AH43">
        <v>28.98718317673416</v>
      </c>
      <c r="AI43">
        <f>12.9606659700496*1</f>
        <v>12.9606659700496</v>
      </c>
      <c r="AJ43">
        <f>2.88510444724114*1</f>
        <v>2.8851044472411398</v>
      </c>
      <c r="AK43">
        <v>1</v>
      </c>
      <c r="AL43">
        <v>0</v>
      </c>
      <c r="AM43">
        <v>0</v>
      </c>
    </row>
    <row r="44" spans="1:43" hidden="1" x14ac:dyDescent="0.2">
      <c r="A44" t="s">
        <v>135</v>
      </c>
      <c r="B44" t="s">
        <v>136</v>
      </c>
      <c r="C44" t="s">
        <v>136</v>
      </c>
      <c r="D44" t="s">
        <v>5</v>
      </c>
      <c r="E44">
        <v>0</v>
      </c>
      <c r="F44">
        <v>0</v>
      </c>
      <c r="G44">
        <v>1</v>
      </c>
      <c r="H44">
        <v>0</v>
      </c>
      <c r="I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6.6</v>
      </c>
      <c r="AE44">
        <v>230</v>
      </c>
      <c r="AF44">
        <v>19.565217391304341</v>
      </c>
      <c r="AG44">
        <v>15.970072944600741</v>
      </c>
      <c r="AH44">
        <v>17.7097446769979</v>
      </c>
      <c r="AI44">
        <f>3.83871043963817*1</f>
        <v>3.8387104396381702</v>
      </c>
      <c r="AJ44">
        <f>0.715649521150413*1</f>
        <v>0.71564952115041303</v>
      </c>
      <c r="AK44">
        <v>1</v>
      </c>
      <c r="AL44">
        <v>0</v>
      </c>
      <c r="AM44">
        <v>0</v>
      </c>
    </row>
    <row r="45" spans="1:43" hidden="1" x14ac:dyDescent="0.2">
      <c r="A45" t="s">
        <v>137</v>
      </c>
      <c r="B45" t="s">
        <v>138</v>
      </c>
      <c r="C45" t="s">
        <v>138</v>
      </c>
      <c r="D45" t="s">
        <v>4</v>
      </c>
      <c r="E45">
        <v>0</v>
      </c>
      <c r="F45">
        <v>1</v>
      </c>
      <c r="G45">
        <v>0</v>
      </c>
      <c r="H45">
        <v>0</v>
      </c>
      <c r="I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4.5</v>
      </c>
      <c r="AE45">
        <v>231</v>
      </c>
      <c r="AF45">
        <v>14.575471698113221</v>
      </c>
      <c r="AG45">
        <v>15.50330268385436</v>
      </c>
      <c r="AH45">
        <v>10.80591150986726</v>
      </c>
      <c r="AI45">
        <f>16.3097711934749*1</f>
        <v>16.309771193474901</v>
      </c>
      <c r="AJ45">
        <f>3.25961259010585*1</f>
        <v>3.2596125901058501</v>
      </c>
      <c r="AK45">
        <v>1</v>
      </c>
      <c r="AL45">
        <v>0</v>
      </c>
      <c r="AM45">
        <v>0</v>
      </c>
    </row>
    <row r="46" spans="1:43" hidden="1" x14ac:dyDescent="0.2">
      <c r="A46" t="s">
        <v>139</v>
      </c>
      <c r="B46" t="s">
        <v>140</v>
      </c>
      <c r="C46" t="s">
        <v>140</v>
      </c>
      <c r="D46" t="s">
        <v>3</v>
      </c>
      <c r="E46">
        <v>1</v>
      </c>
      <c r="F46">
        <v>0</v>
      </c>
      <c r="G46">
        <v>0</v>
      </c>
      <c r="H46">
        <v>0</v>
      </c>
      <c r="I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4.4000000000000004</v>
      </c>
      <c r="AE46">
        <v>232</v>
      </c>
      <c r="AF46">
        <v>19.749965287944921</v>
      </c>
      <c r="AG46">
        <v>22.005071734306409</v>
      </c>
      <c r="AH46">
        <v>14.213597768807521</v>
      </c>
      <c r="AI46">
        <f>17.3882657311489*1</f>
        <v>17.388265731148898</v>
      </c>
      <c r="AJ46">
        <f>3.43420956993198*1</f>
        <v>3.4342095699319799</v>
      </c>
      <c r="AK46">
        <v>1</v>
      </c>
      <c r="AL46">
        <v>0</v>
      </c>
      <c r="AM46">
        <v>0</v>
      </c>
    </row>
    <row r="47" spans="1:43" hidden="1" x14ac:dyDescent="0.2">
      <c r="A47" t="s">
        <v>141</v>
      </c>
      <c r="B47" t="s">
        <v>142</v>
      </c>
      <c r="C47" t="s">
        <v>142</v>
      </c>
      <c r="D47" t="s">
        <v>6</v>
      </c>
      <c r="E47">
        <v>0</v>
      </c>
      <c r="F47">
        <v>0</v>
      </c>
      <c r="G47">
        <v>0</v>
      </c>
      <c r="H47">
        <v>1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7.2</v>
      </c>
      <c r="AE47">
        <v>237</v>
      </c>
      <c r="AF47">
        <v>21.624340016108</v>
      </c>
      <c r="AG47">
        <v>13.962440794704399</v>
      </c>
      <c r="AH47">
        <v>25.37777777777778</v>
      </c>
      <c r="AI47">
        <f>14.6339154770627*1</f>
        <v>14.6339154770627</v>
      </c>
      <c r="AJ47">
        <f>2.9136280704258*1</f>
        <v>2.9136280704258</v>
      </c>
      <c r="AK47">
        <v>1</v>
      </c>
      <c r="AL47">
        <v>0</v>
      </c>
      <c r="AM47">
        <v>0</v>
      </c>
    </row>
    <row r="48" spans="1:43" hidden="1" x14ac:dyDescent="0.2">
      <c r="A48" t="s">
        <v>143</v>
      </c>
      <c r="B48" t="s">
        <v>144</v>
      </c>
      <c r="C48" t="s">
        <v>144</v>
      </c>
      <c r="D48" t="s">
        <v>4</v>
      </c>
      <c r="E48">
        <v>0</v>
      </c>
      <c r="F48">
        <v>1</v>
      </c>
      <c r="G48">
        <v>0</v>
      </c>
      <c r="H48">
        <v>0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4.9000000000000004</v>
      </c>
      <c r="AE48">
        <v>240</v>
      </c>
      <c r="AF48">
        <v>15.132707093858681</v>
      </c>
      <c r="AG48">
        <v>14.491523014428459</v>
      </c>
      <c r="AH48">
        <v>5.45319352860826</v>
      </c>
      <c r="AI48">
        <f>8.96215967012307*1</f>
        <v>8.9621596701230697</v>
      </c>
      <c r="AJ48">
        <f>1.93606521474218*1</f>
        <v>1.93606521474218</v>
      </c>
      <c r="AK48">
        <v>1</v>
      </c>
      <c r="AL48">
        <v>0</v>
      </c>
      <c r="AM48">
        <v>0</v>
      </c>
    </row>
    <row r="49" spans="1:39" hidden="1" x14ac:dyDescent="0.2">
      <c r="A49" t="s">
        <v>145</v>
      </c>
      <c r="B49" t="s">
        <v>146</v>
      </c>
      <c r="C49" t="s">
        <v>146</v>
      </c>
      <c r="D49" t="s">
        <v>4</v>
      </c>
      <c r="E49">
        <v>0</v>
      </c>
      <c r="F49">
        <v>1</v>
      </c>
      <c r="G49">
        <v>0</v>
      </c>
      <c r="H49">
        <v>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4.8</v>
      </c>
      <c r="AE49">
        <v>241</v>
      </c>
      <c r="AF49">
        <v>15</v>
      </c>
      <c r="AG49">
        <v>17.24403417998537</v>
      </c>
      <c r="AH49">
        <v>13.120365748561561</v>
      </c>
      <c r="AI49">
        <f>6.58272369931374*1</f>
        <v>6.5827236993137399</v>
      </c>
      <c r="AJ49">
        <f>1.36317949809698*1</f>
        <v>1.36317949809698</v>
      </c>
      <c r="AK49">
        <v>1</v>
      </c>
      <c r="AL49">
        <v>0</v>
      </c>
      <c r="AM49">
        <v>0</v>
      </c>
    </row>
    <row r="50" spans="1:39" hidden="1" x14ac:dyDescent="0.2">
      <c r="A50" t="s">
        <v>147</v>
      </c>
      <c r="B50" t="s">
        <v>148</v>
      </c>
      <c r="C50" t="s">
        <v>149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5.7</v>
      </c>
      <c r="AE50">
        <v>248</v>
      </c>
      <c r="AF50">
        <v>17.25</v>
      </c>
      <c r="AG50">
        <v>21.653776222533651</v>
      </c>
      <c r="AH50">
        <v>21.68888888888889</v>
      </c>
      <c r="AI50">
        <f>12.845128311953*1</f>
        <v>12.845128311952999</v>
      </c>
      <c r="AJ50">
        <f>2.20820963380954*1</f>
        <v>2.2082096338095401</v>
      </c>
      <c r="AK50">
        <v>1</v>
      </c>
      <c r="AL50">
        <v>0</v>
      </c>
      <c r="AM50">
        <v>0</v>
      </c>
    </row>
    <row r="51" spans="1:39" hidden="1" x14ac:dyDescent="0.2">
      <c r="A51" t="s">
        <v>150</v>
      </c>
      <c r="B51" t="s">
        <v>151</v>
      </c>
      <c r="C51" t="s">
        <v>152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5.0999999999999996</v>
      </c>
      <c r="AE51">
        <v>257</v>
      </c>
      <c r="AF51">
        <v>15.611702127659569</v>
      </c>
      <c r="AG51">
        <v>15.695884207363269</v>
      </c>
      <c r="AH51">
        <v>12.453245891197099</v>
      </c>
      <c r="AI51">
        <f>9.42435920218296*1</f>
        <v>9.4243592021829592</v>
      </c>
      <c r="AJ51">
        <f>1.831745048454*1</f>
        <v>1.8317450484540001</v>
      </c>
      <c r="AK51">
        <v>1</v>
      </c>
      <c r="AL51">
        <v>0</v>
      </c>
      <c r="AM51">
        <v>0</v>
      </c>
    </row>
    <row r="52" spans="1:39" hidden="1" x14ac:dyDescent="0.2">
      <c r="A52" t="s">
        <v>153</v>
      </c>
      <c r="B52" t="s">
        <v>154</v>
      </c>
      <c r="C52" t="s">
        <v>154</v>
      </c>
      <c r="D52" t="s">
        <v>6</v>
      </c>
      <c r="E52">
        <v>0</v>
      </c>
      <c r="F52">
        <v>0</v>
      </c>
      <c r="G52">
        <v>0</v>
      </c>
      <c r="H52">
        <v>1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5.6</v>
      </c>
      <c r="AE52">
        <v>260</v>
      </c>
      <c r="AF52">
        <v>16.83000577785301</v>
      </c>
      <c r="AG52">
        <v>20.567892442467361</v>
      </c>
      <c r="AH52">
        <v>9.940753365963154</v>
      </c>
      <c r="AI52">
        <f>6.51226398717581*1</f>
        <v>6.5122639871758103</v>
      </c>
      <c r="AJ52">
        <f>1.36522071644678*1</f>
        <v>1.36522071644678</v>
      </c>
      <c r="AK52">
        <v>1</v>
      </c>
      <c r="AL52">
        <v>0</v>
      </c>
      <c r="AM52">
        <v>0</v>
      </c>
    </row>
    <row r="53" spans="1:39" hidden="1" x14ac:dyDescent="0.2">
      <c r="A53" t="s">
        <v>155</v>
      </c>
      <c r="B53" t="s">
        <v>156</v>
      </c>
      <c r="C53" t="s">
        <v>157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4.9000000000000004</v>
      </c>
      <c r="AE53">
        <v>262</v>
      </c>
      <c r="AF53">
        <v>11.301517827470271</v>
      </c>
      <c r="AG53">
        <v>8.7110646998531092</v>
      </c>
      <c r="AH53">
        <v>10.72916666666667</v>
      </c>
      <c r="AI53">
        <f>4.83538605192763*1</f>
        <v>4.8353860519276299</v>
      </c>
      <c r="AJ53">
        <f>0.930569806998629*1</f>
        <v>0.93056980699862901</v>
      </c>
      <c r="AK53">
        <v>1</v>
      </c>
      <c r="AL53">
        <v>0</v>
      </c>
      <c r="AM53">
        <v>0</v>
      </c>
    </row>
    <row r="54" spans="1:39" hidden="1" x14ac:dyDescent="0.2">
      <c r="A54" t="s">
        <v>158</v>
      </c>
      <c r="B54" t="s">
        <v>159</v>
      </c>
      <c r="C54" t="s">
        <v>159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5.3</v>
      </c>
      <c r="AE54">
        <v>264</v>
      </c>
      <c r="AF54">
        <v>18.28571428571427</v>
      </c>
      <c r="AG54">
        <v>18.697613546068169</v>
      </c>
      <c r="AH54">
        <v>6.001246376309437</v>
      </c>
      <c r="AI54">
        <f>8.10620315331762*1</f>
        <v>8.1062031533176206</v>
      </c>
      <c r="AJ54">
        <f>1.55439691073301*1</f>
        <v>1.55439691073301</v>
      </c>
      <c r="AK54">
        <v>1</v>
      </c>
      <c r="AL54">
        <v>0</v>
      </c>
      <c r="AM54">
        <v>0</v>
      </c>
    </row>
    <row r="55" spans="1:39" hidden="1" x14ac:dyDescent="0.2">
      <c r="A55" t="s">
        <v>160</v>
      </c>
      <c r="B55" t="s">
        <v>106</v>
      </c>
      <c r="C55" t="s">
        <v>106</v>
      </c>
      <c r="D55" t="s">
        <v>4</v>
      </c>
      <c r="E55">
        <v>0</v>
      </c>
      <c r="F55">
        <v>1</v>
      </c>
      <c r="G55">
        <v>0</v>
      </c>
      <c r="H55">
        <v>0</v>
      </c>
      <c r="I55" t="s">
        <v>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4.3</v>
      </c>
      <c r="AE55">
        <v>268</v>
      </c>
      <c r="AF55">
        <v>16.506410256410248</v>
      </c>
      <c r="AG55">
        <v>17.166362805379642</v>
      </c>
      <c r="AH55">
        <v>0</v>
      </c>
      <c r="AI55">
        <f>16.1971260813659*1</f>
        <v>16.197126081365901</v>
      </c>
      <c r="AJ55">
        <f>3.16838148696764*1</f>
        <v>3.1683814869676401</v>
      </c>
      <c r="AK55">
        <v>1</v>
      </c>
      <c r="AL55">
        <v>0</v>
      </c>
      <c r="AM55">
        <v>0</v>
      </c>
    </row>
    <row r="56" spans="1:39" hidden="1" x14ac:dyDescent="0.2">
      <c r="A56" t="s">
        <v>161</v>
      </c>
      <c r="B56" t="s">
        <v>162</v>
      </c>
      <c r="C56" t="s">
        <v>162</v>
      </c>
      <c r="D56" t="s">
        <v>5</v>
      </c>
      <c r="E56">
        <v>0</v>
      </c>
      <c r="F56">
        <v>0</v>
      </c>
      <c r="G56">
        <v>1</v>
      </c>
      <c r="H56">
        <v>0</v>
      </c>
      <c r="I56" t="s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5.6</v>
      </c>
      <c r="AE56">
        <v>270</v>
      </c>
      <c r="AF56">
        <v>17.25778128935362</v>
      </c>
      <c r="AG56">
        <v>15.608215147950091</v>
      </c>
      <c r="AH56">
        <v>11.923250565513509</v>
      </c>
      <c r="AI56">
        <f>23.3219831237691*1</f>
        <v>23.321983123769101</v>
      </c>
      <c r="AJ56">
        <f>5.31133939593658*1</f>
        <v>5.3113393959365798</v>
      </c>
      <c r="AK56">
        <v>1</v>
      </c>
      <c r="AL56">
        <v>0</v>
      </c>
      <c r="AM56">
        <v>0</v>
      </c>
    </row>
    <row r="57" spans="1:39" hidden="1" x14ac:dyDescent="0.2">
      <c r="A57" t="s">
        <v>163</v>
      </c>
      <c r="B57" t="s">
        <v>164</v>
      </c>
      <c r="C57" t="s">
        <v>164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4.3</v>
      </c>
      <c r="AE57">
        <v>271</v>
      </c>
      <c r="AF57">
        <v>14.905613810334239</v>
      </c>
      <c r="AG57">
        <v>18.586430964048009</v>
      </c>
      <c r="AH57">
        <v>23.2</v>
      </c>
      <c r="AI57">
        <f>15.9565266862525*1</f>
        <v>15.9565266862525</v>
      </c>
      <c r="AJ57">
        <f>2.94184319384275*1</f>
        <v>2.9418431938427498</v>
      </c>
      <c r="AK57">
        <v>1</v>
      </c>
      <c r="AL57">
        <v>0</v>
      </c>
      <c r="AM57">
        <v>0</v>
      </c>
    </row>
    <row r="58" spans="1:39" hidden="1" x14ac:dyDescent="0.2">
      <c r="A58" t="s">
        <v>165</v>
      </c>
      <c r="B58" t="s">
        <v>166</v>
      </c>
      <c r="C58" t="s">
        <v>166</v>
      </c>
      <c r="D58" t="s">
        <v>6</v>
      </c>
      <c r="E58">
        <v>0</v>
      </c>
      <c r="F58">
        <v>0</v>
      </c>
      <c r="G58">
        <v>0</v>
      </c>
      <c r="H58">
        <v>1</v>
      </c>
      <c r="I58" t="s">
        <v>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5.4</v>
      </c>
      <c r="AE58">
        <v>272</v>
      </c>
      <c r="AF58">
        <v>0</v>
      </c>
      <c r="AG58">
        <v>0</v>
      </c>
      <c r="AH58">
        <v>0</v>
      </c>
      <c r="AI58">
        <f>0*1</f>
        <v>0</v>
      </c>
      <c r="AJ58">
        <f>0*1</f>
        <v>0</v>
      </c>
      <c r="AK58">
        <v>1</v>
      </c>
      <c r="AL58">
        <v>0</v>
      </c>
      <c r="AM58">
        <v>0</v>
      </c>
    </row>
    <row r="59" spans="1:39" hidden="1" x14ac:dyDescent="0.2">
      <c r="A59" t="s">
        <v>167</v>
      </c>
      <c r="B59" t="s">
        <v>168</v>
      </c>
      <c r="C59" t="s">
        <v>168</v>
      </c>
      <c r="D59" t="s">
        <v>3</v>
      </c>
      <c r="E59">
        <v>1</v>
      </c>
      <c r="F59">
        <v>0</v>
      </c>
      <c r="G59">
        <v>0</v>
      </c>
      <c r="H59">
        <v>0</v>
      </c>
      <c r="I59" t="s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4.9000000000000004</v>
      </c>
      <c r="AE59">
        <v>274</v>
      </c>
      <c r="AF59">
        <v>18.19004524886876</v>
      </c>
      <c r="AG59">
        <v>18.012217819499998</v>
      </c>
      <c r="AH59">
        <v>33.039304264461343</v>
      </c>
      <c r="AI59">
        <f>27.4204188892579*1</f>
        <v>27.420418889257899</v>
      </c>
      <c r="AJ59">
        <f>5.35021160894067*1</f>
        <v>5.3502116089406702</v>
      </c>
      <c r="AK59">
        <v>1</v>
      </c>
      <c r="AL59">
        <v>0</v>
      </c>
      <c r="AM59">
        <v>0</v>
      </c>
    </row>
    <row r="60" spans="1:39" hidden="1" x14ac:dyDescent="0.2">
      <c r="A60" t="s">
        <v>169</v>
      </c>
      <c r="B60" t="s">
        <v>170</v>
      </c>
      <c r="C60" t="s">
        <v>170</v>
      </c>
      <c r="D60" t="s">
        <v>4</v>
      </c>
      <c r="E60">
        <v>0</v>
      </c>
      <c r="F60">
        <v>1</v>
      </c>
      <c r="G60">
        <v>0</v>
      </c>
      <c r="H60">
        <v>0</v>
      </c>
      <c r="I60" t="s">
        <v>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4.8</v>
      </c>
      <c r="AE60">
        <v>275</v>
      </c>
      <c r="AF60">
        <v>13.292185192460019</v>
      </c>
      <c r="AG60">
        <v>13.741400285941261</v>
      </c>
      <c r="AH60">
        <v>26.489693364409518</v>
      </c>
      <c r="AI60">
        <f>18.0616897599977*1</f>
        <v>18.061689759997702</v>
      </c>
      <c r="AJ60">
        <f>3.68806549838414*1</f>
        <v>3.6880654983841401</v>
      </c>
      <c r="AK60">
        <v>1</v>
      </c>
      <c r="AL60">
        <v>0</v>
      </c>
      <c r="AM60">
        <v>0</v>
      </c>
    </row>
    <row r="61" spans="1:39" hidden="1" x14ac:dyDescent="0.2">
      <c r="A61" t="s">
        <v>171</v>
      </c>
      <c r="B61" t="s">
        <v>172</v>
      </c>
      <c r="C61" t="s">
        <v>172</v>
      </c>
      <c r="D61" t="s">
        <v>4</v>
      </c>
      <c r="E61">
        <v>0</v>
      </c>
      <c r="F61">
        <v>1</v>
      </c>
      <c r="G61">
        <v>0</v>
      </c>
      <c r="H61">
        <v>0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4.5</v>
      </c>
      <c r="AE61">
        <v>277</v>
      </c>
      <c r="AF61">
        <v>12.70992366412214</v>
      </c>
      <c r="AG61">
        <v>11.050585078054921</v>
      </c>
      <c r="AH61">
        <v>21.67919707790945</v>
      </c>
      <c r="AI61">
        <f>25.6658488992614*1</f>
        <v>25.665848899261398</v>
      </c>
      <c r="AJ61">
        <f>5.39478378444237*1</f>
        <v>5.3947837844423701</v>
      </c>
      <c r="AK61">
        <v>1</v>
      </c>
      <c r="AL61">
        <v>0</v>
      </c>
      <c r="AM61">
        <v>0</v>
      </c>
    </row>
    <row r="62" spans="1:39" hidden="1" x14ac:dyDescent="0.2">
      <c r="A62" t="s">
        <v>173</v>
      </c>
      <c r="B62" t="s">
        <v>174</v>
      </c>
      <c r="C62" t="s">
        <v>174</v>
      </c>
      <c r="D62" t="s">
        <v>5</v>
      </c>
      <c r="E62">
        <v>0</v>
      </c>
      <c r="F62">
        <v>0</v>
      </c>
      <c r="G62">
        <v>1</v>
      </c>
      <c r="H62">
        <v>0</v>
      </c>
      <c r="I62" t="s">
        <v>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5.8</v>
      </c>
      <c r="AE62">
        <v>287</v>
      </c>
      <c r="AF62">
        <v>16.477272727272741</v>
      </c>
      <c r="AG62">
        <v>13.79042701065109</v>
      </c>
      <c r="AH62">
        <v>21.444685594869579</v>
      </c>
      <c r="AI62">
        <f>13.3606173336621*1</f>
        <v>13.3606173336621</v>
      </c>
      <c r="AJ62">
        <f>2.79739384268077*1</f>
        <v>2.7973938426807701</v>
      </c>
      <c r="AK62">
        <v>1</v>
      </c>
      <c r="AL62">
        <v>0</v>
      </c>
      <c r="AM62">
        <v>0</v>
      </c>
    </row>
    <row r="63" spans="1:39" hidden="1" x14ac:dyDescent="0.2">
      <c r="A63" t="s">
        <v>175</v>
      </c>
      <c r="B63" t="s">
        <v>176</v>
      </c>
      <c r="C63" t="s">
        <v>175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289</v>
      </c>
      <c r="AF63">
        <v>11.747887620954589</v>
      </c>
      <c r="AG63">
        <v>13.761987872709581</v>
      </c>
      <c r="AH63">
        <v>8.2048106194315569</v>
      </c>
      <c r="AI63">
        <f>6.66671425154678*1</f>
        <v>6.6667142515467797</v>
      </c>
      <c r="AJ63">
        <f>1.2094496396499*1</f>
        <v>1.2094496396498999</v>
      </c>
      <c r="AK63">
        <v>1</v>
      </c>
      <c r="AL63">
        <v>0</v>
      </c>
      <c r="AM63">
        <v>0</v>
      </c>
    </row>
    <row r="64" spans="1:39" hidden="1" x14ac:dyDescent="0.2">
      <c r="A64" t="s">
        <v>177</v>
      </c>
      <c r="B64" t="s">
        <v>178</v>
      </c>
      <c r="C64" t="s">
        <v>178</v>
      </c>
      <c r="D64" t="s">
        <v>5</v>
      </c>
      <c r="E64">
        <v>0</v>
      </c>
      <c r="F64">
        <v>0</v>
      </c>
      <c r="G64">
        <v>1</v>
      </c>
      <c r="H64">
        <v>0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5.6</v>
      </c>
      <c r="AE64">
        <v>297</v>
      </c>
      <c r="AF64">
        <v>18.19238810471623</v>
      </c>
      <c r="AG64">
        <v>13.410303994184821</v>
      </c>
      <c r="AH64">
        <v>23.118477551964041</v>
      </c>
      <c r="AI64">
        <f>17.4604379471751*1</f>
        <v>17.460437947175102</v>
      </c>
      <c r="AJ64">
        <f>3.41446297965095*1</f>
        <v>3.41446297965095</v>
      </c>
      <c r="AK64">
        <v>1</v>
      </c>
      <c r="AL64">
        <v>0</v>
      </c>
      <c r="AM64">
        <v>0</v>
      </c>
    </row>
    <row r="65" spans="1:39" hidden="1" x14ac:dyDescent="0.2">
      <c r="A65" t="s">
        <v>179</v>
      </c>
      <c r="B65" t="s">
        <v>180</v>
      </c>
      <c r="C65" t="s">
        <v>180</v>
      </c>
      <c r="D65" t="s">
        <v>3</v>
      </c>
      <c r="E65">
        <v>1</v>
      </c>
      <c r="F65">
        <v>0</v>
      </c>
      <c r="G65">
        <v>0</v>
      </c>
      <c r="H65">
        <v>0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298</v>
      </c>
      <c r="AF65">
        <v>18.442721613401169</v>
      </c>
      <c r="AG65">
        <v>18.122276532353101</v>
      </c>
      <c r="AH65">
        <v>19.56671205489376</v>
      </c>
      <c r="AI65">
        <f>14.9080184199905*1</f>
        <v>14.908018419990499</v>
      </c>
      <c r="AJ65">
        <f>3.19111285436212*1</f>
        <v>3.1911128543621201</v>
      </c>
      <c r="AK65">
        <v>1</v>
      </c>
      <c r="AL65">
        <v>0</v>
      </c>
      <c r="AM65">
        <v>0</v>
      </c>
    </row>
    <row r="66" spans="1:39" hidden="1" x14ac:dyDescent="0.2">
      <c r="A66" t="s">
        <v>181</v>
      </c>
      <c r="B66" t="s">
        <v>182</v>
      </c>
      <c r="C66" t="s">
        <v>181</v>
      </c>
      <c r="D66" t="s">
        <v>6</v>
      </c>
      <c r="E66">
        <v>0</v>
      </c>
      <c r="F66">
        <v>0</v>
      </c>
      <c r="G66">
        <v>0</v>
      </c>
      <c r="H66">
        <v>1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5.7</v>
      </c>
      <c r="AE66">
        <v>302</v>
      </c>
      <c r="AF66">
        <v>18.38893658608044</v>
      </c>
      <c r="AG66">
        <v>23.370728973581301</v>
      </c>
      <c r="AH66">
        <v>17.213182044591129</v>
      </c>
      <c r="AI66">
        <f>30.3624713185421*1</f>
        <v>30.362471318542099</v>
      </c>
      <c r="AJ66">
        <f>5.62531468036542*1</f>
        <v>5.6253146803654204</v>
      </c>
      <c r="AK66">
        <v>1</v>
      </c>
      <c r="AL66">
        <v>0</v>
      </c>
      <c r="AM66">
        <v>0</v>
      </c>
    </row>
    <row r="67" spans="1:39" hidden="1" x14ac:dyDescent="0.2">
      <c r="A67" t="s">
        <v>183</v>
      </c>
      <c r="B67" t="s">
        <v>184</v>
      </c>
      <c r="C67" t="s">
        <v>184</v>
      </c>
      <c r="D67" t="s">
        <v>4</v>
      </c>
      <c r="E67">
        <v>0</v>
      </c>
      <c r="F67">
        <v>1</v>
      </c>
      <c r="G67">
        <v>0</v>
      </c>
      <c r="H67">
        <v>0</v>
      </c>
      <c r="I67" t="s">
        <v>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4.7</v>
      </c>
      <c r="AE67">
        <v>305</v>
      </c>
      <c r="AF67">
        <v>13.119266055045861</v>
      </c>
      <c r="AG67">
        <v>11.98509092184047</v>
      </c>
      <c r="AH67">
        <v>31.278270330662519</v>
      </c>
      <c r="AI67">
        <f>6.55620316588786*1</f>
        <v>6.5562031658878599</v>
      </c>
      <c r="AJ67">
        <f>1.2363258004254*1</f>
        <v>1.2363258004254001</v>
      </c>
      <c r="AK67">
        <v>1</v>
      </c>
      <c r="AL67">
        <v>0</v>
      </c>
      <c r="AM67">
        <v>0</v>
      </c>
    </row>
    <row r="68" spans="1:39" hidden="1" x14ac:dyDescent="0.2">
      <c r="A68" t="s">
        <v>185</v>
      </c>
      <c r="B68" t="s">
        <v>186</v>
      </c>
      <c r="C68" t="s">
        <v>186</v>
      </c>
      <c r="D68" t="s">
        <v>4</v>
      </c>
      <c r="E68">
        <v>0</v>
      </c>
      <c r="F68">
        <v>1</v>
      </c>
      <c r="G68">
        <v>0</v>
      </c>
      <c r="H68">
        <v>0</v>
      </c>
      <c r="I68" t="s">
        <v>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>
        <v>307</v>
      </c>
      <c r="AF68">
        <v>11.077540994784449</v>
      </c>
      <c r="AG68">
        <v>15.410394400042611</v>
      </c>
      <c r="AH68">
        <v>15.521475201207631</v>
      </c>
      <c r="AI68">
        <f>10.4646043393372*1</f>
        <v>10.4646043393372</v>
      </c>
      <c r="AJ68">
        <f>1.70927739547937*1</f>
        <v>1.7092773954793701</v>
      </c>
      <c r="AK68">
        <v>1</v>
      </c>
      <c r="AL68">
        <v>0</v>
      </c>
      <c r="AM68">
        <v>0</v>
      </c>
    </row>
    <row r="69" spans="1:39" hidden="1" x14ac:dyDescent="0.2">
      <c r="A69" t="s">
        <v>187</v>
      </c>
      <c r="B69" t="s">
        <v>188</v>
      </c>
      <c r="C69" t="s">
        <v>188</v>
      </c>
      <c r="D69" t="s">
        <v>4</v>
      </c>
      <c r="E69">
        <v>0</v>
      </c>
      <c r="F69">
        <v>1</v>
      </c>
      <c r="G69">
        <v>0</v>
      </c>
      <c r="H69">
        <v>0</v>
      </c>
      <c r="I69" t="s">
        <v>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4.5</v>
      </c>
      <c r="AE69">
        <v>322</v>
      </c>
      <c r="AF69">
        <v>0</v>
      </c>
      <c r="AG69">
        <v>0</v>
      </c>
      <c r="AH69">
        <v>0</v>
      </c>
      <c r="AI69">
        <f>0*1</f>
        <v>0</v>
      </c>
      <c r="AJ69">
        <f>0*1</f>
        <v>0</v>
      </c>
      <c r="AK69">
        <v>1</v>
      </c>
      <c r="AL69">
        <v>0</v>
      </c>
      <c r="AM69">
        <v>0</v>
      </c>
    </row>
    <row r="70" spans="1:39" hidden="1" x14ac:dyDescent="0.2">
      <c r="A70" t="s">
        <v>189</v>
      </c>
      <c r="B70" t="s">
        <v>190</v>
      </c>
      <c r="C70" t="s">
        <v>190</v>
      </c>
      <c r="D70" t="s">
        <v>6</v>
      </c>
      <c r="E70">
        <v>0</v>
      </c>
      <c r="F70">
        <v>0</v>
      </c>
      <c r="G70">
        <v>0</v>
      </c>
      <c r="H70">
        <v>1</v>
      </c>
      <c r="I70" t="s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5.6</v>
      </c>
      <c r="AE70">
        <v>323</v>
      </c>
      <c r="AF70">
        <v>0</v>
      </c>
      <c r="AG70">
        <v>0</v>
      </c>
      <c r="AH70">
        <v>0</v>
      </c>
      <c r="AI70">
        <f>0*1</f>
        <v>0</v>
      </c>
      <c r="AJ70">
        <f>0*1</f>
        <v>0</v>
      </c>
      <c r="AK70">
        <v>1</v>
      </c>
      <c r="AL70">
        <v>0</v>
      </c>
      <c r="AM70">
        <v>0</v>
      </c>
    </row>
    <row r="71" spans="1:39" hidden="1" x14ac:dyDescent="0.2">
      <c r="A71" t="s">
        <v>191</v>
      </c>
      <c r="B71" t="s">
        <v>192</v>
      </c>
      <c r="C71" t="s">
        <v>192</v>
      </c>
      <c r="D71" t="s">
        <v>3</v>
      </c>
      <c r="E71">
        <v>1</v>
      </c>
      <c r="F71">
        <v>0</v>
      </c>
      <c r="G71">
        <v>0</v>
      </c>
      <c r="H71">
        <v>0</v>
      </c>
      <c r="I71" t="s">
        <v>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4.4000000000000004</v>
      </c>
      <c r="AE71">
        <v>341</v>
      </c>
      <c r="AF71">
        <v>18.880605543402691</v>
      </c>
      <c r="AG71">
        <v>25.202454972544469</v>
      </c>
      <c r="AH71">
        <v>13.08020009402362</v>
      </c>
      <c r="AI71">
        <f>12.053195750335*1</f>
        <v>12.053195750335</v>
      </c>
      <c r="AJ71">
        <f>1.8876238806375*1</f>
        <v>1.8876238806375001</v>
      </c>
      <c r="AK71">
        <v>1</v>
      </c>
      <c r="AL71">
        <v>0</v>
      </c>
      <c r="AM71">
        <v>0</v>
      </c>
    </row>
    <row r="72" spans="1:39" hidden="1" x14ac:dyDescent="0.2">
      <c r="A72" t="s">
        <v>193</v>
      </c>
      <c r="B72" t="s">
        <v>194</v>
      </c>
      <c r="C72" t="s">
        <v>194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348</v>
      </c>
      <c r="AF72">
        <v>12.717391304347821</v>
      </c>
      <c r="AG72">
        <v>10.44805189888258</v>
      </c>
      <c r="AH72">
        <v>10.91111111111111</v>
      </c>
      <c r="AI72">
        <f>15.159864276238*1</f>
        <v>15.159864276238</v>
      </c>
      <c r="AJ72">
        <f>3.08622574136709*1</f>
        <v>3.0862257413670902</v>
      </c>
      <c r="AK72">
        <v>1</v>
      </c>
      <c r="AL72">
        <v>0</v>
      </c>
      <c r="AM72">
        <v>0</v>
      </c>
    </row>
    <row r="73" spans="1:39" hidden="1" x14ac:dyDescent="0.2">
      <c r="A73" t="s">
        <v>167</v>
      </c>
      <c r="B73" t="s">
        <v>195</v>
      </c>
      <c r="C73" t="s">
        <v>196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5.2</v>
      </c>
      <c r="AE73">
        <v>349</v>
      </c>
      <c r="AF73">
        <v>13.974999999999991</v>
      </c>
      <c r="AG73">
        <v>13.43289403490315</v>
      </c>
      <c r="AH73">
        <v>17.82385298692752</v>
      </c>
      <c r="AI73">
        <f>12.923263364913*1</f>
        <v>12.923263364913</v>
      </c>
      <c r="AJ73">
        <f>2.54090255248875*1</f>
        <v>2.5409025524887499</v>
      </c>
      <c r="AK73">
        <v>1</v>
      </c>
      <c r="AL73">
        <v>0</v>
      </c>
      <c r="AM73">
        <v>0</v>
      </c>
    </row>
    <row r="74" spans="1:39" hidden="1" x14ac:dyDescent="0.2">
      <c r="A74" t="s">
        <v>169</v>
      </c>
      <c r="B74" t="s">
        <v>87</v>
      </c>
      <c r="C74" t="s">
        <v>87</v>
      </c>
      <c r="D74" t="s">
        <v>4</v>
      </c>
      <c r="E74">
        <v>0</v>
      </c>
      <c r="F74">
        <v>1</v>
      </c>
      <c r="G74">
        <v>0</v>
      </c>
      <c r="H74">
        <v>0</v>
      </c>
      <c r="I74" t="s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4.5999999999999996</v>
      </c>
      <c r="AE74">
        <v>361</v>
      </c>
      <c r="AF74">
        <v>16.095890410958919</v>
      </c>
      <c r="AG74">
        <v>14.036506001896919</v>
      </c>
      <c r="AH74">
        <v>11.18132847649518</v>
      </c>
      <c r="AI74">
        <f>13.8674766850649*1</f>
        <v>13.867476685064901</v>
      </c>
      <c r="AJ74">
        <f>2.688678847142*1</f>
        <v>2.688678847142</v>
      </c>
      <c r="AK74">
        <v>1</v>
      </c>
      <c r="AL74">
        <v>0</v>
      </c>
      <c r="AM74">
        <v>0</v>
      </c>
    </row>
    <row r="75" spans="1:39" hidden="1" x14ac:dyDescent="0.2">
      <c r="A75" t="s">
        <v>197</v>
      </c>
      <c r="B75" t="s">
        <v>198</v>
      </c>
      <c r="C75" t="s">
        <v>198</v>
      </c>
      <c r="D75" t="s">
        <v>6</v>
      </c>
      <c r="E75">
        <v>0</v>
      </c>
      <c r="F75">
        <v>0</v>
      </c>
      <c r="G75">
        <v>0</v>
      </c>
      <c r="H75">
        <v>1</v>
      </c>
      <c r="I75" t="s">
        <v>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5.6</v>
      </c>
      <c r="AE75">
        <v>372</v>
      </c>
      <c r="AF75">
        <v>16.347114631863921</v>
      </c>
      <c r="AG75">
        <v>23.258436815177092</v>
      </c>
      <c r="AH75">
        <v>26.08290714394542</v>
      </c>
      <c r="AI75">
        <f>12.9414640929187*1</f>
        <v>12.9414640929187</v>
      </c>
      <c r="AJ75">
        <f>2.30458067025696*1</f>
        <v>2.3045806702569598</v>
      </c>
      <c r="AK75">
        <v>1</v>
      </c>
      <c r="AL75">
        <v>0</v>
      </c>
      <c r="AM75">
        <v>0</v>
      </c>
    </row>
    <row r="76" spans="1:39" hidden="1" x14ac:dyDescent="0.2">
      <c r="A76" t="s">
        <v>199</v>
      </c>
      <c r="B76" t="s">
        <v>200</v>
      </c>
      <c r="C76" t="s">
        <v>200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4.5</v>
      </c>
      <c r="AE76">
        <v>375</v>
      </c>
      <c r="AF76">
        <v>8.6447949479554609</v>
      </c>
      <c r="AG76">
        <v>8.658326796923518</v>
      </c>
      <c r="AH76">
        <v>7.7698045543425067</v>
      </c>
      <c r="AI76">
        <f>9.31247115862623*1</f>
        <v>9.3124711586262308</v>
      </c>
      <c r="AJ76">
        <f>1.9348259606052*1</f>
        <v>1.9348259606052001</v>
      </c>
      <c r="AK76">
        <v>1</v>
      </c>
      <c r="AL76">
        <v>0</v>
      </c>
      <c r="AM76">
        <v>0</v>
      </c>
    </row>
    <row r="77" spans="1:39" hidden="1" x14ac:dyDescent="0.2">
      <c r="A77" t="s">
        <v>201</v>
      </c>
      <c r="B77" t="s">
        <v>202</v>
      </c>
      <c r="C77" t="s">
        <v>202</v>
      </c>
      <c r="D77" t="s">
        <v>4</v>
      </c>
      <c r="E77">
        <v>0</v>
      </c>
      <c r="F77">
        <v>1</v>
      </c>
      <c r="G77">
        <v>0</v>
      </c>
      <c r="H77">
        <v>0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6.9</v>
      </c>
      <c r="AE77">
        <v>382</v>
      </c>
      <c r="AF77">
        <v>24.885995615837171</v>
      </c>
      <c r="AG77">
        <v>30.495322643517941</v>
      </c>
      <c r="AH77">
        <v>13.713341976971281</v>
      </c>
      <c r="AI77">
        <f>13.337664032109*1</f>
        <v>13.337664032109</v>
      </c>
      <c r="AJ77">
        <f>2.6303475614943*1</f>
        <v>2.6303475614942999</v>
      </c>
      <c r="AK77">
        <v>1</v>
      </c>
      <c r="AL77">
        <v>1</v>
      </c>
      <c r="AM77">
        <v>1</v>
      </c>
    </row>
    <row r="78" spans="1:39" hidden="1" x14ac:dyDescent="0.2">
      <c r="A78" t="s">
        <v>203</v>
      </c>
      <c r="B78" t="s">
        <v>204</v>
      </c>
      <c r="C78" t="s">
        <v>203</v>
      </c>
      <c r="D78" t="s">
        <v>6</v>
      </c>
      <c r="E78">
        <v>0</v>
      </c>
      <c r="F78">
        <v>0</v>
      </c>
      <c r="G78">
        <v>0</v>
      </c>
      <c r="H78">
        <v>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7.1</v>
      </c>
      <c r="AE78">
        <v>386</v>
      </c>
      <c r="AF78">
        <v>17.887323943661979</v>
      </c>
      <c r="AG78">
        <v>24.517961741714409</v>
      </c>
      <c r="AH78">
        <v>24.771389017851039</v>
      </c>
      <c r="AI78">
        <f>13.4283977806105*1</f>
        <v>13.428397780610499</v>
      </c>
      <c r="AJ78">
        <f>2.68458268330979*1</f>
        <v>2.6845826833097899</v>
      </c>
      <c r="AK78">
        <v>1</v>
      </c>
      <c r="AL78">
        <v>0</v>
      </c>
      <c r="AM78">
        <v>0</v>
      </c>
    </row>
    <row r="79" spans="1:39" hidden="1" x14ac:dyDescent="0.2">
      <c r="A79" t="s">
        <v>81</v>
      </c>
      <c r="B79" t="s">
        <v>205</v>
      </c>
      <c r="C79" t="s">
        <v>205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393</v>
      </c>
      <c r="AF79">
        <v>10.27027027027027</v>
      </c>
      <c r="AG79">
        <v>10.0109527403083</v>
      </c>
      <c r="AH79">
        <v>15.481011161345799</v>
      </c>
      <c r="AI79">
        <f>6.11788393412041*1</f>
        <v>6.1178839341204103</v>
      </c>
      <c r="AJ79">
        <f>1.27049427030445*1</f>
        <v>1.2704942703044499</v>
      </c>
      <c r="AK79">
        <v>1</v>
      </c>
      <c r="AL79">
        <v>0</v>
      </c>
      <c r="AM79">
        <v>0</v>
      </c>
    </row>
    <row r="80" spans="1:39" hidden="1" x14ac:dyDescent="0.2">
      <c r="A80" t="s">
        <v>206</v>
      </c>
      <c r="B80" t="s">
        <v>207</v>
      </c>
      <c r="C80" t="s">
        <v>207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5.3</v>
      </c>
      <c r="AE80">
        <v>394</v>
      </c>
      <c r="AF80">
        <v>11.304347826086961</v>
      </c>
      <c r="AG80">
        <v>10.55128598156168</v>
      </c>
      <c r="AH80">
        <v>11.68571428571429</v>
      </c>
      <c r="AI80">
        <f>15.357721168611*1</f>
        <v>15.357721168611</v>
      </c>
      <c r="AJ80">
        <f>3.61123324428177*1</f>
        <v>3.6112332442817698</v>
      </c>
      <c r="AK80">
        <v>1</v>
      </c>
      <c r="AL80">
        <v>0</v>
      </c>
      <c r="AM80">
        <v>0</v>
      </c>
    </row>
    <row r="81" spans="1:39" hidden="1" x14ac:dyDescent="0.2">
      <c r="A81" t="s">
        <v>208</v>
      </c>
      <c r="B81" t="s">
        <v>209</v>
      </c>
      <c r="C81" t="s">
        <v>210</v>
      </c>
      <c r="D81" t="s">
        <v>5</v>
      </c>
      <c r="E81">
        <v>0</v>
      </c>
      <c r="F81">
        <v>0</v>
      </c>
      <c r="G81">
        <v>1</v>
      </c>
      <c r="H81">
        <v>0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7.6</v>
      </c>
      <c r="AE81">
        <v>397</v>
      </c>
      <c r="AF81">
        <v>19.794520547945211</v>
      </c>
      <c r="AG81">
        <v>16.250691036066861</v>
      </c>
      <c r="AH81">
        <v>11.17768765439819</v>
      </c>
      <c r="AI81">
        <f>9.9704781799267*1</f>
        <v>9.9704781799266993</v>
      </c>
      <c r="AJ81">
        <f>1.95264808254824*1</f>
        <v>1.95264808254824</v>
      </c>
      <c r="AK81">
        <v>1</v>
      </c>
      <c r="AL81">
        <v>1</v>
      </c>
      <c r="AM81">
        <v>0</v>
      </c>
    </row>
    <row r="82" spans="1:39" hidden="1" x14ac:dyDescent="0.2">
      <c r="A82" t="s">
        <v>211</v>
      </c>
      <c r="B82" t="s">
        <v>212</v>
      </c>
      <c r="C82" t="s">
        <v>213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13.1</v>
      </c>
      <c r="AE82">
        <v>398</v>
      </c>
      <c r="AF82">
        <v>35.023255813953497</v>
      </c>
      <c r="AG82">
        <v>35.169882954767239</v>
      </c>
      <c r="AH82">
        <v>54.31740151880684</v>
      </c>
      <c r="AI82">
        <f>28.0257896790929*1</f>
        <v>28.025789679092899</v>
      </c>
      <c r="AJ82">
        <f>5.76591370792093*1</f>
        <v>5.7659137079209302</v>
      </c>
      <c r="AK82">
        <v>1</v>
      </c>
      <c r="AL82">
        <v>0</v>
      </c>
      <c r="AM82">
        <v>0</v>
      </c>
    </row>
    <row r="83" spans="1:39" hidden="1" x14ac:dyDescent="0.2">
      <c r="A83" t="s">
        <v>214</v>
      </c>
      <c r="B83" t="s">
        <v>215</v>
      </c>
      <c r="C83" t="s">
        <v>215</v>
      </c>
      <c r="D83" t="s">
        <v>4</v>
      </c>
      <c r="E83">
        <v>0</v>
      </c>
      <c r="F83">
        <v>1</v>
      </c>
      <c r="G83">
        <v>0</v>
      </c>
      <c r="H83">
        <v>0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5.9</v>
      </c>
      <c r="AE83">
        <v>405</v>
      </c>
      <c r="AF83">
        <v>18.681272485707019</v>
      </c>
      <c r="AG83">
        <v>24.39919680251262</v>
      </c>
      <c r="AH83">
        <v>32.639392794428481</v>
      </c>
      <c r="AI83">
        <f>11.5504254467022*1</f>
        <v>11.550425446702199</v>
      </c>
      <c r="AJ83">
        <f>2.11876298807296*1</f>
        <v>2.1187629880729602</v>
      </c>
      <c r="AK83">
        <v>1</v>
      </c>
      <c r="AL83">
        <v>1</v>
      </c>
      <c r="AM83">
        <v>1</v>
      </c>
    </row>
    <row r="84" spans="1:39" hidden="1" x14ac:dyDescent="0.2">
      <c r="A84" t="s">
        <v>216</v>
      </c>
      <c r="B84" t="s">
        <v>217</v>
      </c>
      <c r="C84" t="s">
        <v>217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6.3</v>
      </c>
      <c r="AE84">
        <v>406</v>
      </c>
      <c r="AF84">
        <v>15.34090909090909</v>
      </c>
      <c r="AG84">
        <v>20.609738311123898</v>
      </c>
      <c r="AH84">
        <v>14.61180724769323</v>
      </c>
      <c r="AI84">
        <f>9.910636576826*1</f>
        <v>9.9106365768260005</v>
      </c>
      <c r="AJ84">
        <f>2.02873125597307*1</f>
        <v>2.0287312559730699</v>
      </c>
      <c r="AK84">
        <v>1</v>
      </c>
      <c r="AL84">
        <v>0</v>
      </c>
      <c r="AM84">
        <v>0</v>
      </c>
    </row>
    <row r="85" spans="1:39" hidden="1" x14ac:dyDescent="0.2">
      <c r="A85" t="s">
        <v>218</v>
      </c>
      <c r="B85" t="s">
        <v>219</v>
      </c>
      <c r="C85" t="s">
        <v>218</v>
      </c>
      <c r="D85" t="s">
        <v>4</v>
      </c>
      <c r="E85">
        <v>0</v>
      </c>
      <c r="F85">
        <v>1</v>
      </c>
      <c r="G85">
        <v>0</v>
      </c>
      <c r="H85">
        <v>0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6.3</v>
      </c>
      <c r="AE85">
        <v>408</v>
      </c>
      <c r="AF85">
        <v>22.967914438502682</v>
      </c>
      <c r="AG85">
        <v>28.125662657760671</v>
      </c>
      <c r="AH85">
        <v>16.676681289762779</v>
      </c>
      <c r="AI85">
        <f>18.090922048514*1</f>
        <v>18.090922048513999</v>
      </c>
      <c r="AJ85">
        <f>3.84559212495752*1</f>
        <v>3.8455921249575198</v>
      </c>
      <c r="AK85">
        <v>1</v>
      </c>
      <c r="AL85">
        <v>0</v>
      </c>
      <c r="AM85">
        <v>0</v>
      </c>
    </row>
    <row r="86" spans="1:39" hidden="1" x14ac:dyDescent="0.2">
      <c r="A86" t="s">
        <v>220</v>
      </c>
      <c r="B86" t="s">
        <v>221</v>
      </c>
      <c r="C86" t="s">
        <v>221</v>
      </c>
      <c r="D86" t="s">
        <v>4</v>
      </c>
      <c r="E86">
        <v>0</v>
      </c>
      <c r="F86">
        <v>1</v>
      </c>
      <c r="G86">
        <v>0</v>
      </c>
      <c r="H86">
        <v>0</v>
      </c>
      <c r="I86" t="s">
        <v>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5.4</v>
      </c>
      <c r="AE86">
        <v>412</v>
      </c>
      <c r="AF86">
        <v>15.9375</v>
      </c>
      <c r="AG86">
        <v>20.160105785954531</v>
      </c>
      <c r="AH86">
        <v>8.8376697019133985</v>
      </c>
      <c r="AI86">
        <f>5.5550756136543*1</f>
        <v>5.5550756136543002</v>
      </c>
      <c r="AJ86">
        <f>1.23872369857283*1</f>
        <v>1.23872369857283</v>
      </c>
      <c r="AK86">
        <v>1</v>
      </c>
      <c r="AL86">
        <v>0</v>
      </c>
      <c r="AM86">
        <v>0</v>
      </c>
    </row>
    <row r="87" spans="1:39" hidden="1" x14ac:dyDescent="0.2">
      <c r="A87" t="s">
        <v>222</v>
      </c>
      <c r="B87" t="s">
        <v>223</v>
      </c>
      <c r="C87" t="s">
        <v>224</v>
      </c>
      <c r="D87" t="s">
        <v>3</v>
      </c>
      <c r="E87">
        <v>1</v>
      </c>
      <c r="F87">
        <v>0</v>
      </c>
      <c r="G87">
        <v>0</v>
      </c>
      <c r="H87">
        <v>0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5.5</v>
      </c>
      <c r="AE87">
        <v>419</v>
      </c>
      <c r="AF87">
        <v>16.481834459893669</v>
      </c>
      <c r="AG87">
        <v>20.02268066796449</v>
      </c>
      <c r="AH87">
        <v>7.4301181072014408</v>
      </c>
      <c r="AI87">
        <f>8.22077113976332*1</f>
        <v>8.2207711397633201</v>
      </c>
      <c r="AJ87">
        <f>1.70727496380929*1</f>
        <v>1.7072749638092899</v>
      </c>
      <c r="AK87">
        <v>1</v>
      </c>
      <c r="AL87">
        <v>0</v>
      </c>
      <c r="AM87">
        <v>0</v>
      </c>
    </row>
    <row r="88" spans="1:39" hidden="1" x14ac:dyDescent="0.2">
      <c r="A88" t="s">
        <v>225</v>
      </c>
      <c r="B88" t="s">
        <v>226</v>
      </c>
      <c r="C88" t="s">
        <v>226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9.1</v>
      </c>
      <c r="AE88">
        <v>420</v>
      </c>
      <c r="AF88">
        <v>25.517462197117009</v>
      </c>
      <c r="AG88">
        <v>23.484802992737801</v>
      </c>
      <c r="AH88">
        <v>15.32881261054594</v>
      </c>
      <c r="AI88">
        <f>4.20470712360399*1</f>
        <v>4.2047071236039901</v>
      </c>
      <c r="AJ88">
        <f>0.851884792489705*1</f>
        <v>0.85188479248970495</v>
      </c>
      <c r="AK88">
        <v>1</v>
      </c>
      <c r="AL88">
        <v>0</v>
      </c>
      <c r="AM88">
        <v>0</v>
      </c>
    </row>
    <row r="89" spans="1:39" hidden="1" x14ac:dyDescent="0.2">
      <c r="A89" t="s">
        <v>227</v>
      </c>
      <c r="B89" t="s">
        <v>228</v>
      </c>
      <c r="C89" t="s">
        <v>228</v>
      </c>
      <c r="D89" t="s">
        <v>4</v>
      </c>
      <c r="E89">
        <v>0</v>
      </c>
      <c r="F89">
        <v>1</v>
      </c>
      <c r="G89">
        <v>0</v>
      </c>
      <c r="H89">
        <v>0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6.3</v>
      </c>
      <c r="AE89">
        <v>422</v>
      </c>
      <c r="AF89">
        <v>19.4871794871795</v>
      </c>
      <c r="AG89">
        <v>24.563868331626541</v>
      </c>
      <c r="AH89">
        <v>22.827684266336281</v>
      </c>
      <c r="AI89">
        <f>14.3845418750742*1</f>
        <v>14.3845418750742</v>
      </c>
      <c r="AJ89">
        <f>2.77756741619115*1</f>
        <v>2.7775674161911499</v>
      </c>
      <c r="AK89">
        <v>1</v>
      </c>
      <c r="AL89">
        <v>0</v>
      </c>
      <c r="AM89">
        <v>0</v>
      </c>
    </row>
    <row r="90" spans="1:39" hidden="1" x14ac:dyDescent="0.2">
      <c r="A90" t="s">
        <v>229</v>
      </c>
      <c r="B90" t="s">
        <v>230</v>
      </c>
      <c r="C90" t="s">
        <v>230</v>
      </c>
      <c r="D90" t="s">
        <v>6</v>
      </c>
      <c r="E90">
        <v>0</v>
      </c>
      <c r="F90">
        <v>0</v>
      </c>
      <c r="G90">
        <v>0</v>
      </c>
      <c r="H90">
        <v>1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15.1</v>
      </c>
      <c r="AE90">
        <v>423</v>
      </c>
      <c r="AF90">
        <v>38.472222222222207</v>
      </c>
      <c r="AG90">
        <v>42.106302147919919</v>
      </c>
      <c r="AH90">
        <v>30.107481094941541</v>
      </c>
      <c r="AI90">
        <f>12.6797397843689*1</f>
        <v>12.6797397843689</v>
      </c>
      <c r="AJ90">
        <f>2.59258274624319*1</f>
        <v>2.5925827462431901</v>
      </c>
      <c r="AK90">
        <v>1</v>
      </c>
      <c r="AL90">
        <v>0</v>
      </c>
      <c r="AM90">
        <v>0</v>
      </c>
    </row>
    <row r="91" spans="1:39" hidden="1" x14ac:dyDescent="0.2">
      <c r="A91" t="s">
        <v>231</v>
      </c>
      <c r="B91" t="s">
        <v>232</v>
      </c>
      <c r="C91" t="s">
        <v>232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5.5</v>
      </c>
      <c r="AE91">
        <v>426</v>
      </c>
      <c r="AF91">
        <v>22.13973323358222</v>
      </c>
      <c r="AG91">
        <v>10.91328561808791</v>
      </c>
      <c r="AH91">
        <v>10.82666666666667</v>
      </c>
      <c r="AI91">
        <f>0*0</f>
        <v>0</v>
      </c>
      <c r="AJ91">
        <f>1.11792136940814*0</f>
        <v>0</v>
      </c>
      <c r="AK91">
        <v>0</v>
      </c>
      <c r="AL91">
        <v>0</v>
      </c>
      <c r="AM91">
        <v>0</v>
      </c>
    </row>
    <row r="92" spans="1:39" hidden="1" x14ac:dyDescent="0.2">
      <c r="A92" t="s">
        <v>233</v>
      </c>
      <c r="B92" t="s">
        <v>234</v>
      </c>
      <c r="C92" t="s">
        <v>233</v>
      </c>
      <c r="D92" t="s">
        <v>4</v>
      </c>
      <c r="E92">
        <v>0</v>
      </c>
      <c r="F92">
        <v>1</v>
      </c>
      <c r="G92">
        <v>0</v>
      </c>
      <c r="H92">
        <v>0</v>
      </c>
      <c r="I92" t="s">
        <v>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5.4</v>
      </c>
      <c r="AE92">
        <v>432</v>
      </c>
      <c r="AF92">
        <v>14.50819672131148</v>
      </c>
      <c r="AG92">
        <v>13.67585575318685</v>
      </c>
      <c r="AH92">
        <v>18.391657477025898</v>
      </c>
      <c r="AI92">
        <f>6.21055132099577*1</f>
        <v>6.2105513209957701</v>
      </c>
      <c r="AJ92">
        <f>1.27182080095013*1</f>
        <v>1.2718208009501299</v>
      </c>
      <c r="AK92">
        <v>1</v>
      </c>
      <c r="AL92">
        <v>0</v>
      </c>
      <c r="AM92">
        <v>0</v>
      </c>
    </row>
    <row r="93" spans="1:39" hidden="1" x14ac:dyDescent="0.2">
      <c r="A93" t="s">
        <v>235</v>
      </c>
      <c r="B93" t="s">
        <v>236</v>
      </c>
      <c r="C93" t="s">
        <v>236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6.5</v>
      </c>
      <c r="AE93">
        <v>437</v>
      </c>
      <c r="AF93">
        <v>18.559626834607609</v>
      </c>
      <c r="AG93">
        <v>22.174596654622981</v>
      </c>
      <c r="AH93">
        <v>13.68663910626951</v>
      </c>
      <c r="AI93">
        <f>9.33209520182901*1</f>
        <v>9.3320952018290093</v>
      </c>
      <c r="AJ93">
        <f>1.86553746120871*1</f>
        <v>1.8655374612087099</v>
      </c>
      <c r="AK93">
        <v>1</v>
      </c>
      <c r="AL93">
        <v>0</v>
      </c>
      <c r="AM93">
        <v>0</v>
      </c>
    </row>
    <row r="94" spans="1:39" hidden="1" x14ac:dyDescent="0.2">
      <c r="A94" t="s">
        <v>237</v>
      </c>
      <c r="B94" t="s">
        <v>238</v>
      </c>
      <c r="C94" t="s">
        <v>237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4.9000000000000004</v>
      </c>
      <c r="AE94">
        <v>442</v>
      </c>
      <c r="AF94">
        <v>15.238095238095241</v>
      </c>
      <c r="AG94">
        <v>16.300912383805549</v>
      </c>
      <c r="AH94">
        <v>28.84</v>
      </c>
      <c r="AI94">
        <f>20.2052764375726*1</f>
        <v>20.2052764375726</v>
      </c>
      <c r="AJ94">
        <f>4.21136367302704*1</f>
        <v>4.2113636730270398</v>
      </c>
      <c r="AK94">
        <v>1</v>
      </c>
      <c r="AL94">
        <v>0</v>
      </c>
      <c r="AM94">
        <v>0</v>
      </c>
    </row>
    <row r="95" spans="1:39" hidden="1" x14ac:dyDescent="0.2">
      <c r="A95" t="s">
        <v>239</v>
      </c>
      <c r="B95" t="s">
        <v>240</v>
      </c>
      <c r="C95" t="s">
        <v>241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8.5</v>
      </c>
      <c r="AE95">
        <v>444</v>
      </c>
      <c r="AF95">
        <v>22.721518987341771</v>
      </c>
      <c r="AG95">
        <v>23.88406074183704</v>
      </c>
      <c r="AH95">
        <v>59.862941176470578</v>
      </c>
      <c r="AI95">
        <f>23.7613903829723*1</f>
        <v>23.761390382972301</v>
      </c>
      <c r="AJ95">
        <f>5.00526617168477*1</f>
        <v>5.0052661716847702</v>
      </c>
      <c r="AK95">
        <v>1</v>
      </c>
      <c r="AL95">
        <v>0</v>
      </c>
      <c r="AM95">
        <v>0</v>
      </c>
    </row>
    <row r="96" spans="1:39" hidden="1" x14ac:dyDescent="0.2">
      <c r="A96" t="s">
        <v>242</v>
      </c>
      <c r="B96" t="s">
        <v>243</v>
      </c>
      <c r="C96" t="s">
        <v>244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4.8</v>
      </c>
      <c r="AE96">
        <v>446</v>
      </c>
      <c r="AF96">
        <v>12.583333333333339</v>
      </c>
      <c r="AG96">
        <v>14.199746607356269</v>
      </c>
      <c r="AH96">
        <v>10.12411435044547</v>
      </c>
      <c r="AI96">
        <f>9.6573771270408*1</f>
        <v>9.6573771270407995</v>
      </c>
      <c r="AJ96">
        <f>1.87655451139418*1</f>
        <v>1.8765545113941799</v>
      </c>
      <c r="AK96">
        <v>1</v>
      </c>
      <c r="AL96">
        <v>0</v>
      </c>
      <c r="AM96">
        <v>0</v>
      </c>
    </row>
    <row r="97" spans="1:39" hidden="1" x14ac:dyDescent="0.2">
      <c r="A97" t="s">
        <v>245</v>
      </c>
      <c r="B97" t="s">
        <v>246</v>
      </c>
      <c r="C97" t="s">
        <v>247</v>
      </c>
      <c r="D97" t="s">
        <v>4</v>
      </c>
      <c r="E97">
        <v>0</v>
      </c>
      <c r="F97">
        <v>1</v>
      </c>
      <c r="G97">
        <v>0</v>
      </c>
      <c r="H97">
        <v>0</v>
      </c>
      <c r="I97" t="s">
        <v>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5.2</v>
      </c>
      <c r="AE97">
        <v>447</v>
      </c>
      <c r="AF97">
        <v>17.04225352112676</v>
      </c>
      <c r="AG97">
        <v>16.237618203251021</v>
      </c>
      <c r="AH97">
        <v>11.243513502545021</v>
      </c>
      <c r="AI97">
        <f>14.0635958525519*1</f>
        <v>14.0635958525519</v>
      </c>
      <c r="AJ97">
        <f>2.50559849992929*1</f>
        <v>2.50559849992929</v>
      </c>
      <c r="AK97">
        <v>1</v>
      </c>
      <c r="AL97">
        <v>1</v>
      </c>
      <c r="AM97">
        <v>1</v>
      </c>
    </row>
    <row r="98" spans="1:39" hidden="1" x14ac:dyDescent="0.2">
      <c r="A98" t="s">
        <v>248</v>
      </c>
      <c r="B98" t="s">
        <v>249</v>
      </c>
      <c r="C98" t="s">
        <v>249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6.4</v>
      </c>
      <c r="AE98">
        <v>450</v>
      </c>
      <c r="AF98">
        <v>19.295996841492869</v>
      </c>
      <c r="AG98">
        <v>15.901580139373181</v>
      </c>
      <c r="AH98">
        <v>16.343560292663469</v>
      </c>
      <c r="AI98">
        <f>16.5809034522645*1</f>
        <v>16.580903452264501</v>
      </c>
      <c r="AJ98">
        <f>3.42738788031923*1</f>
        <v>3.4273878803192299</v>
      </c>
      <c r="AK98">
        <v>1</v>
      </c>
      <c r="AL98">
        <v>0</v>
      </c>
      <c r="AM98">
        <v>0</v>
      </c>
    </row>
    <row r="99" spans="1:39" hidden="1" x14ac:dyDescent="0.2">
      <c r="A99" t="s">
        <v>250</v>
      </c>
      <c r="B99" t="s">
        <v>251</v>
      </c>
      <c r="C99" t="s">
        <v>70</v>
      </c>
      <c r="D99" t="s">
        <v>4</v>
      </c>
      <c r="E99">
        <v>0</v>
      </c>
      <c r="F99">
        <v>1</v>
      </c>
      <c r="G99">
        <v>0</v>
      </c>
      <c r="H99">
        <v>0</v>
      </c>
      <c r="I99" t="s">
        <v>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4.4000000000000004</v>
      </c>
      <c r="AE99">
        <v>458</v>
      </c>
      <c r="AF99">
        <v>13.33333333333333</v>
      </c>
      <c r="AG99">
        <v>14.46570386282993</v>
      </c>
      <c r="AH99">
        <v>12.356811780965479</v>
      </c>
      <c r="AI99">
        <f>8.56754787937357*1</f>
        <v>8.5675478793735707</v>
      </c>
      <c r="AJ99">
        <f>1.47275908292272*1</f>
        <v>1.47275908292272</v>
      </c>
      <c r="AK99">
        <v>1</v>
      </c>
      <c r="AL99">
        <v>0</v>
      </c>
      <c r="AM99">
        <v>0</v>
      </c>
    </row>
    <row r="100" spans="1:39" hidden="1" x14ac:dyDescent="0.2">
      <c r="A100" t="s">
        <v>252</v>
      </c>
      <c r="B100" t="s">
        <v>253</v>
      </c>
      <c r="C100" t="s">
        <v>253</v>
      </c>
      <c r="D100" t="s">
        <v>3</v>
      </c>
      <c r="E100">
        <v>1</v>
      </c>
      <c r="F100">
        <v>0</v>
      </c>
      <c r="G100">
        <v>0</v>
      </c>
      <c r="H100">
        <v>0</v>
      </c>
      <c r="I100" t="s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5.0999999999999996</v>
      </c>
      <c r="AE100">
        <v>461</v>
      </c>
      <c r="AF100">
        <v>18.979591836734691</v>
      </c>
      <c r="AG100">
        <v>14.023366509550691</v>
      </c>
      <c r="AH100">
        <v>25.000238464027191</v>
      </c>
      <c r="AI100">
        <f>21.6476076638627*1</f>
        <v>21.647607663862701</v>
      </c>
      <c r="AJ100">
        <f>4.23965337207468*1</f>
        <v>4.2396533720746801</v>
      </c>
      <c r="AK100">
        <v>1</v>
      </c>
      <c r="AL100">
        <v>1</v>
      </c>
      <c r="AM100">
        <v>1</v>
      </c>
    </row>
    <row r="101" spans="1:39" hidden="1" x14ac:dyDescent="0.2">
      <c r="A101" t="s">
        <v>96</v>
      </c>
      <c r="B101" t="s">
        <v>254</v>
      </c>
      <c r="C101" t="s">
        <v>254</v>
      </c>
      <c r="D101" t="s">
        <v>5</v>
      </c>
      <c r="E101">
        <v>0</v>
      </c>
      <c r="F101">
        <v>0</v>
      </c>
      <c r="G101">
        <v>1</v>
      </c>
      <c r="H101">
        <v>0</v>
      </c>
      <c r="I101" t="s">
        <v>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6.9</v>
      </c>
      <c r="AE101">
        <v>463</v>
      </c>
      <c r="AF101">
        <v>21.752577319587619</v>
      </c>
      <c r="AG101">
        <v>25.152311493607019</v>
      </c>
      <c r="AH101">
        <v>28.35039709749206</v>
      </c>
      <c r="AI101">
        <f>16.8779720476807*1</f>
        <v>16.8779720476807</v>
      </c>
      <c r="AJ101">
        <f>2.98160203550316*1</f>
        <v>2.9816020355031601</v>
      </c>
      <c r="AK101">
        <v>1</v>
      </c>
      <c r="AL101">
        <v>0</v>
      </c>
      <c r="AM101">
        <v>0</v>
      </c>
    </row>
    <row r="102" spans="1:39" hidden="1" x14ac:dyDescent="0.2">
      <c r="A102" t="s">
        <v>255</v>
      </c>
      <c r="B102" t="s">
        <v>256</v>
      </c>
      <c r="C102" t="s">
        <v>256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6.3</v>
      </c>
      <c r="AE102">
        <v>477</v>
      </c>
      <c r="AF102">
        <v>19.412818385909489</v>
      </c>
      <c r="AG102">
        <v>21.390648672752679</v>
      </c>
      <c r="AH102">
        <v>13.410022054076441</v>
      </c>
      <c r="AI102">
        <f>8.91058780406958*1</f>
        <v>8.9105878040695803</v>
      </c>
      <c r="AJ102">
        <f>1.7960428753913*1</f>
        <v>1.7960428753913</v>
      </c>
      <c r="AK102">
        <v>1</v>
      </c>
      <c r="AL102">
        <v>1</v>
      </c>
      <c r="AM102">
        <v>0</v>
      </c>
    </row>
    <row r="103" spans="1:39" hidden="1" x14ac:dyDescent="0.2">
      <c r="A103" t="s">
        <v>239</v>
      </c>
      <c r="B103" t="s">
        <v>257</v>
      </c>
      <c r="C103" t="s">
        <v>258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6.2</v>
      </c>
      <c r="AE103">
        <v>479</v>
      </c>
      <c r="AF103">
        <v>18.206521739130451</v>
      </c>
      <c r="AG103">
        <v>16.473313698842819</v>
      </c>
      <c r="AH103">
        <v>16.72271651306313</v>
      </c>
      <c r="AI103">
        <f>10.6592689960954*1</f>
        <v>10.659268996095401</v>
      </c>
      <c r="AJ103">
        <f>2.07120828695935*1</f>
        <v>2.07120828695935</v>
      </c>
      <c r="AK103">
        <v>1</v>
      </c>
      <c r="AL103">
        <v>0</v>
      </c>
      <c r="AM103">
        <v>0</v>
      </c>
    </row>
    <row r="104" spans="1:39" hidden="1" x14ac:dyDescent="0.2">
      <c r="A104" t="s">
        <v>259</v>
      </c>
      <c r="B104" t="s">
        <v>260</v>
      </c>
      <c r="C104" t="s">
        <v>260</v>
      </c>
      <c r="D104" t="s">
        <v>4</v>
      </c>
      <c r="E104">
        <v>0</v>
      </c>
      <c r="F104">
        <v>1</v>
      </c>
      <c r="G104">
        <v>0</v>
      </c>
      <c r="H104">
        <v>0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4.4000000000000004</v>
      </c>
      <c r="AE104">
        <v>480</v>
      </c>
      <c r="AF104">
        <v>14.27964438074995</v>
      </c>
      <c r="AG104">
        <v>14.735519583558069</v>
      </c>
      <c r="AH104">
        <v>20.547911273390891</v>
      </c>
      <c r="AI104">
        <f>9.34978871641218*1</f>
        <v>9.3497887164121796</v>
      </c>
      <c r="AJ104">
        <f>1.91928255945932*1</f>
        <v>1.9192825594593199</v>
      </c>
      <c r="AK104">
        <v>1</v>
      </c>
      <c r="AL104">
        <v>0</v>
      </c>
      <c r="AM104">
        <v>0</v>
      </c>
    </row>
    <row r="105" spans="1:39" hidden="1" x14ac:dyDescent="0.2">
      <c r="A105" t="s">
        <v>261</v>
      </c>
      <c r="B105" t="s">
        <v>262</v>
      </c>
      <c r="C105" t="s">
        <v>262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7.2</v>
      </c>
      <c r="AE105">
        <v>482</v>
      </c>
      <c r="AF105">
        <v>15.277787738929471</v>
      </c>
      <c r="AG105">
        <v>13.76370349244069</v>
      </c>
      <c r="AH105">
        <v>15.277377560710899</v>
      </c>
      <c r="AI105">
        <f>6.50517943428639*1</f>
        <v>6.50517943428639</v>
      </c>
      <c r="AJ105">
        <f>1.47487334147102*1</f>
        <v>1.47487334147102</v>
      </c>
      <c r="AK105">
        <v>1</v>
      </c>
      <c r="AL105">
        <v>0</v>
      </c>
      <c r="AM105">
        <v>0</v>
      </c>
    </row>
    <row r="106" spans="1:39" hidden="1" x14ac:dyDescent="0.2">
      <c r="A106" t="s">
        <v>83</v>
      </c>
      <c r="B106" t="s">
        <v>263</v>
      </c>
      <c r="C106" t="s">
        <v>263</v>
      </c>
      <c r="D106" t="s">
        <v>4</v>
      </c>
      <c r="E106">
        <v>0</v>
      </c>
      <c r="F106">
        <v>1</v>
      </c>
      <c r="G106">
        <v>0</v>
      </c>
      <c r="H106">
        <v>0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4.4000000000000004</v>
      </c>
      <c r="AE106">
        <v>483</v>
      </c>
      <c r="AF106">
        <v>11.944444444444439</v>
      </c>
      <c r="AG106">
        <v>11.92930919803101</v>
      </c>
      <c r="AH106">
        <v>26.94285714285714</v>
      </c>
      <c r="AI106">
        <f>14.7177268538048*1</f>
        <v>14.7177268538048</v>
      </c>
      <c r="AJ106">
        <f>2.7580087670447*1</f>
        <v>2.7580087670447</v>
      </c>
      <c r="AK106">
        <v>1</v>
      </c>
      <c r="AL106">
        <v>0</v>
      </c>
      <c r="AM106">
        <v>0</v>
      </c>
    </row>
    <row r="107" spans="1:39" hidden="1" x14ac:dyDescent="0.2">
      <c r="A107" t="s">
        <v>264</v>
      </c>
      <c r="B107" t="s">
        <v>265</v>
      </c>
      <c r="C107" t="s">
        <v>265</v>
      </c>
      <c r="D107" t="s">
        <v>6</v>
      </c>
      <c r="E107">
        <v>0</v>
      </c>
      <c r="F107">
        <v>0</v>
      </c>
      <c r="G107">
        <v>0</v>
      </c>
      <c r="H107">
        <v>1</v>
      </c>
      <c r="I107" t="s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8.5</v>
      </c>
      <c r="AE107">
        <v>485</v>
      </c>
      <c r="AF107">
        <v>26.440677966101681</v>
      </c>
      <c r="AG107">
        <v>25.930852553312761</v>
      </c>
      <c r="AH107">
        <v>35.951831309561491</v>
      </c>
      <c r="AI107">
        <f>14.3968184597063*1</f>
        <v>14.396818459706299</v>
      </c>
      <c r="AJ107">
        <f>2.88748496951669*1</f>
        <v>2.8874849695166902</v>
      </c>
      <c r="AK107">
        <v>1</v>
      </c>
      <c r="AL107">
        <v>0</v>
      </c>
      <c r="AM107">
        <v>0</v>
      </c>
    </row>
    <row r="108" spans="1:39" hidden="1" x14ac:dyDescent="0.2">
      <c r="A108" t="s">
        <v>266</v>
      </c>
      <c r="B108" t="s">
        <v>267</v>
      </c>
      <c r="C108" t="s">
        <v>268</v>
      </c>
      <c r="D108" t="s">
        <v>5</v>
      </c>
      <c r="E108">
        <v>0</v>
      </c>
      <c r="F108">
        <v>0</v>
      </c>
      <c r="G108">
        <v>1</v>
      </c>
      <c r="H108">
        <v>0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487</v>
      </c>
      <c r="AF108">
        <v>13.018292682926839</v>
      </c>
      <c r="AG108">
        <v>12.07773128948882</v>
      </c>
      <c r="AH108">
        <v>36.088632946001368</v>
      </c>
      <c r="AI108">
        <f>13.0109175914374*1</f>
        <v>13.0109175914374</v>
      </c>
      <c r="AJ108">
        <f>2.74460992175064*1</f>
        <v>2.7446099217506399</v>
      </c>
      <c r="AK108">
        <v>1</v>
      </c>
      <c r="AL108">
        <v>0</v>
      </c>
      <c r="AM108">
        <v>0</v>
      </c>
    </row>
    <row r="109" spans="1:39" hidden="1" x14ac:dyDescent="0.2">
      <c r="A109" t="s">
        <v>269</v>
      </c>
      <c r="B109" t="s">
        <v>270</v>
      </c>
      <c r="C109" t="s">
        <v>270</v>
      </c>
      <c r="D109" t="s">
        <v>4</v>
      </c>
      <c r="E109">
        <v>0</v>
      </c>
      <c r="F109">
        <v>1</v>
      </c>
      <c r="G109">
        <v>0</v>
      </c>
      <c r="H109">
        <v>0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4.5</v>
      </c>
      <c r="AE109">
        <v>493</v>
      </c>
      <c r="AF109">
        <v>10.24408098041682</v>
      </c>
      <c r="AG109">
        <v>14.066546986816491</v>
      </c>
      <c r="AH109">
        <v>8.6648716536975972</v>
      </c>
      <c r="AI109">
        <f>8.5230845368253*1</f>
        <v>8.5230845368252997</v>
      </c>
      <c r="AJ109">
        <f>1.57610449301853*1</f>
        <v>1.57610449301853</v>
      </c>
      <c r="AK109">
        <v>1</v>
      </c>
      <c r="AL109">
        <v>0</v>
      </c>
      <c r="AM109">
        <v>0</v>
      </c>
    </row>
    <row r="110" spans="1:39" hidden="1" x14ac:dyDescent="0.2">
      <c r="A110" t="s">
        <v>271</v>
      </c>
      <c r="B110" t="s">
        <v>272</v>
      </c>
      <c r="C110" t="s">
        <v>272</v>
      </c>
      <c r="D110" t="s">
        <v>3</v>
      </c>
      <c r="E110">
        <v>1</v>
      </c>
      <c r="F110">
        <v>0</v>
      </c>
      <c r="G110">
        <v>0</v>
      </c>
      <c r="H110">
        <v>0</v>
      </c>
      <c r="I110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</v>
      </c>
      <c r="AE110">
        <v>497</v>
      </c>
      <c r="AF110">
        <v>20.44025157232705</v>
      </c>
      <c r="AG110">
        <v>21.355011610967811</v>
      </c>
      <c r="AH110">
        <v>12.49320929997408</v>
      </c>
      <c r="AI110">
        <f>10.4738935654768*1</f>
        <v>10.4738935654768</v>
      </c>
      <c r="AJ110">
        <f>2.06191422409686*1</f>
        <v>2.06191422409686</v>
      </c>
      <c r="AK110">
        <v>1</v>
      </c>
      <c r="AL110">
        <v>0</v>
      </c>
      <c r="AM110">
        <v>0</v>
      </c>
    </row>
    <row r="111" spans="1:39" hidden="1" x14ac:dyDescent="0.2">
      <c r="A111" t="s">
        <v>273</v>
      </c>
      <c r="B111" t="s">
        <v>274</v>
      </c>
      <c r="C111" t="s">
        <v>274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5.4</v>
      </c>
      <c r="AE111">
        <v>499</v>
      </c>
      <c r="AF111">
        <v>14.12563815715774</v>
      </c>
      <c r="AG111">
        <v>16.302667372249331</v>
      </c>
      <c r="AH111">
        <v>10.88446551868736</v>
      </c>
      <c r="AI111">
        <f>13.6206730229718*1</f>
        <v>13.6206730229718</v>
      </c>
      <c r="AJ111">
        <f>2.57739379245947*1</f>
        <v>2.5773937924594699</v>
      </c>
      <c r="AK111">
        <v>1</v>
      </c>
      <c r="AL111">
        <v>0</v>
      </c>
      <c r="AM111">
        <v>0</v>
      </c>
    </row>
    <row r="112" spans="1:39" hidden="1" x14ac:dyDescent="0.2">
      <c r="A112" t="s">
        <v>275</v>
      </c>
      <c r="B112" t="s">
        <v>276</v>
      </c>
      <c r="C112" t="s">
        <v>276</v>
      </c>
      <c r="D112" t="s">
        <v>4</v>
      </c>
      <c r="E112">
        <v>0</v>
      </c>
      <c r="F112">
        <v>1</v>
      </c>
      <c r="G112">
        <v>0</v>
      </c>
      <c r="H112">
        <v>0</v>
      </c>
      <c r="I112" t="s">
        <v>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4.8</v>
      </c>
      <c r="AE112">
        <v>509</v>
      </c>
      <c r="AF112">
        <v>18.19901349583407</v>
      </c>
      <c r="AG112">
        <v>15.289897586494609</v>
      </c>
      <c r="AH112">
        <v>15.734266113174341</v>
      </c>
      <c r="AI112">
        <f>13.2836500155602*1</f>
        <v>13.2836500155602</v>
      </c>
      <c r="AJ112">
        <f>3.26709098049094*1</f>
        <v>3.26709098049094</v>
      </c>
      <c r="AK112">
        <v>1</v>
      </c>
      <c r="AL112">
        <v>1</v>
      </c>
      <c r="AM112">
        <v>1</v>
      </c>
    </row>
    <row r="113" spans="1:39" hidden="1" x14ac:dyDescent="0.2">
      <c r="A113" t="s">
        <v>277</v>
      </c>
      <c r="B113" t="s">
        <v>278</v>
      </c>
      <c r="C113" t="s">
        <v>278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5</v>
      </c>
      <c r="AE113">
        <v>510</v>
      </c>
      <c r="AF113">
        <v>8.3688765242121033</v>
      </c>
      <c r="AG113">
        <v>6.961459627741128</v>
      </c>
      <c r="AH113">
        <v>18.94222222222222</v>
      </c>
      <c r="AI113">
        <f>12.2575120489786*1</f>
        <v>12.257512048978599</v>
      </c>
      <c r="AJ113">
        <f>2.30949693767668*1</f>
        <v>2.3094969376766801</v>
      </c>
      <c r="AK113">
        <v>1</v>
      </c>
      <c r="AL113">
        <v>0</v>
      </c>
      <c r="AM113">
        <v>0</v>
      </c>
    </row>
    <row r="114" spans="1:39" hidden="1" x14ac:dyDescent="0.2">
      <c r="A114" t="s">
        <v>261</v>
      </c>
      <c r="B114" t="s">
        <v>279</v>
      </c>
      <c r="C114" t="s">
        <v>279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5.2</v>
      </c>
      <c r="AE114">
        <v>519</v>
      </c>
      <c r="AF114">
        <v>12.727768751158941</v>
      </c>
      <c r="AG114">
        <v>15.7897927623297</v>
      </c>
      <c r="AH114">
        <v>15.77936280855667</v>
      </c>
      <c r="AI114">
        <f>9.16171705706672*1</f>
        <v>9.1617170570667206</v>
      </c>
      <c r="AJ114">
        <f>1.49087914607799*1</f>
        <v>1.49087914607799</v>
      </c>
      <c r="AK114">
        <v>1</v>
      </c>
      <c r="AL114">
        <v>0</v>
      </c>
      <c r="AM114">
        <v>0</v>
      </c>
    </row>
    <row r="115" spans="1:39" hidden="1" x14ac:dyDescent="0.2">
      <c r="A115" t="s">
        <v>280</v>
      </c>
      <c r="B115" t="s">
        <v>281</v>
      </c>
      <c r="C115" t="s">
        <v>281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5.4</v>
      </c>
      <c r="AE115">
        <v>521</v>
      </c>
      <c r="AF115">
        <v>17.341304607001721</v>
      </c>
      <c r="AG115">
        <v>13.457699828484939</v>
      </c>
      <c r="AH115">
        <v>16.92295783061752</v>
      </c>
      <c r="AI115">
        <f>13.028104956385*1</f>
        <v>13.028104956385</v>
      </c>
      <c r="AJ115">
        <f>2.51773454226705*1</f>
        <v>2.5177345422670498</v>
      </c>
      <c r="AK115">
        <v>1</v>
      </c>
      <c r="AL115">
        <v>0</v>
      </c>
      <c r="AM115">
        <v>0</v>
      </c>
    </row>
    <row r="116" spans="1:39" hidden="1" x14ac:dyDescent="0.2">
      <c r="A116" t="s">
        <v>282</v>
      </c>
      <c r="B116" t="s">
        <v>283</v>
      </c>
      <c r="C116" t="s">
        <v>282</v>
      </c>
      <c r="D116" t="s">
        <v>4</v>
      </c>
      <c r="E116">
        <v>0</v>
      </c>
      <c r="F116">
        <v>1</v>
      </c>
      <c r="G116">
        <v>0</v>
      </c>
      <c r="H116">
        <v>0</v>
      </c>
      <c r="I116" t="s">
        <v>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4.5999999999999996</v>
      </c>
      <c r="AE116">
        <v>523</v>
      </c>
      <c r="AF116">
        <v>11.70454545454545</v>
      </c>
      <c r="AG116">
        <v>11.415701407084031</v>
      </c>
      <c r="AH116">
        <v>23.758364077030869</v>
      </c>
      <c r="AI116">
        <f>8.87865871874869*1</f>
        <v>8.8786587187486905</v>
      </c>
      <c r="AJ116">
        <f>1.7846540638887*1</f>
        <v>1.7846540638887001</v>
      </c>
      <c r="AK116">
        <v>1</v>
      </c>
      <c r="AL116">
        <v>0</v>
      </c>
      <c r="AM116">
        <v>0</v>
      </c>
    </row>
    <row r="117" spans="1:39" hidden="1" x14ac:dyDescent="0.2">
      <c r="A117" t="s">
        <v>284</v>
      </c>
      <c r="B117" t="s">
        <v>285</v>
      </c>
      <c r="C117" t="s">
        <v>285</v>
      </c>
      <c r="D117" t="s">
        <v>3</v>
      </c>
      <c r="E117">
        <v>1</v>
      </c>
      <c r="F117">
        <v>0</v>
      </c>
      <c r="G117">
        <v>0</v>
      </c>
      <c r="H117">
        <v>0</v>
      </c>
      <c r="I117" t="s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4.7</v>
      </c>
      <c r="AE117">
        <v>530</v>
      </c>
      <c r="AF117">
        <v>15.357142857142859</v>
      </c>
      <c r="AG117">
        <v>14.168336893675731</v>
      </c>
      <c r="AH117">
        <v>26.986306954296669</v>
      </c>
      <c r="AI117">
        <f>16.8296741638606*1</f>
        <v>16.829674163860599</v>
      </c>
      <c r="AJ117">
        <f>2.88048252916519*1</f>
        <v>2.8804825291651901</v>
      </c>
      <c r="AK117">
        <v>1</v>
      </c>
      <c r="AL117">
        <v>1</v>
      </c>
      <c r="AM117">
        <v>1</v>
      </c>
    </row>
    <row r="118" spans="1:39" hidden="1" x14ac:dyDescent="0.2">
      <c r="A118" t="s">
        <v>286</v>
      </c>
      <c r="B118" t="s">
        <v>287</v>
      </c>
      <c r="C118" t="s">
        <v>287</v>
      </c>
      <c r="D118" t="s">
        <v>6</v>
      </c>
      <c r="E118">
        <v>0</v>
      </c>
      <c r="F118">
        <v>0</v>
      </c>
      <c r="G118">
        <v>0</v>
      </c>
      <c r="H118">
        <v>1</v>
      </c>
      <c r="I118" t="s">
        <v>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6.6</v>
      </c>
      <c r="AE118">
        <v>533</v>
      </c>
      <c r="AF118">
        <v>17.80844916959488</v>
      </c>
      <c r="AG118">
        <v>17.629054033252309</v>
      </c>
      <c r="AH118">
        <v>12.95260076930118</v>
      </c>
      <c r="AI118">
        <f>13.3145433397568*1</f>
        <v>13.314543339756799</v>
      </c>
      <c r="AJ118">
        <f>2.75316329686623*1</f>
        <v>2.7531632968662301</v>
      </c>
      <c r="AK118">
        <v>1</v>
      </c>
      <c r="AL118">
        <v>1</v>
      </c>
      <c r="AM118">
        <v>1</v>
      </c>
    </row>
    <row r="119" spans="1:39" hidden="1" x14ac:dyDescent="0.2">
      <c r="A119" t="s">
        <v>81</v>
      </c>
      <c r="B119" t="s">
        <v>288</v>
      </c>
      <c r="C119" t="s">
        <v>288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4.9000000000000004</v>
      </c>
      <c r="AE119">
        <v>535</v>
      </c>
      <c r="AF119">
        <v>9.7945205479452095</v>
      </c>
      <c r="AG119">
        <v>7.2352302224041143</v>
      </c>
      <c r="AH119">
        <v>10.309280064087179</v>
      </c>
      <c r="AI119">
        <f>9.85575582094324*1</f>
        <v>9.8557558209432408</v>
      </c>
      <c r="AJ119">
        <f>1.8666310143251*1</f>
        <v>1.8666310143250999</v>
      </c>
      <c r="AK119">
        <v>1</v>
      </c>
      <c r="AL119">
        <v>0</v>
      </c>
      <c r="AM119">
        <v>0</v>
      </c>
    </row>
    <row r="120" spans="1:39" hidden="1" x14ac:dyDescent="0.2">
      <c r="A120" t="s">
        <v>289</v>
      </c>
      <c r="B120" t="s">
        <v>290</v>
      </c>
      <c r="C120" t="s">
        <v>290</v>
      </c>
      <c r="D120" t="s">
        <v>3</v>
      </c>
      <c r="E120">
        <v>1</v>
      </c>
      <c r="F120">
        <v>0</v>
      </c>
      <c r="G120">
        <v>0</v>
      </c>
      <c r="H120">
        <v>0</v>
      </c>
      <c r="I120" t="s">
        <v>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4.4000000000000004</v>
      </c>
      <c r="AE120">
        <v>541</v>
      </c>
      <c r="AF120">
        <v>17.203469152035471</v>
      </c>
      <c r="AG120">
        <v>18.173860530402941</v>
      </c>
      <c r="AH120">
        <v>25.811836817757769</v>
      </c>
      <c r="AI120">
        <f>12.4001620095582*1</f>
        <v>12.400162009558199</v>
      </c>
      <c r="AJ120">
        <f>2.3753012284005*1</f>
        <v>2.3753012284005002</v>
      </c>
      <c r="AK120">
        <v>1</v>
      </c>
      <c r="AL120">
        <v>0</v>
      </c>
      <c r="AM120">
        <v>0</v>
      </c>
    </row>
    <row r="121" spans="1:39" hidden="1" x14ac:dyDescent="0.2">
      <c r="A121" t="s">
        <v>291</v>
      </c>
      <c r="B121" t="s">
        <v>292</v>
      </c>
      <c r="C121" t="s">
        <v>292</v>
      </c>
      <c r="D121" t="s">
        <v>6</v>
      </c>
      <c r="E121">
        <v>0</v>
      </c>
      <c r="F121">
        <v>0</v>
      </c>
      <c r="G121">
        <v>0</v>
      </c>
      <c r="H121">
        <v>1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5</v>
      </c>
      <c r="AE121">
        <v>542</v>
      </c>
      <c r="AF121">
        <v>11.8</v>
      </c>
      <c r="AG121">
        <v>11.865088100152629</v>
      </c>
      <c r="AH121">
        <v>6.48</v>
      </c>
      <c r="AI121">
        <f>12.6969317577262*1</f>
        <v>12.696931757726199</v>
      </c>
      <c r="AJ121">
        <f>2.39160268452624*1</f>
        <v>2.3916026845262399</v>
      </c>
      <c r="AK121">
        <v>1</v>
      </c>
      <c r="AL121">
        <v>0</v>
      </c>
      <c r="AM121">
        <v>0</v>
      </c>
    </row>
    <row r="122" spans="1:39" hidden="1" x14ac:dyDescent="0.2">
      <c r="A122" t="s">
        <v>293</v>
      </c>
      <c r="B122" t="s">
        <v>294</v>
      </c>
      <c r="C122" t="s">
        <v>294</v>
      </c>
      <c r="D122" t="s">
        <v>6</v>
      </c>
      <c r="E122">
        <v>0</v>
      </c>
      <c r="F122">
        <v>0</v>
      </c>
      <c r="G122">
        <v>0</v>
      </c>
      <c r="H122">
        <v>1</v>
      </c>
      <c r="I122" t="s">
        <v>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5.0999999999999996</v>
      </c>
      <c r="AE122">
        <v>548</v>
      </c>
      <c r="AF122">
        <v>13.973228763164281</v>
      </c>
      <c r="AG122">
        <v>12.58571585363574</v>
      </c>
      <c r="AH122">
        <v>13.803181302128669</v>
      </c>
      <c r="AI122">
        <f>12.6235459540794*1</f>
        <v>12.6235459540794</v>
      </c>
      <c r="AJ122">
        <f>2.38198947763933*1</f>
        <v>2.3819894776393302</v>
      </c>
      <c r="AK122">
        <v>1</v>
      </c>
      <c r="AL122">
        <v>0</v>
      </c>
      <c r="AM122">
        <v>0</v>
      </c>
    </row>
    <row r="123" spans="1:39" hidden="1" x14ac:dyDescent="0.2">
      <c r="A123" t="s">
        <v>295</v>
      </c>
      <c r="B123" t="s">
        <v>296</v>
      </c>
      <c r="C123" t="s">
        <v>296</v>
      </c>
      <c r="D123" t="s">
        <v>4</v>
      </c>
      <c r="E123">
        <v>0</v>
      </c>
      <c r="F123">
        <v>1</v>
      </c>
      <c r="G123">
        <v>0</v>
      </c>
      <c r="H123">
        <v>0</v>
      </c>
      <c r="I123" t="s">
        <v>27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4.4000000000000004</v>
      </c>
      <c r="AE123">
        <v>571</v>
      </c>
      <c r="AF123">
        <v>10.72476159940511</v>
      </c>
      <c r="AG123">
        <v>16.62419410689386</v>
      </c>
      <c r="AH123">
        <v>8.9533991128658617</v>
      </c>
      <c r="AI123">
        <f>12.4658789102465*1</f>
        <v>12.4658789102465</v>
      </c>
      <c r="AJ123">
        <f>2.71354191709154*1</f>
        <v>2.7135419170915398</v>
      </c>
      <c r="AK123">
        <v>1</v>
      </c>
      <c r="AL123">
        <v>0</v>
      </c>
      <c r="AM123">
        <v>0</v>
      </c>
    </row>
    <row r="124" spans="1:39" hidden="1" x14ac:dyDescent="0.2">
      <c r="A124" t="s">
        <v>297</v>
      </c>
      <c r="B124" t="s">
        <v>298</v>
      </c>
      <c r="C124" t="s">
        <v>298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4.9000000000000004</v>
      </c>
      <c r="AE124">
        <v>583</v>
      </c>
      <c r="AF124">
        <v>9.4910179640718582</v>
      </c>
      <c r="AG124">
        <v>8.8473569794429441</v>
      </c>
      <c r="AH124">
        <v>7.8501708893640902</v>
      </c>
      <c r="AI124">
        <f>11.9580928337835*1</f>
        <v>11.9580928337835</v>
      </c>
      <c r="AJ124">
        <f>2.36368736545255*1</f>
        <v>2.3636873654525501</v>
      </c>
      <c r="AK124">
        <v>1</v>
      </c>
      <c r="AL124">
        <v>0</v>
      </c>
      <c r="AM124">
        <v>0</v>
      </c>
    </row>
    <row r="125" spans="1:39" hidden="1" x14ac:dyDescent="0.2">
      <c r="A125" t="s">
        <v>299</v>
      </c>
      <c r="B125" t="s">
        <v>300</v>
      </c>
      <c r="C125" t="s">
        <v>300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6.7</v>
      </c>
      <c r="AE125">
        <v>592</v>
      </c>
      <c r="AF125">
        <v>17.987804878048781</v>
      </c>
      <c r="AG125">
        <v>14.671867041429881</v>
      </c>
      <c r="AH125">
        <v>43.022686670627849</v>
      </c>
      <c r="AI125">
        <f>25.1076880902577*1</f>
        <v>25.1076880902577</v>
      </c>
      <c r="AJ125">
        <f>4.79576939771251*1</f>
        <v>4.79576939771251</v>
      </c>
      <c r="AK125">
        <v>1</v>
      </c>
      <c r="AL125">
        <v>0</v>
      </c>
      <c r="AM125">
        <v>0</v>
      </c>
    </row>
    <row r="126" spans="1:39" hidden="1" x14ac:dyDescent="0.2">
      <c r="A126" t="s">
        <v>301</v>
      </c>
      <c r="B126" t="s">
        <v>302</v>
      </c>
      <c r="C126" t="s">
        <v>302</v>
      </c>
      <c r="D126" t="s">
        <v>5</v>
      </c>
      <c r="E126">
        <v>0</v>
      </c>
      <c r="F126">
        <v>0</v>
      </c>
      <c r="G126">
        <v>1</v>
      </c>
      <c r="H126">
        <v>0</v>
      </c>
      <c r="I126" t="s">
        <v>28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6.3</v>
      </c>
      <c r="AE126">
        <v>593</v>
      </c>
      <c r="AF126">
        <v>19.388888888888889</v>
      </c>
      <c r="AG126">
        <v>21.040459703646391</v>
      </c>
      <c r="AH126">
        <v>20.444099915678869</v>
      </c>
      <c r="AI126">
        <f>19.231454794441*1</f>
        <v>19.231454794440999</v>
      </c>
      <c r="AJ126">
        <f>3.49416883445413*1</f>
        <v>3.49416883445413</v>
      </c>
      <c r="AK126">
        <v>1</v>
      </c>
      <c r="AL126">
        <v>0</v>
      </c>
      <c r="AM126">
        <v>0</v>
      </c>
    </row>
    <row r="127" spans="1:39" x14ac:dyDescent="0.2">
      <c r="A127" t="s">
        <v>169</v>
      </c>
      <c r="B127" t="s">
        <v>303</v>
      </c>
      <c r="C127" t="s">
        <v>303</v>
      </c>
      <c r="D127" t="s">
        <v>5</v>
      </c>
      <c r="E127">
        <v>0</v>
      </c>
      <c r="F127">
        <v>0</v>
      </c>
      <c r="G127">
        <v>1</v>
      </c>
      <c r="H127">
        <v>0</v>
      </c>
      <c r="I127" t="s">
        <v>28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7.6</v>
      </c>
      <c r="AE127">
        <v>595</v>
      </c>
      <c r="AF127">
        <v>24.70322994732113</v>
      </c>
      <c r="AG127">
        <v>22.72164970137371</v>
      </c>
      <c r="AH127">
        <v>49.221391751840628</v>
      </c>
      <c r="AI127">
        <f>30.0320568384183*1</f>
        <v>30.032056838418299</v>
      </c>
      <c r="AJ127">
        <f>5.72592084753639*1</f>
        <v>5.7259208475363899</v>
      </c>
      <c r="AK127">
        <v>1</v>
      </c>
      <c r="AL127">
        <v>0</v>
      </c>
      <c r="AM127">
        <v>1</v>
      </c>
    </row>
    <row r="128" spans="1:39" hidden="1" x14ac:dyDescent="0.2">
      <c r="A128" t="s">
        <v>132</v>
      </c>
      <c r="B128" t="s">
        <v>304</v>
      </c>
      <c r="C128" t="s">
        <v>305</v>
      </c>
      <c r="D128" t="s">
        <v>4</v>
      </c>
      <c r="E128">
        <v>0</v>
      </c>
      <c r="F128">
        <v>1</v>
      </c>
      <c r="G128">
        <v>0</v>
      </c>
      <c r="H128">
        <v>0</v>
      </c>
      <c r="I128" t="s">
        <v>28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5.5</v>
      </c>
      <c r="AE128">
        <v>596</v>
      </c>
      <c r="AF128">
        <v>19.500000000000011</v>
      </c>
      <c r="AG128">
        <v>17.931330886033681</v>
      </c>
      <c r="AH128">
        <v>30.397540029324269</v>
      </c>
      <c r="AI128">
        <f>10.2281102088566*1</f>
        <v>10.2281102088566</v>
      </c>
      <c r="AJ128">
        <f>1.74523623518026*1</f>
        <v>1.7452362351802599</v>
      </c>
      <c r="AK128">
        <v>1</v>
      </c>
      <c r="AL128">
        <v>0</v>
      </c>
      <c r="AM128">
        <v>0</v>
      </c>
    </row>
    <row r="129" spans="1:39" hidden="1" x14ac:dyDescent="0.2">
      <c r="A129" t="s">
        <v>306</v>
      </c>
      <c r="B129" t="s">
        <v>307</v>
      </c>
      <c r="C129" t="s">
        <v>306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9.9</v>
      </c>
      <c r="AE129">
        <v>603</v>
      </c>
      <c r="AF129">
        <v>26.30442305774406</v>
      </c>
      <c r="AG129">
        <v>31.65829644699728</v>
      </c>
      <c r="AH129">
        <v>19.75555555555556</v>
      </c>
      <c r="AI129">
        <f>24.3114687276166*1</f>
        <v>24.311468727616599</v>
      </c>
      <c r="AJ129">
        <f>3.92612380014683*1</f>
        <v>3.9261238001468302</v>
      </c>
      <c r="AK129">
        <v>1</v>
      </c>
      <c r="AL129">
        <v>0</v>
      </c>
      <c r="AM129">
        <v>0</v>
      </c>
    </row>
    <row r="130" spans="1:39" hidden="1" x14ac:dyDescent="0.2">
      <c r="A130" t="s">
        <v>308</v>
      </c>
      <c r="B130" t="s">
        <v>309</v>
      </c>
      <c r="C130" t="s">
        <v>309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4.9000000000000004</v>
      </c>
      <c r="AE130">
        <v>605</v>
      </c>
      <c r="AF130">
        <v>13.5</v>
      </c>
      <c r="AG130">
        <v>14.42115958803628</v>
      </c>
      <c r="AH130">
        <v>11.131095204389959</v>
      </c>
      <c r="AI130">
        <f>9.40975616604215*1</f>
        <v>9.4097561660421505</v>
      </c>
      <c r="AJ130">
        <f>1.6141069769598*1</f>
        <v>1.6141069769598</v>
      </c>
      <c r="AK130">
        <v>1</v>
      </c>
      <c r="AL130">
        <v>0</v>
      </c>
      <c r="AM130">
        <v>0</v>
      </c>
    </row>
    <row r="131" spans="1:39" hidden="1" x14ac:dyDescent="0.2">
      <c r="A131" t="s">
        <v>310</v>
      </c>
      <c r="B131" t="s">
        <v>311</v>
      </c>
      <c r="C131" t="s">
        <v>311</v>
      </c>
      <c r="D131" t="s">
        <v>3</v>
      </c>
      <c r="E131">
        <v>1</v>
      </c>
      <c r="F131">
        <v>0</v>
      </c>
      <c r="G131">
        <v>0</v>
      </c>
      <c r="H131">
        <v>0</v>
      </c>
      <c r="I131" t="s">
        <v>28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5</v>
      </c>
      <c r="AE131">
        <v>608</v>
      </c>
      <c r="AF131">
        <v>15.208333333333339</v>
      </c>
      <c r="AG131">
        <v>17.494706092447839</v>
      </c>
      <c r="AH131">
        <v>16.525842689266469</v>
      </c>
      <c r="AI131">
        <f>11.3597975304021*1</f>
        <v>11.359797530402099</v>
      </c>
      <c r="AJ131">
        <f>1.89604982840324*1</f>
        <v>1.8960498284032401</v>
      </c>
      <c r="AK131">
        <v>1</v>
      </c>
      <c r="AL131">
        <v>0</v>
      </c>
      <c r="AM131">
        <v>0</v>
      </c>
    </row>
    <row r="132" spans="1:39" hidden="1" x14ac:dyDescent="0.2">
      <c r="A132" t="s">
        <v>312</v>
      </c>
      <c r="B132" t="s">
        <v>313</v>
      </c>
      <c r="C132" t="s">
        <v>313</v>
      </c>
      <c r="D132" t="s">
        <v>5</v>
      </c>
      <c r="E132">
        <v>0</v>
      </c>
      <c r="F132">
        <v>0</v>
      </c>
      <c r="G132">
        <v>1</v>
      </c>
      <c r="H132">
        <v>0</v>
      </c>
      <c r="I132" t="s">
        <v>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6.2</v>
      </c>
      <c r="AE132">
        <v>609</v>
      </c>
      <c r="AF132">
        <v>16.986301369863021</v>
      </c>
      <c r="AG132">
        <v>21.551274721068559</v>
      </c>
      <c r="AH132">
        <v>8.3269792050055216</v>
      </c>
      <c r="AI132">
        <f>9.66188422926619*1</f>
        <v>9.6618842292661906</v>
      </c>
      <c r="AJ132">
        <f>2.10453801388343*1</f>
        <v>2.1045380138834302</v>
      </c>
      <c r="AK132">
        <v>1</v>
      </c>
      <c r="AL132">
        <v>0</v>
      </c>
      <c r="AM132">
        <v>0</v>
      </c>
    </row>
    <row r="133" spans="1:39" hidden="1" x14ac:dyDescent="0.2">
      <c r="A133" t="s">
        <v>289</v>
      </c>
      <c r="B133" t="s">
        <v>314</v>
      </c>
      <c r="C133" t="s">
        <v>314</v>
      </c>
      <c r="D133" t="s">
        <v>4</v>
      </c>
      <c r="E133">
        <v>0</v>
      </c>
      <c r="F133">
        <v>1</v>
      </c>
      <c r="G133">
        <v>0</v>
      </c>
      <c r="H133">
        <v>0</v>
      </c>
      <c r="I133" t="s">
        <v>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4.4000000000000004</v>
      </c>
      <c r="AE133">
        <v>616</v>
      </c>
      <c r="AF133">
        <v>16.15384615384616</v>
      </c>
      <c r="AG133">
        <v>15.05286467266256</v>
      </c>
      <c r="AH133">
        <v>34.025343991739668</v>
      </c>
      <c r="AI133">
        <f>16.6139481699786*1</f>
        <v>16.613948169978599</v>
      </c>
      <c r="AJ133">
        <f>3.50869867527631*1</f>
        <v>3.5086986752763099</v>
      </c>
      <c r="AK133">
        <v>1</v>
      </c>
      <c r="AL133">
        <v>0</v>
      </c>
      <c r="AM133">
        <v>0</v>
      </c>
    </row>
    <row r="134" spans="1:39" hidden="1" x14ac:dyDescent="0.2">
      <c r="A134" t="s">
        <v>315</v>
      </c>
      <c r="B134" t="s">
        <v>316</v>
      </c>
      <c r="C134" t="s">
        <v>316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7.4</v>
      </c>
      <c r="AE134">
        <v>620</v>
      </c>
      <c r="AF134">
        <v>23.265371651288849</v>
      </c>
      <c r="AG134">
        <v>24.274938776110609</v>
      </c>
      <c r="AH134">
        <v>23.376670825591731</v>
      </c>
      <c r="AI134">
        <f>11.7464229443379*1</f>
        <v>11.746422944337899</v>
      </c>
      <c r="AJ134">
        <f>2.40181072410882*1</f>
        <v>2.4018107241088198</v>
      </c>
      <c r="AK134">
        <v>1</v>
      </c>
      <c r="AL134">
        <v>0</v>
      </c>
      <c r="AM134">
        <v>0</v>
      </c>
    </row>
    <row r="135" spans="1:39" hidden="1" x14ac:dyDescent="0.2">
      <c r="A135" t="s">
        <v>317</v>
      </c>
      <c r="B135" t="s">
        <v>318</v>
      </c>
      <c r="C135" t="s">
        <v>317</v>
      </c>
      <c r="D135" t="s">
        <v>4</v>
      </c>
      <c r="E135">
        <v>0</v>
      </c>
      <c r="F135">
        <v>1</v>
      </c>
      <c r="G135">
        <v>0</v>
      </c>
      <c r="H135">
        <v>0</v>
      </c>
      <c r="I135" t="s">
        <v>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4.4000000000000004</v>
      </c>
      <c r="AE135">
        <v>624</v>
      </c>
      <c r="AF135">
        <v>11.455931358286749</v>
      </c>
      <c r="AG135">
        <v>10.024016090573239</v>
      </c>
      <c r="AH135">
        <v>29.96972789115646</v>
      </c>
      <c r="AI135">
        <f>10.0324908053581*1</f>
        <v>10.032490805358099</v>
      </c>
      <c r="AJ135">
        <f>2.15189266784277*1</f>
        <v>2.1518926678427701</v>
      </c>
      <c r="AK135">
        <v>1</v>
      </c>
      <c r="AL135">
        <v>0</v>
      </c>
      <c r="AM135">
        <v>0</v>
      </c>
    </row>
    <row r="136" spans="1:39" hidden="1" x14ac:dyDescent="0.2">
      <c r="A136" t="s">
        <v>319</v>
      </c>
      <c r="B136" t="s">
        <v>320</v>
      </c>
      <c r="C136" t="s">
        <v>320</v>
      </c>
      <c r="D136" t="s">
        <v>4</v>
      </c>
      <c r="E136">
        <v>0</v>
      </c>
      <c r="F136">
        <v>1</v>
      </c>
      <c r="G136">
        <v>0</v>
      </c>
      <c r="H136">
        <v>0</v>
      </c>
      <c r="I136" t="s">
        <v>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4.5</v>
      </c>
      <c r="AE136">
        <v>628</v>
      </c>
      <c r="AF136">
        <v>14.33823529411764</v>
      </c>
      <c r="AG136">
        <v>15.375670983731929</v>
      </c>
      <c r="AH136">
        <v>18.261984520160361</v>
      </c>
      <c r="AI136">
        <f>4.63549753151851*1</f>
        <v>4.6354975315185101</v>
      </c>
      <c r="AJ136">
        <f>0.990987545386363*1</f>
        <v>0.99098754538636302</v>
      </c>
      <c r="AK136">
        <v>1</v>
      </c>
      <c r="AL136">
        <v>0</v>
      </c>
      <c r="AM136">
        <v>0</v>
      </c>
    </row>
    <row r="137" spans="1:39" hidden="1" x14ac:dyDescent="0.2">
      <c r="A137" t="s">
        <v>321</v>
      </c>
      <c r="B137" t="s">
        <v>322</v>
      </c>
      <c r="C137" t="s">
        <v>322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4.9000000000000004</v>
      </c>
      <c r="AE137">
        <v>634</v>
      </c>
      <c r="AF137">
        <v>16.458333333333339</v>
      </c>
      <c r="AG137">
        <v>12.63208734384807</v>
      </c>
      <c r="AH137">
        <v>27.024999999999999</v>
      </c>
      <c r="AI137">
        <f>11.1708789186013*1</f>
        <v>11.1708789186013</v>
      </c>
      <c r="AJ137">
        <f>2.21601670423855*1</f>
        <v>2.2160167042385499</v>
      </c>
      <c r="AK137">
        <v>1</v>
      </c>
      <c r="AL137">
        <v>0</v>
      </c>
      <c r="AM137">
        <v>0</v>
      </c>
    </row>
    <row r="138" spans="1:39" hidden="1" x14ac:dyDescent="0.2">
      <c r="A138" t="s">
        <v>323</v>
      </c>
      <c r="B138" t="s">
        <v>324</v>
      </c>
      <c r="C138" t="s">
        <v>324</v>
      </c>
      <c r="D138" t="s">
        <v>4</v>
      </c>
      <c r="E138">
        <v>0</v>
      </c>
      <c r="F138">
        <v>1</v>
      </c>
      <c r="G138">
        <v>0</v>
      </c>
      <c r="H138">
        <v>0</v>
      </c>
      <c r="I138" t="s">
        <v>30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4.8</v>
      </c>
      <c r="AE138">
        <v>645</v>
      </c>
      <c r="AF138">
        <v>14.1668765212462</v>
      </c>
      <c r="AG138">
        <v>8.687131343160603</v>
      </c>
      <c r="AH138">
        <v>28.58</v>
      </c>
      <c r="AI138">
        <f>19.8867615779542*1</f>
        <v>19.8867615779542</v>
      </c>
      <c r="AJ138">
        <f>4.174218680614*1</f>
        <v>4.1742186806139996</v>
      </c>
      <c r="AK138">
        <v>1</v>
      </c>
      <c r="AL138">
        <v>0</v>
      </c>
      <c r="AM138">
        <v>0</v>
      </c>
    </row>
    <row r="139" spans="1:39" hidden="1" x14ac:dyDescent="0.2">
      <c r="A139" t="s">
        <v>325</v>
      </c>
      <c r="B139" t="s">
        <v>326</v>
      </c>
      <c r="C139" t="s">
        <v>327</v>
      </c>
      <c r="D139" t="s">
        <v>6</v>
      </c>
      <c r="E139">
        <v>0</v>
      </c>
      <c r="F139">
        <v>0</v>
      </c>
      <c r="G139">
        <v>0</v>
      </c>
      <c r="H139">
        <v>1</v>
      </c>
      <c r="I139" t="s">
        <v>30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7</v>
      </c>
      <c r="AE139">
        <v>653</v>
      </c>
      <c r="AF139">
        <v>57.31885335892963</v>
      </c>
      <c r="AG139">
        <v>17.633862783520371</v>
      </c>
      <c r="AH139">
        <v>58.720000000000013</v>
      </c>
      <c r="AI139">
        <f>54.1918427487042*1</f>
        <v>54.191842748704197</v>
      </c>
      <c r="AJ139">
        <f>9.09185565133412*1</f>
        <v>9.0918556513341198</v>
      </c>
      <c r="AK139">
        <v>1</v>
      </c>
      <c r="AL139">
        <v>1</v>
      </c>
      <c r="AM139">
        <v>1</v>
      </c>
    </row>
    <row r="140" spans="1:39" hidden="1" x14ac:dyDescent="0.2">
      <c r="A140" t="s">
        <v>328</v>
      </c>
      <c r="B140" t="s">
        <v>329</v>
      </c>
      <c r="C140" t="s">
        <v>330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30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4.9000000000000004</v>
      </c>
      <c r="AE140">
        <v>665</v>
      </c>
      <c r="AF140">
        <v>19.695205146870471</v>
      </c>
      <c r="AG140">
        <v>7.8761895384345539</v>
      </c>
      <c r="AH140">
        <v>27.50319651133918</v>
      </c>
      <c r="AI140">
        <f>21.8112453507562*1</f>
        <v>21.811245350756199</v>
      </c>
      <c r="AJ140">
        <f>4.0438206774028*1</f>
        <v>4.0438206774027998</v>
      </c>
      <c r="AK140">
        <v>1</v>
      </c>
      <c r="AL140">
        <v>0</v>
      </c>
      <c r="AM140">
        <v>0</v>
      </c>
    </row>
    <row r="141" spans="1:39" hidden="1" x14ac:dyDescent="0.2">
      <c r="A141" t="s">
        <v>331</v>
      </c>
      <c r="B141" t="s">
        <v>332</v>
      </c>
      <c r="C141" t="s">
        <v>333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30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669</v>
      </c>
      <c r="AF141">
        <v>14.39112993310432</v>
      </c>
      <c r="AG141">
        <v>8.8742386756647633</v>
      </c>
      <c r="AH141">
        <v>18.341962906804739</v>
      </c>
      <c r="AI141">
        <f>9.38439073607906*1</f>
        <v>9.3843907360790606</v>
      </c>
      <c r="AJ141">
        <f>1.89496567694172*1</f>
        <v>1.89496567694172</v>
      </c>
      <c r="AK141">
        <v>1</v>
      </c>
      <c r="AL141">
        <v>0</v>
      </c>
      <c r="AM141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2024-11-28T18:12:23Z</dcterms:created>
  <dcterms:modified xsi:type="dcterms:W3CDTF">2024-11-28T18:13:21Z</dcterms:modified>
</cp:coreProperties>
</file>