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13_ncr:1_{D5997085-F678-425D-ACA7-8891766B12A6}" xr6:coauthVersionLast="47" xr6:coauthVersionMax="47" xr10:uidLastSave="{00000000-0000-0000-0000-000000000000}"/>
  <bookViews>
    <workbookView xWindow="-108" yWindow="-108" windowWidth="23256" windowHeight="12576" firstSheet="5" activeTab="20" xr2:uid="{00000000-000D-0000-FFFF-FFFF00000000}"/>
  </bookViews>
  <sheets>
    <sheet name="All" sheetId="2" r:id="rId1"/>
    <sheet name="ARS" sheetId="23" r:id="rId2"/>
    <sheet name="AVL" sheetId="24" r:id="rId3"/>
    <sheet name="BRE" sheetId="25" r:id="rId4"/>
    <sheet name="BHA" sheetId="26" r:id="rId5"/>
    <sheet name="BUR" sheetId="27" r:id="rId6"/>
    <sheet name="CHE" sheetId="28" r:id="rId7"/>
    <sheet name="CRY" sheetId="29" r:id="rId8"/>
    <sheet name="EVE" sheetId="30" r:id="rId9"/>
    <sheet name="LEE" sheetId="31" r:id="rId10"/>
    <sheet name="LEI" sheetId="32" r:id="rId11"/>
    <sheet name="LIV" sheetId="33" r:id="rId12"/>
    <sheet name="MCI" sheetId="34" r:id="rId13"/>
    <sheet name="MUN" sheetId="35" r:id="rId14"/>
    <sheet name="NEW" sheetId="36" r:id="rId15"/>
    <sheet name="NOR" sheetId="37" r:id="rId16"/>
    <sheet name="SOU" sheetId="38" r:id="rId17"/>
    <sheet name="TOT" sheetId="39" r:id="rId18"/>
    <sheet name="WAT" sheetId="40" r:id="rId19"/>
    <sheet name="WHU" sheetId="41" r:id="rId20"/>
    <sheet name="WOL" sheetId="42" r:id="rId21"/>
  </sheets>
  <definedNames>
    <definedName name="solver_adj" localSheetId="1" hidden="1">ARS!$N$5:$N$6</definedName>
    <definedName name="solver_adj" localSheetId="2" hidden="1">AVL!$N$5:$N$6</definedName>
    <definedName name="solver_adj" localSheetId="4" hidden="1">BHA!$N$5:$N$6</definedName>
    <definedName name="solver_adj" localSheetId="3" hidden="1">BRE!$N$5:$N$6</definedName>
    <definedName name="solver_adj" localSheetId="5" hidden="1">BUR!$N$5:$N$6</definedName>
    <definedName name="solver_adj" localSheetId="6" hidden="1">CHE!$O$5:$O$6</definedName>
    <definedName name="solver_adj" localSheetId="7" hidden="1">CRY!$N$5:$N$6</definedName>
    <definedName name="solver_adj" localSheetId="8" hidden="1">EVE!$N$5:$N$6</definedName>
    <definedName name="solver_adj" localSheetId="9" hidden="1">LEE!$N$5:$N$6</definedName>
    <definedName name="solver_adj" localSheetId="10" hidden="1">LEI!$N$5:$N$6</definedName>
    <definedName name="solver_adj" localSheetId="11" hidden="1">LIV!$N$5:$N$6</definedName>
    <definedName name="solver_adj" localSheetId="12" hidden="1">MCI!$N$5:$N$6</definedName>
    <definedName name="solver_adj" localSheetId="13" hidden="1">MUN!$N$5:$N$6</definedName>
    <definedName name="solver_adj" localSheetId="14" hidden="1">NEW!$N$5:$N$6</definedName>
    <definedName name="solver_adj" localSheetId="15" hidden="1">NOR!$N$5:$N$6</definedName>
    <definedName name="solver_adj" localSheetId="16" hidden="1">SOU!$N$5:$N$6</definedName>
    <definedName name="solver_adj" localSheetId="17" hidden="1">TOT!$N$5:$N$6</definedName>
    <definedName name="solver_adj" localSheetId="18" hidden="1">WAT!$N$5:$N$6</definedName>
    <definedName name="solver_adj" localSheetId="19" hidden="1">WHU!$N$5:$N$6</definedName>
    <definedName name="solver_adj" localSheetId="20" hidden="1">WOL!$N$5:$N$6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2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lhs1" localSheetId="1" hidden="1">ARS!$N$5:$N$6</definedName>
    <definedName name="solver_lhs2" localSheetId="1" hidden="1">ARS!$N$5:$N$6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um" localSheetId="20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opt" localSheetId="1" hidden="1">ARS!$N$8</definedName>
    <definedName name="solver_opt" localSheetId="2" hidden="1">AVL!$N$8</definedName>
    <definedName name="solver_opt" localSheetId="4" hidden="1">BHA!$N$8</definedName>
    <definedName name="solver_opt" localSheetId="3" hidden="1">BRE!$N$8</definedName>
    <definedName name="solver_opt" localSheetId="5" hidden="1">BUR!$N$8</definedName>
    <definedName name="solver_opt" localSheetId="6" hidden="1">CHE!$O$8</definedName>
    <definedName name="solver_opt" localSheetId="7" hidden="1">CRY!$N$8</definedName>
    <definedName name="solver_opt" localSheetId="8" hidden="1">EVE!$N$8</definedName>
    <definedName name="solver_opt" localSheetId="9" hidden="1">LEE!$N$8</definedName>
    <definedName name="solver_opt" localSheetId="10" hidden="1">LEI!$N$8</definedName>
    <definedName name="solver_opt" localSheetId="11" hidden="1">LIV!$N$8</definedName>
    <definedName name="solver_opt" localSheetId="12" hidden="1">MCI!$N$8</definedName>
    <definedName name="solver_opt" localSheetId="13" hidden="1">MUN!$N$8</definedName>
    <definedName name="solver_opt" localSheetId="14" hidden="1">NEW!$N$8</definedName>
    <definedName name="solver_opt" localSheetId="15" hidden="1">NOR!$N$8</definedName>
    <definedName name="solver_opt" localSheetId="16" hidden="1">SOU!$N$8</definedName>
    <definedName name="solver_opt" localSheetId="17" hidden="1">TOT!$N$8</definedName>
    <definedName name="solver_opt" localSheetId="18" hidden="1">WAT!$N$8</definedName>
    <definedName name="solver_opt" localSheetId="19" hidden="1">WHU!$N$8</definedName>
    <definedName name="solver_opt" localSheetId="20" hidden="1">WOL!$N$8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2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el1" localSheetId="1" hidden="1">3</definedName>
    <definedName name="solver_rel2" localSheetId="1" hidden="1">3</definedName>
    <definedName name="solver_rhs1" localSheetId="1" hidden="1">0</definedName>
    <definedName name="solver_rhs2" localSheetId="1" hidden="1">0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2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2" l="1"/>
  <c r="K3" i="42"/>
  <c r="K4" i="42"/>
  <c r="K5" i="42"/>
  <c r="K6" i="42"/>
  <c r="K7" i="42"/>
  <c r="K8" i="42"/>
  <c r="K9" i="42"/>
  <c r="K10" i="42"/>
  <c r="K11" i="42"/>
  <c r="K12" i="42"/>
  <c r="K13" i="42"/>
  <c r="K14" i="42"/>
  <c r="K15" i="42"/>
  <c r="K16" i="42"/>
  <c r="K17" i="42"/>
  <c r="K18" i="42"/>
  <c r="F3" i="42"/>
  <c r="G3" i="42" s="1"/>
  <c r="I3" i="42" s="1"/>
  <c r="F4" i="42"/>
  <c r="G4" i="42" s="1"/>
  <c r="I4" i="42" s="1"/>
  <c r="F5" i="42"/>
  <c r="G5" i="42" s="1"/>
  <c r="I5" i="42" s="1"/>
  <c r="F6" i="42"/>
  <c r="G6" i="42" s="1"/>
  <c r="I6" i="42" s="1"/>
  <c r="F7" i="42"/>
  <c r="G7" i="42" s="1"/>
  <c r="I7" i="42" s="1"/>
  <c r="F8" i="42"/>
  <c r="G8" i="42" s="1"/>
  <c r="I8" i="42" s="1"/>
  <c r="F9" i="42"/>
  <c r="G9" i="42" s="1"/>
  <c r="I9" i="42" s="1"/>
  <c r="F10" i="42"/>
  <c r="G10" i="42" s="1"/>
  <c r="I10" i="42" s="1"/>
  <c r="F11" i="42"/>
  <c r="G11" i="42" s="1"/>
  <c r="I11" i="42" s="1"/>
  <c r="F12" i="42"/>
  <c r="G12" i="42" s="1"/>
  <c r="I12" i="42" s="1"/>
  <c r="F13" i="42"/>
  <c r="G13" i="42" s="1"/>
  <c r="I13" i="42" s="1"/>
  <c r="F14" i="42"/>
  <c r="G14" i="42" s="1"/>
  <c r="I14" i="42" s="1"/>
  <c r="F15" i="42"/>
  <c r="G15" i="42" s="1"/>
  <c r="I15" i="42" s="1"/>
  <c r="F16" i="42"/>
  <c r="G16" i="42" s="1"/>
  <c r="I16" i="42" s="1"/>
  <c r="F17" i="42"/>
  <c r="G17" i="42" s="1"/>
  <c r="I17" i="42" s="1"/>
  <c r="F18" i="42"/>
  <c r="G18" i="42" s="1"/>
  <c r="I18" i="42" s="1"/>
  <c r="F2" i="42"/>
  <c r="G2" i="42" s="1"/>
  <c r="I2" i="42" s="1"/>
  <c r="K2" i="41"/>
  <c r="K3" i="41"/>
  <c r="K4" i="41"/>
  <c r="K5" i="41"/>
  <c r="K6" i="41"/>
  <c r="K7" i="41"/>
  <c r="K8" i="41"/>
  <c r="K9" i="41"/>
  <c r="K10" i="41"/>
  <c r="K11" i="41"/>
  <c r="K12" i="41"/>
  <c r="K13" i="41"/>
  <c r="K14" i="41"/>
  <c r="K15" i="41"/>
  <c r="K16" i="41"/>
  <c r="K17" i="41"/>
  <c r="K18" i="41"/>
  <c r="K19" i="41"/>
  <c r="K20" i="41"/>
  <c r="K21" i="41"/>
  <c r="K22" i="41"/>
  <c r="F3" i="41"/>
  <c r="G3" i="41" s="1"/>
  <c r="I3" i="41" s="1"/>
  <c r="F4" i="41"/>
  <c r="G4" i="41" s="1"/>
  <c r="I4" i="41" s="1"/>
  <c r="F5" i="41"/>
  <c r="G5" i="41" s="1"/>
  <c r="I5" i="41" s="1"/>
  <c r="F6" i="41"/>
  <c r="G6" i="41" s="1"/>
  <c r="I6" i="41" s="1"/>
  <c r="F7" i="41"/>
  <c r="G7" i="41" s="1"/>
  <c r="I7" i="41" s="1"/>
  <c r="F8" i="41"/>
  <c r="G8" i="41" s="1"/>
  <c r="I8" i="41" s="1"/>
  <c r="F9" i="41"/>
  <c r="G9" i="41" s="1"/>
  <c r="I9" i="41" s="1"/>
  <c r="F10" i="41"/>
  <c r="G10" i="41" s="1"/>
  <c r="I10" i="41" s="1"/>
  <c r="F11" i="41"/>
  <c r="G11" i="41" s="1"/>
  <c r="I11" i="41" s="1"/>
  <c r="F12" i="41"/>
  <c r="G12" i="41" s="1"/>
  <c r="I12" i="41" s="1"/>
  <c r="F13" i="41"/>
  <c r="G13" i="41" s="1"/>
  <c r="I13" i="41" s="1"/>
  <c r="F14" i="41"/>
  <c r="G14" i="41" s="1"/>
  <c r="I14" i="41" s="1"/>
  <c r="F15" i="41"/>
  <c r="G15" i="41" s="1"/>
  <c r="I15" i="41" s="1"/>
  <c r="F16" i="41"/>
  <c r="G16" i="41" s="1"/>
  <c r="I16" i="41" s="1"/>
  <c r="F17" i="41"/>
  <c r="G17" i="41" s="1"/>
  <c r="I17" i="41" s="1"/>
  <c r="F18" i="41"/>
  <c r="G18" i="41" s="1"/>
  <c r="I18" i="41" s="1"/>
  <c r="F19" i="41"/>
  <c r="G19" i="41" s="1"/>
  <c r="I19" i="41" s="1"/>
  <c r="F20" i="41"/>
  <c r="G20" i="41" s="1"/>
  <c r="I20" i="41" s="1"/>
  <c r="F21" i="41"/>
  <c r="G21" i="41" s="1"/>
  <c r="I21" i="41" s="1"/>
  <c r="F22" i="41"/>
  <c r="G22" i="41" s="1"/>
  <c r="I22" i="41" s="1"/>
  <c r="F2" i="41"/>
  <c r="G2" i="41" s="1"/>
  <c r="I2" i="41" s="1"/>
  <c r="K2" i="40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17" i="40"/>
  <c r="K18" i="40"/>
  <c r="K19" i="40"/>
  <c r="K20" i="40"/>
  <c r="K21" i="40"/>
  <c r="K22" i="40"/>
  <c r="K23" i="40"/>
  <c r="K24" i="40"/>
  <c r="K25" i="40"/>
  <c r="K26" i="40"/>
  <c r="F3" i="40"/>
  <c r="G3" i="40" s="1"/>
  <c r="I3" i="40" s="1"/>
  <c r="F4" i="40"/>
  <c r="G4" i="40" s="1"/>
  <c r="I4" i="40" s="1"/>
  <c r="F5" i="40"/>
  <c r="G5" i="40" s="1"/>
  <c r="I5" i="40" s="1"/>
  <c r="F6" i="40"/>
  <c r="G6" i="40" s="1"/>
  <c r="I6" i="40" s="1"/>
  <c r="F7" i="40"/>
  <c r="G7" i="40" s="1"/>
  <c r="I7" i="40" s="1"/>
  <c r="F8" i="40"/>
  <c r="G8" i="40" s="1"/>
  <c r="I8" i="40" s="1"/>
  <c r="F9" i="40"/>
  <c r="G9" i="40" s="1"/>
  <c r="I9" i="40" s="1"/>
  <c r="F10" i="40"/>
  <c r="G10" i="40" s="1"/>
  <c r="I10" i="40" s="1"/>
  <c r="F11" i="40"/>
  <c r="G11" i="40" s="1"/>
  <c r="I11" i="40" s="1"/>
  <c r="F12" i="40"/>
  <c r="G12" i="40" s="1"/>
  <c r="I12" i="40" s="1"/>
  <c r="F13" i="40"/>
  <c r="G13" i="40" s="1"/>
  <c r="I13" i="40" s="1"/>
  <c r="F14" i="40"/>
  <c r="G14" i="40" s="1"/>
  <c r="I14" i="40" s="1"/>
  <c r="F15" i="40"/>
  <c r="G15" i="40" s="1"/>
  <c r="I15" i="40" s="1"/>
  <c r="F16" i="40"/>
  <c r="G16" i="40" s="1"/>
  <c r="I16" i="40" s="1"/>
  <c r="F17" i="40"/>
  <c r="G17" i="40" s="1"/>
  <c r="I17" i="40" s="1"/>
  <c r="F18" i="40"/>
  <c r="G18" i="40" s="1"/>
  <c r="I18" i="40" s="1"/>
  <c r="F19" i="40"/>
  <c r="G19" i="40" s="1"/>
  <c r="I19" i="40" s="1"/>
  <c r="F20" i="40"/>
  <c r="G20" i="40" s="1"/>
  <c r="I20" i="40" s="1"/>
  <c r="F21" i="40"/>
  <c r="G21" i="40" s="1"/>
  <c r="I21" i="40" s="1"/>
  <c r="F22" i="40"/>
  <c r="G22" i="40" s="1"/>
  <c r="I22" i="40" s="1"/>
  <c r="F23" i="40"/>
  <c r="G23" i="40" s="1"/>
  <c r="I23" i="40" s="1"/>
  <c r="F24" i="40"/>
  <c r="G24" i="40" s="1"/>
  <c r="I24" i="40" s="1"/>
  <c r="F25" i="40"/>
  <c r="G25" i="40" s="1"/>
  <c r="I25" i="40" s="1"/>
  <c r="F26" i="40"/>
  <c r="G26" i="40" s="1"/>
  <c r="I26" i="40" s="1"/>
  <c r="F2" i="40"/>
  <c r="G2" i="40" s="1"/>
  <c r="I2" i="40" s="1"/>
  <c r="K2" i="39"/>
  <c r="K3" i="39"/>
  <c r="K4" i="39"/>
  <c r="K5" i="39"/>
  <c r="K6" i="39"/>
  <c r="K7" i="39"/>
  <c r="K8" i="39"/>
  <c r="K9" i="39"/>
  <c r="K10" i="39"/>
  <c r="K11" i="39"/>
  <c r="K12" i="39"/>
  <c r="K13" i="39"/>
  <c r="K14" i="39"/>
  <c r="K15" i="39"/>
  <c r="K16" i="39"/>
  <c r="K17" i="39"/>
  <c r="K18" i="39"/>
  <c r="K19" i="39"/>
  <c r="K20" i="39"/>
  <c r="K21" i="39"/>
  <c r="K22" i="39"/>
  <c r="K23" i="39"/>
  <c r="F3" i="39"/>
  <c r="G3" i="39" s="1"/>
  <c r="I3" i="39" s="1"/>
  <c r="F4" i="39"/>
  <c r="G4" i="39" s="1"/>
  <c r="I4" i="39" s="1"/>
  <c r="F5" i="39"/>
  <c r="G5" i="39" s="1"/>
  <c r="I5" i="39" s="1"/>
  <c r="F6" i="39"/>
  <c r="G6" i="39" s="1"/>
  <c r="I6" i="39" s="1"/>
  <c r="F7" i="39"/>
  <c r="G7" i="39" s="1"/>
  <c r="I7" i="39" s="1"/>
  <c r="F8" i="39"/>
  <c r="G8" i="39" s="1"/>
  <c r="I8" i="39" s="1"/>
  <c r="F9" i="39"/>
  <c r="G9" i="39" s="1"/>
  <c r="I9" i="39" s="1"/>
  <c r="F10" i="39"/>
  <c r="G10" i="39" s="1"/>
  <c r="I10" i="39" s="1"/>
  <c r="F11" i="39"/>
  <c r="G11" i="39" s="1"/>
  <c r="I11" i="39" s="1"/>
  <c r="F12" i="39"/>
  <c r="G12" i="39" s="1"/>
  <c r="I12" i="39" s="1"/>
  <c r="F13" i="39"/>
  <c r="G13" i="39" s="1"/>
  <c r="I13" i="39" s="1"/>
  <c r="F14" i="39"/>
  <c r="G14" i="39" s="1"/>
  <c r="I14" i="39" s="1"/>
  <c r="F15" i="39"/>
  <c r="G15" i="39" s="1"/>
  <c r="I15" i="39" s="1"/>
  <c r="F16" i="39"/>
  <c r="G16" i="39" s="1"/>
  <c r="I16" i="39" s="1"/>
  <c r="F17" i="39"/>
  <c r="G17" i="39" s="1"/>
  <c r="I17" i="39" s="1"/>
  <c r="F18" i="39"/>
  <c r="G18" i="39" s="1"/>
  <c r="I18" i="39" s="1"/>
  <c r="F19" i="39"/>
  <c r="G19" i="39" s="1"/>
  <c r="I19" i="39" s="1"/>
  <c r="F20" i="39"/>
  <c r="G20" i="39" s="1"/>
  <c r="I20" i="39" s="1"/>
  <c r="F21" i="39"/>
  <c r="G21" i="39" s="1"/>
  <c r="I21" i="39" s="1"/>
  <c r="F22" i="39"/>
  <c r="G22" i="39" s="1"/>
  <c r="I22" i="39" s="1"/>
  <c r="F23" i="39"/>
  <c r="G23" i="39" s="1"/>
  <c r="I23" i="39" s="1"/>
  <c r="F2" i="39"/>
  <c r="G2" i="39" s="1"/>
  <c r="I2" i="39" s="1"/>
  <c r="K2" i="38"/>
  <c r="K3" i="38"/>
  <c r="K4" i="38"/>
  <c r="K5" i="38"/>
  <c r="K6" i="38"/>
  <c r="K7" i="38"/>
  <c r="K8" i="38"/>
  <c r="K9" i="38"/>
  <c r="K10" i="38"/>
  <c r="K11" i="38"/>
  <c r="K12" i="38"/>
  <c r="K13" i="38"/>
  <c r="K14" i="38"/>
  <c r="K15" i="38"/>
  <c r="K16" i="38"/>
  <c r="K17" i="38"/>
  <c r="K18" i="38"/>
  <c r="K19" i="38"/>
  <c r="K20" i="38"/>
  <c r="K21" i="38"/>
  <c r="K22" i="38"/>
  <c r="K23" i="38"/>
  <c r="K24" i="38"/>
  <c r="K25" i="38"/>
  <c r="F3" i="38"/>
  <c r="G3" i="38" s="1"/>
  <c r="I3" i="38" s="1"/>
  <c r="F4" i="38"/>
  <c r="G4" i="38" s="1"/>
  <c r="I4" i="38" s="1"/>
  <c r="F5" i="38"/>
  <c r="G5" i="38" s="1"/>
  <c r="I5" i="38" s="1"/>
  <c r="F6" i="38"/>
  <c r="G6" i="38" s="1"/>
  <c r="I6" i="38" s="1"/>
  <c r="F7" i="38"/>
  <c r="G7" i="38" s="1"/>
  <c r="I7" i="38" s="1"/>
  <c r="F8" i="38"/>
  <c r="G8" i="38" s="1"/>
  <c r="I8" i="38" s="1"/>
  <c r="F9" i="38"/>
  <c r="G9" i="38" s="1"/>
  <c r="I9" i="38" s="1"/>
  <c r="F10" i="38"/>
  <c r="G10" i="38" s="1"/>
  <c r="I10" i="38" s="1"/>
  <c r="F11" i="38"/>
  <c r="G11" i="38" s="1"/>
  <c r="I11" i="38" s="1"/>
  <c r="F12" i="38"/>
  <c r="G12" i="38" s="1"/>
  <c r="I12" i="38" s="1"/>
  <c r="F13" i="38"/>
  <c r="G13" i="38" s="1"/>
  <c r="I13" i="38" s="1"/>
  <c r="F14" i="38"/>
  <c r="G14" i="38" s="1"/>
  <c r="I14" i="38" s="1"/>
  <c r="F15" i="38"/>
  <c r="G15" i="38" s="1"/>
  <c r="I15" i="38" s="1"/>
  <c r="F16" i="38"/>
  <c r="G16" i="38" s="1"/>
  <c r="I16" i="38" s="1"/>
  <c r="F17" i="38"/>
  <c r="G17" i="38" s="1"/>
  <c r="I17" i="38" s="1"/>
  <c r="F18" i="38"/>
  <c r="G18" i="38" s="1"/>
  <c r="I18" i="38" s="1"/>
  <c r="F19" i="38"/>
  <c r="G19" i="38" s="1"/>
  <c r="I19" i="38" s="1"/>
  <c r="F20" i="38"/>
  <c r="G20" i="38" s="1"/>
  <c r="I20" i="38" s="1"/>
  <c r="F21" i="38"/>
  <c r="G21" i="38" s="1"/>
  <c r="I21" i="38" s="1"/>
  <c r="F22" i="38"/>
  <c r="G22" i="38" s="1"/>
  <c r="I22" i="38" s="1"/>
  <c r="F23" i="38"/>
  <c r="G23" i="38" s="1"/>
  <c r="I23" i="38" s="1"/>
  <c r="F24" i="38"/>
  <c r="G24" i="38" s="1"/>
  <c r="I24" i="38" s="1"/>
  <c r="F25" i="38"/>
  <c r="G25" i="38" s="1"/>
  <c r="I25" i="38" s="1"/>
  <c r="F2" i="38"/>
  <c r="G2" i="38" s="1"/>
  <c r="I2" i="38" s="1"/>
  <c r="K2" i="37"/>
  <c r="K3" i="37"/>
  <c r="K4" i="37"/>
  <c r="K5" i="37"/>
  <c r="K6" i="37"/>
  <c r="K7" i="37"/>
  <c r="K8" i="37"/>
  <c r="K9" i="37"/>
  <c r="K10" i="37"/>
  <c r="K11" i="37"/>
  <c r="K12" i="37"/>
  <c r="K13" i="37"/>
  <c r="K14" i="37"/>
  <c r="K15" i="37"/>
  <c r="K16" i="37"/>
  <c r="K17" i="37"/>
  <c r="K18" i="37"/>
  <c r="K19" i="37"/>
  <c r="K20" i="37"/>
  <c r="K21" i="37"/>
  <c r="K22" i="37"/>
  <c r="K23" i="37"/>
  <c r="K24" i="37"/>
  <c r="K25" i="37"/>
  <c r="F3" i="37"/>
  <c r="G3" i="37" s="1"/>
  <c r="I3" i="37" s="1"/>
  <c r="F4" i="37"/>
  <c r="G4" i="37" s="1"/>
  <c r="I4" i="37" s="1"/>
  <c r="F5" i="37"/>
  <c r="G5" i="37" s="1"/>
  <c r="I5" i="37" s="1"/>
  <c r="F6" i="37"/>
  <c r="G6" i="37" s="1"/>
  <c r="I6" i="37" s="1"/>
  <c r="F7" i="37"/>
  <c r="G7" i="37" s="1"/>
  <c r="I7" i="37" s="1"/>
  <c r="F8" i="37"/>
  <c r="G8" i="37" s="1"/>
  <c r="I8" i="37" s="1"/>
  <c r="F9" i="37"/>
  <c r="G9" i="37" s="1"/>
  <c r="I9" i="37" s="1"/>
  <c r="F10" i="37"/>
  <c r="G10" i="37" s="1"/>
  <c r="I10" i="37" s="1"/>
  <c r="F11" i="37"/>
  <c r="G11" i="37" s="1"/>
  <c r="I11" i="37" s="1"/>
  <c r="F12" i="37"/>
  <c r="G12" i="37" s="1"/>
  <c r="I12" i="37" s="1"/>
  <c r="F13" i="37"/>
  <c r="G13" i="37" s="1"/>
  <c r="I13" i="37" s="1"/>
  <c r="F14" i="37"/>
  <c r="G14" i="37" s="1"/>
  <c r="I14" i="37" s="1"/>
  <c r="F15" i="37"/>
  <c r="G15" i="37" s="1"/>
  <c r="I15" i="37" s="1"/>
  <c r="F16" i="37"/>
  <c r="G16" i="37" s="1"/>
  <c r="I16" i="37" s="1"/>
  <c r="F17" i="37"/>
  <c r="G17" i="37" s="1"/>
  <c r="I17" i="37" s="1"/>
  <c r="F18" i="37"/>
  <c r="G18" i="37" s="1"/>
  <c r="I18" i="37" s="1"/>
  <c r="F19" i="37"/>
  <c r="G19" i="37" s="1"/>
  <c r="I19" i="37" s="1"/>
  <c r="F20" i="37"/>
  <c r="G20" i="37" s="1"/>
  <c r="I20" i="37" s="1"/>
  <c r="F21" i="37"/>
  <c r="G21" i="37" s="1"/>
  <c r="I21" i="37" s="1"/>
  <c r="F22" i="37"/>
  <c r="G22" i="37" s="1"/>
  <c r="I22" i="37" s="1"/>
  <c r="F23" i="37"/>
  <c r="G23" i="37" s="1"/>
  <c r="I23" i="37" s="1"/>
  <c r="F24" i="37"/>
  <c r="G24" i="37" s="1"/>
  <c r="I24" i="37" s="1"/>
  <c r="F25" i="37"/>
  <c r="G25" i="37" s="1"/>
  <c r="I25" i="37" s="1"/>
  <c r="F2" i="37"/>
  <c r="G2" i="37" s="1"/>
  <c r="I2" i="37" s="1"/>
  <c r="K2" i="36"/>
  <c r="K3" i="36"/>
  <c r="K4" i="36"/>
  <c r="K5" i="36"/>
  <c r="K6" i="36"/>
  <c r="K7" i="36"/>
  <c r="K8" i="36"/>
  <c r="K9" i="36"/>
  <c r="K10" i="36"/>
  <c r="K11" i="36"/>
  <c r="K12" i="36"/>
  <c r="K13" i="36"/>
  <c r="K14" i="36"/>
  <c r="K15" i="36"/>
  <c r="K16" i="36"/>
  <c r="K17" i="36"/>
  <c r="K18" i="36"/>
  <c r="K19" i="36"/>
  <c r="K20" i="36"/>
  <c r="K21" i="36"/>
  <c r="K22" i="36"/>
  <c r="K23" i="36"/>
  <c r="K24" i="36"/>
  <c r="K25" i="36"/>
  <c r="F3" i="36"/>
  <c r="G3" i="36" s="1"/>
  <c r="I3" i="36" s="1"/>
  <c r="F4" i="36"/>
  <c r="G4" i="36" s="1"/>
  <c r="I4" i="36" s="1"/>
  <c r="F5" i="36"/>
  <c r="G5" i="36" s="1"/>
  <c r="I5" i="36" s="1"/>
  <c r="F6" i="36"/>
  <c r="G6" i="36" s="1"/>
  <c r="I6" i="36" s="1"/>
  <c r="F7" i="36"/>
  <c r="G7" i="36" s="1"/>
  <c r="I7" i="36" s="1"/>
  <c r="F8" i="36"/>
  <c r="G8" i="36" s="1"/>
  <c r="I8" i="36" s="1"/>
  <c r="F9" i="36"/>
  <c r="G9" i="36" s="1"/>
  <c r="I9" i="36" s="1"/>
  <c r="F10" i="36"/>
  <c r="G10" i="36" s="1"/>
  <c r="I10" i="36" s="1"/>
  <c r="F11" i="36"/>
  <c r="G11" i="36" s="1"/>
  <c r="I11" i="36" s="1"/>
  <c r="F12" i="36"/>
  <c r="G12" i="36" s="1"/>
  <c r="I12" i="36" s="1"/>
  <c r="F13" i="36"/>
  <c r="G13" i="36" s="1"/>
  <c r="I13" i="36" s="1"/>
  <c r="F14" i="36"/>
  <c r="G14" i="36" s="1"/>
  <c r="I14" i="36" s="1"/>
  <c r="F15" i="36"/>
  <c r="G15" i="36" s="1"/>
  <c r="I15" i="36" s="1"/>
  <c r="F16" i="36"/>
  <c r="G16" i="36" s="1"/>
  <c r="I16" i="36" s="1"/>
  <c r="F17" i="36"/>
  <c r="G17" i="36" s="1"/>
  <c r="I17" i="36" s="1"/>
  <c r="F18" i="36"/>
  <c r="G18" i="36" s="1"/>
  <c r="I18" i="36" s="1"/>
  <c r="F19" i="36"/>
  <c r="G19" i="36" s="1"/>
  <c r="I19" i="36" s="1"/>
  <c r="F20" i="36"/>
  <c r="G20" i="36" s="1"/>
  <c r="I20" i="36" s="1"/>
  <c r="F21" i="36"/>
  <c r="G21" i="36" s="1"/>
  <c r="I21" i="36" s="1"/>
  <c r="F22" i="36"/>
  <c r="G22" i="36" s="1"/>
  <c r="I22" i="36" s="1"/>
  <c r="F23" i="36"/>
  <c r="G23" i="36" s="1"/>
  <c r="I23" i="36" s="1"/>
  <c r="F24" i="36"/>
  <c r="G24" i="36" s="1"/>
  <c r="I24" i="36" s="1"/>
  <c r="F25" i="36"/>
  <c r="G25" i="36" s="1"/>
  <c r="I25" i="36" s="1"/>
  <c r="F2" i="36"/>
  <c r="G2" i="36" s="1"/>
  <c r="I2" i="36" s="1"/>
  <c r="K2" i="35"/>
  <c r="K3" i="35"/>
  <c r="K4" i="35"/>
  <c r="K5" i="35"/>
  <c r="K6" i="35"/>
  <c r="K7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F3" i="35"/>
  <c r="G3" i="35" s="1"/>
  <c r="I3" i="35" s="1"/>
  <c r="F4" i="35"/>
  <c r="G4" i="35" s="1"/>
  <c r="I4" i="35" s="1"/>
  <c r="F5" i="35"/>
  <c r="G5" i="35" s="1"/>
  <c r="I5" i="35" s="1"/>
  <c r="F6" i="35"/>
  <c r="G6" i="35" s="1"/>
  <c r="I6" i="35" s="1"/>
  <c r="F7" i="35"/>
  <c r="G7" i="35" s="1"/>
  <c r="I7" i="35" s="1"/>
  <c r="F8" i="35"/>
  <c r="G8" i="35" s="1"/>
  <c r="I8" i="35" s="1"/>
  <c r="F9" i="35"/>
  <c r="G9" i="35" s="1"/>
  <c r="I9" i="35" s="1"/>
  <c r="F10" i="35"/>
  <c r="G10" i="35" s="1"/>
  <c r="I10" i="35" s="1"/>
  <c r="F11" i="35"/>
  <c r="G11" i="35" s="1"/>
  <c r="I11" i="35" s="1"/>
  <c r="F12" i="35"/>
  <c r="G12" i="35" s="1"/>
  <c r="I12" i="35" s="1"/>
  <c r="F13" i="35"/>
  <c r="G13" i="35" s="1"/>
  <c r="I13" i="35" s="1"/>
  <c r="F14" i="35"/>
  <c r="G14" i="35" s="1"/>
  <c r="I14" i="35" s="1"/>
  <c r="F15" i="35"/>
  <c r="G15" i="35" s="1"/>
  <c r="I15" i="35" s="1"/>
  <c r="F16" i="35"/>
  <c r="G16" i="35" s="1"/>
  <c r="I16" i="35" s="1"/>
  <c r="F17" i="35"/>
  <c r="G17" i="35" s="1"/>
  <c r="I17" i="35" s="1"/>
  <c r="F18" i="35"/>
  <c r="G18" i="35" s="1"/>
  <c r="I18" i="35" s="1"/>
  <c r="F19" i="35"/>
  <c r="G19" i="35" s="1"/>
  <c r="I19" i="35" s="1"/>
  <c r="F20" i="35"/>
  <c r="G20" i="35" s="1"/>
  <c r="I20" i="35" s="1"/>
  <c r="F21" i="35"/>
  <c r="G21" i="35" s="1"/>
  <c r="I21" i="35" s="1"/>
  <c r="F22" i="35"/>
  <c r="G22" i="35" s="1"/>
  <c r="I22" i="35" s="1"/>
  <c r="F23" i="35"/>
  <c r="G23" i="35" s="1"/>
  <c r="I23" i="35" s="1"/>
  <c r="F24" i="35"/>
  <c r="G24" i="35" s="1"/>
  <c r="I24" i="35" s="1"/>
  <c r="F25" i="35"/>
  <c r="G25" i="35" s="1"/>
  <c r="I25" i="35" s="1"/>
  <c r="F2" i="35"/>
  <c r="G2" i="35" s="1"/>
  <c r="I2" i="35" s="1"/>
  <c r="K2" i="34"/>
  <c r="K3" i="34"/>
  <c r="K4" i="34"/>
  <c r="K5" i="34"/>
  <c r="K6" i="34"/>
  <c r="K7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F3" i="34"/>
  <c r="G3" i="34" s="1"/>
  <c r="I3" i="34" s="1"/>
  <c r="F4" i="34"/>
  <c r="G4" i="34" s="1"/>
  <c r="I4" i="34" s="1"/>
  <c r="F5" i="34"/>
  <c r="G5" i="34" s="1"/>
  <c r="I5" i="34" s="1"/>
  <c r="F6" i="34"/>
  <c r="G6" i="34" s="1"/>
  <c r="I6" i="34" s="1"/>
  <c r="F7" i="34"/>
  <c r="G7" i="34" s="1"/>
  <c r="I7" i="34" s="1"/>
  <c r="F8" i="34"/>
  <c r="G8" i="34" s="1"/>
  <c r="I8" i="34" s="1"/>
  <c r="F9" i="34"/>
  <c r="G9" i="34" s="1"/>
  <c r="I9" i="34" s="1"/>
  <c r="F10" i="34"/>
  <c r="G10" i="34" s="1"/>
  <c r="I10" i="34" s="1"/>
  <c r="F11" i="34"/>
  <c r="G11" i="34" s="1"/>
  <c r="I11" i="34" s="1"/>
  <c r="F12" i="34"/>
  <c r="G12" i="34" s="1"/>
  <c r="I12" i="34" s="1"/>
  <c r="F13" i="34"/>
  <c r="G13" i="34" s="1"/>
  <c r="I13" i="34" s="1"/>
  <c r="F14" i="34"/>
  <c r="G14" i="34" s="1"/>
  <c r="I14" i="34" s="1"/>
  <c r="F15" i="34"/>
  <c r="G15" i="34" s="1"/>
  <c r="I15" i="34" s="1"/>
  <c r="F16" i="34"/>
  <c r="G16" i="34" s="1"/>
  <c r="I16" i="34" s="1"/>
  <c r="F17" i="34"/>
  <c r="G17" i="34" s="1"/>
  <c r="I17" i="34" s="1"/>
  <c r="F18" i="34"/>
  <c r="G18" i="34" s="1"/>
  <c r="I18" i="34" s="1"/>
  <c r="F19" i="34"/>
  <c r="G19" i="34" s="1"/>
  <c r="I19" i="34" s="1"/>
  <c r="F20" i="34"/>
  <c r="G20" i="34" s="1"/>
  <c r="I20" i="34" s="1"/>
  <c r="F21" i="34"/>
  <c r="G21" i="34" s="1"/>
  <c r="I21" i="34" s="1"/>
  <c r="F22" i="34"/>
  <c r="G22" i="34" s="1"/>
  <c r="I22" i="34" s="1"/>
  <c r="F23" i="34"/>
  <c r="G23" i="34" s="1"/>
  <c r="I23" i="34" s="1"/>
  <c r="F2" i="34"/>
  <c r="G2" i="34" s="1"/>
  <c r="I2" i="34" s="1"/>
  <c r="K2" i="33"/>
  <c r="K3" i="33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F3" i="33"/>
  <c r="G3" i="33" s="1"/>
  <c r="I3" i="33" s="1"/>
  <c r="F4" i="33"/>
  <c r="G4" i="33" s="1"/>
  <c r="I4" i="33" s="1"/>
  <c r="F5" i="33"/>
  <c r="G5" i="33" s="1"/>
  <c r="I5" i="33" s="1"/>
  <c r="F6" i="33"/>
  <c r="G6" i="33" s="1"/>
  <c r="I6" i="33" s="1"/>
  <c r="F7" i="33"/>
  <c r="G7" i="33" s="1"/>
  <c r="I7" i="33" s="1"/>
  <c r="F8" i="33"/>
  <c r="G8" i="33" s="1"/>
  <c r="I8" i="33" s="1"/>
  <c r="F9" i="33"/>
  <c r="G9" i="33" s="1"/>
  <c r="I9" i="33" s="1"/>
  <c r="F10" i="33"/>
  <c r="G10" i="33" s="1"/>
  <c r="I10" i="33" s="1"/>
  <c r="F11" i="33"/>
  <c r="G11" i="33" s="1"/>
  <c r="I11" i="33" s="1"/>
  <c r="F12" i="33"/>
  <c r="G12" i="33" s="1"/>
  <c r="I12" i="33" s="1"/>
  <c r="F13" i="33"/>
  <c r="G13" i="33" s="1"/>
  <c r="I13" i="33" s="1"/>
  <c r="F14" i="33"/>
  <c r="G14" i="33" s="1"/>
  <c r="I14" i="33" s="1"/>
  <c r="F15" i="33"/>
  <c r="G15" i="33" s="1"/>
  <c r="I15" i="33" s="1"/>
  <c r="F16" i="33"/>
  <c r="G16" i="33" s="1"/>
  <c r="I16" i="33" s="1"/>
  <c r="F17" i="33"/>
  <c r="G17" i="33" s="1"/>
  <c r="I17" i="33" s="1"/>
  <c r="F18" i="33"/>
  <c r="G18" i="33" s="1"/>
  <c r="I18" i="33" s="1"/>
  <c r="F19" i="33"/>
  <c r="G19" i="33" s="1"/>
  <c r="I19" i="33" s="1"/>
  <c r="F20" i="33"/>
  <c r="G20" i="33" s="1"/>
  <c r="I20" i="33" s="1"/>
  <c r="F21" i="33"/>
  <c r="G21" i="33" s="1"/>
  <c r="I21" i="33" s="1"/>
  <c r="F22" i="33"/>
  <c r="G22" i="33" s="1"/>
  <c r="I22" i="33" s="1"/>
  <c r="F23" i="33"/>
  <c r="G23" i="33" s="1"/>
  <c r="I23" i="33" s="1"/>
  <c r="F24" i="33"/>
  <c r="G24" i="33" s="1"/>
  <c r="I24" i="33" s="1"/>
  <c r="F25" i="33"/>
  <c r="G25" i="33" s="1"/>
  <c r="I25" i="33" s="1"/>
  <c r="F2" i="33"/>
  <c r="G2" i="33" s="1"/>
  <c r="I2" i="33" s="1"/>
  <c r="K2" i="32"/>
  <c r="K3" i="32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F3" i="32"/>
  <c r="G3" i="32" s="1"/>
  <c r="I3" i="32" s="1"/>
  <c r="F4" i="32"/>
  <c r="G4" i="32" s="1"/>
  <c r="I4" i="32" s="1"/>
  <c r="F5" i="32"/>
  <c r="G5" i="32" s="1"/>
  <c r="I5" i="32" s="1"/>
  <c r="F6" i="32"/>
  <c r="G6" i="32" s="1"/>
  <c r="I6" i="32" s="1"/>
  <c r="F7" i="32"/>
  <c r="G7" i="32" s="1"/>
  <c r="I7" i="32" s="1"/>
  <c r="F8" i="32"/>
  <c r="G8" i="32" s="1"/>
  <c r="I8" i="32" s="1"/>
  <c r="F9" i="32"/>
  <c r="G9" i="32" s="1"/>
  <c r="I9" i="32" s="1"/>
  <c r="F10" i="32"/>
  <c r="G10" i="32" s="1"/>
  <c r="I10" i="32" s="1"/>
  <c r="F11" i="32"/>
  <c r="G11" i="32" s="1"/>
  <c r="I11" i="32" s="1"/>
  <c r="F12" i="32"/>
  <c r="G12" i="32" s="1"/>
  <c r="I12" i="32" s="1"/>
  <c r="F13" i="32"/>
  <c r="G13" i="32" s="1"/>
  <c r="I13" i="32" s="1"/>
  <c r="F14" i="32"/>
  <c r="G14" i="32" s="1"/>
  <c r="I14" i="32" s="1"/>
  <c r="F15" i="32"/>
  <c r="G15" i="32" s="1"/>
  <c r="I15" i="32" s="1"/>
  <c r="F16" i="32"/>
  <c r="G16" i="32" s="1"/>
  <c r="I16" i="32" s="1"/>
  <c r="F17" i="32"/>
  <c r="G17" i="32" s="1"/>
  <c r="I17" i="32" s="1"/>
  <c r="F18" i="32"/>
  <c r="G18" i="32" s="1"/>
  <c r="I18" i="32" s="1"/>
  <c r="F19" i="32"/>
  <c r="G19" i="32" s="1"/>
  <c r="I19" i="32" s="1"/>
  <c r="F20" i="32"/>
  <c r="G20" i="32" s="1"/>
  <c r="I20" i="32" s="1"/>
  <c r="F21" i="32"/>
  <c r="G21" i="32" s="1"/>
  <c r="I21" i="32" s="1"/>
  <c r="F22" i="32"/>
  <c r="G22" i="32" s="1"/>
  <c r="I22" i="32" s="1"/>
  <c r="F23" i="32"/>
  <c r="G23" i="32" s="1"/>
  <c r="I23" i="32" s="1"/>
  <c r="F24" i="32"/>
  <c r="G24" i="32" s="1"/>
  <c r="I24" i="32" s="1"/>
  <c r="F2" i="32"/>
  <c r="G2" i="32" s="1"/>
  <c r="I2" i="32" s="1"/>
  <c r="K2" i="31"/>
  <c r="K3" i="31"/>
  <c r="K4" i="31"/>
  <c r="K5" i="3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F3" i="31"/>
  <c r="G3" i="31" s="1"/>
  <c r="I3" i="31" s="1"/>
  <c r="F4" i="31"/>
  <c r="G4" i="31" s="1"/>
  <c r="I4" i="31" s="1"/>
  <c r="F5" i="31"/>
  <c r="G5" i="31" s="1"/>
  <c r="I5" i="31" s="1"/>
  <c r="F6" i="31"/>
  <c r="G6" i="31" s="1"/>
  <c r="I6" i="31" s="1"/>
  <c r="F7" i="31"/>
  <c r="G7" i="31" s="1"/>
  <c r="I7" i="31" s="1"/>
  <c r="F8" i="31"/>
  <c r="G8" i="31" s="1"/>
  <c r="I8" i="31" s="1"/>
  <c r="F9" i="31"/>
  <c r="G9" i="31" s="1"/>
  <c r="I9" i="31" s="1"/>
  <c r="F10" i="31"/>
  <c r="G10" i="31" s="1"/>
  <c r="I10" i="31" s="1"/>
  <c r="F11" i="31"/>
  <c r="G11" i="31" s="1"/>
  <c r="I11" i="31" s="1"/>
  <c r="F12" i="31"/>
  <c r="G12" i="31" s="1"/>
  <c r="I12" i="31" s="1"/>
  <c r="F13" i="31"/>
  <c r="G13" i="31" s="1"/>
  <c r="I13" i="31" s="1"/>
  <c r="F14" i="31"/>
  <c r="G14" i="31" s="1"/>
  <c r="I14" i="31" s="1"/>
  <c r="F15" i="31"/>
  <c r="G15" i="31" s="1"/>
  <c r="I15" i="31" s="1"/>
  <c r="F16" i="31"/>
  <c r="G16" i="31" s="1"/>
  <c r="I16" i="31" s="1"/>
  <c r="F17" i="31"/>
  <c r="G17" i="31" s="1"/>
  <c r="I17" i="31" s="1"/>
  <c r="F18" i="31"/>
  <c r="G18" i="31" s="1"/>
  <c r="I18" i="31" s="1"/>
  <c r="F19" i="31"/>
  <c r="G19" i="31" s="1"/>
  <c r="I19" i="31" s="1"/>
  <c r="F20" i="31"/>
  <c r="G20" i="31" s="1"/>
  <c r="I20" i="31" s="1"/>
  <c r="F21" i="31"/>
  <c r="G21" i="31" s="1"/>
  <c r="I21" i="31" s="1"/>
  <c r="F22" i="31"/>
  <c r="G22" i="31" s="1"/>
  <c r="I22" i="31" s="1"/>
  <c r="F23" i="31"/>
  <c r="G23" i="31" s="1"/>
  <c r="I23" i="31" s="1"/>
  <c r="F24" i="31"/>
  <c r="G24" i="31" s="1"/>
  <c r="I24" i="31" s="1"/>
  <c r="F25" i="31"/>
  <c r="G25" i="31" s="1"/>
  <c r="I25" i="31" s="1"/>
  <c r="F2" i="31"/>
  <c r="G2" i="31" s="1"/>
  <c r="I2" i="31" s="1"/>
  <c r="K2" i="30"/>
  <c r="K3" i="30"/>
  <c r="K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F3" i="30"/>
  <c r="G3" i="30" s="1"/>
  <c r="I3" i="30" s="1"/>
  <c r="F4" i="30"/>
  <c r="G4" i="30" s="1"/>
  <c r="I4" i="30" s="1"/>
  <c r="F5" i="30"/>
  <c r="G5" i="30" s="1"/>
  <c r="I5" i="30" s="1"/>
  <c r="F6" i="30"/>
  <c r="G6" i="30" s="1"/>
  <c r="I6" i="30" s="1"/>
  <c r="F7" i="30"/>
  <c r="G7" i="30" s="1"/>
  <c r="I7" i="30" s="1"/>
  <c r="F8" i="30"/>
  <c r="G8" i="30" s="1"/>
  <c r="I8" i="30" s="1"/>
  <c r="F9" i="30"/>
  <c r="G9" i="30" s="1"/>
  <c r="I9" i="30" s="1"/>
  <c r="F10" i="30"/>
  <c r="G10" i="30" s="1"/>
  <c r="I10" i="30" s="1"/>
  <c r="F11" i="30"/>
  <c r="G11" i="30" s="1"/>
  <c r="I11" i="30" s="1"/>
  <c r="F12" i="30"/>
  <c r="G12" i="30" s="1"/>
  <c r="I12" i="30" s="1"/>
  <c r="F13" i="30"/>
  <c r="G13" i="30" s="1"/>
  <c r="I13" i="30" s="1"/>
  <c r="F14" i="30"/>
  <c r="G14" i="30" s="1"/>
  <c r="I14" i="30" s="1"/>
  <c r="F15" i="30"/>
  <c r="G15" i="30" s="1"/>
  <c r="I15" i="30" s="1"/>
  <c r="F16" i="30"/>
  <c r="G16" i="30" s="1"/>
  <c r="I16" i="30" s="1"/>
  <c r="F17" i="30"/>
  <c r="G17" i="30" s="1"/>
  <c r="I17" i="30" s="1"/>
  <c r="F18" i="30"/>
  <c r="G18" i="30" s="1"/>
  <c r="I18" i="30" s="1"/>
  <c r="F19" i="30"/>
  <c r="G19" i="30" s="1"/>
  <c r="I19" i="30" s="1"/>
  <c r="F20" i="30"/>
  <c r="G20" i="30" s="1"/>
  <c r="I20" i="30" s="1"/>
  <c r="F21" i="30"/>
  <c r="G21" i="30" s="1"/>
  <c r="I21" i="30" s="1"/>
  <c r="F22" i="30"/>
  <c r="G22" i="30" s="1"/>
  <c r="I22" i="30" s="1"/>
  <c r="F23" i="30"/>
  <c r="G23" i="30" s="1"/>
  <c r="I23" i="30" s="1"/>
  <c r="F24" i="30"/>
  <c r="G24" i="30" s="1"/>
  <c r="I24" i="30" s="1"/>
  <c r="F25" i="30"/>
  <c r="G25" i="30" s="1"/>
  <c r="I25" i="30" s="1"/>
  <c r="F2" i="30"/>
  <c r="G2" i="30" s="1"/>
  <c r="I2" i="30" s="1"/>
  <c r="K2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" i="28"/>
  <c r="K3" i="28"/>
  <c r="K4" i="28"/>
  <c r="K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F3" i="29"/>
  <c r="G3" i="29" s="1"/>
  <c r="I3" i="29" s="1"/>
  <c r="F4" i="29"/>
  <c r="G4" i="29" s="1"/>
  <c r="I4" i="29" s="1"/>
  <c r="F5" i="29"/>
  <c r="G5" i="29" s="1"/>
  <c r="I5" i="29" s="1"/>
  <c r="F6" i="29"/>
  <c r="G6" i="29" s="1"/>
  <c r="I6" i="29" s="1"/>
  <c r="F7" i="29"/>
  <c r="G7" i="29" s="1"/>
  <c r="I7" i="29" s="1"/>
  <c r="F8" i="29"/>
  <c r="G8" i="29" s="1"/>
  <c r="I8" i="29" s="1"/>
  <c r="F9" i="29"/>
  <c r="G9" i="29" s="1"/>
  <c r="I9" i="29" s="1"/>
  <c r="F10" i="29"/>
  <c r="G10" i="29" s="1"/>
  <c r="I10" i="29" s="1"/>
  <c r="F11" i="29"/>
  <c r="G11" i="29" s="1"/>
  <c r="I11" i="29" s="1"/>
  <c r="F12" i="29"/>
  <c r="G12" i="29" s="1"/>
  <c r="I12" i="29" s="1"/>
  <c r="F13" i="29"/>
  <c r="G13" i="29" s="1"/>
  <c r="I13" i="29" s="1"/>
  <c r="F14" i="29"/>
  <c r="G14" i="29" s="1"/>
  <c r="I14" i="29" s="1"/>
  <c r="F15" i="29"/>
  <c r="G15" i="29" s="1"/>
  <c r="I15" i="29" s="1"/>
  <c r="F16" i="29"/>
  <c r="G16" i="29" s="1"/>
  <c r="I16" i="29" s="1"/>
  <c r="F17" i="29"/>
  <c r="G17" i="29" s="1"/>
  <c r="I17" i="29" s="1"/>
  <c r="F18" i="29"/>
  <c r="G18" i="29" s="1"/>
  <c r="I18" i="29" s="1"/>
  <c r="F19" i="29"/>
  <c r="G19" i="29" s="1"/>
  <c r="I19" i="29" s="1"/>
  <c r="F20" i="29"/>
  <c r="G20" i="29" s="1"/>
  <c r="I20" i="29" s="1"/>
  <c r="F21" i="29"/>
  <c r="G21" i="29" s="1"/>
  <c r="I21" i="29" s="1"/>
  <c r="F22" i="29"/>
  <c r="G22" i="29" s="1"/>
  <c r="I22" i="29" s="1"/>
  <c r="F23" i="29"/>
  <c r="G23" i="29" s="1"/>
  <c r="I23" i="29" s="1"/>
  <c r="F24" i="29"/>
  <c r="G24" i="29" s="1"/>
  <c r="I24" i="29" s="1"/>
  <c r="F25" i="29"/>
  <c r="G25" i="29" s="1"/>
  <c r="I25" i="29" s="1"/>
  <c r="F2" i="29"/>
  <c r="G2" i="29" s="1"/>
  <c r="I2" i="29" s="1"/>
  <c r="F3" i="28"/>
  <c r="G3" i="28" s="1"/>
  <c r="I3" i="28" s="1"/>
  <c r="F4" i="28"/>
  <c r="G4" i="28" s="1"/>
  <c r="I4" i="28" s="1"/>
  <c r="F5" i="28"/>
  <c r="G5" i="28" s="1"/>
  <c r="I5" i="28" s="1"/>
  <c r="F6" i="28"/>
  <c r="G6" i="28" s="1"/>
  <c r="I6" i="28" s="1"/>
  <c r="F7" i="28"/>
  <c r="G7" i="28" s="1"/>
  <c r="I7" i="28" s="1"/>
  <c r="F8" i="28"/>
  <c r="G8" i="28" s="1"/>
  <c r="I8" i="28" s="1"/>
  <c r="F9" i="28"/>
  <c r="G9" i="28" s="1"/>
  <c r="I9" i="28" s="1"/>
  <c r="F10" i="28"/>
  <c r="G10" i="28" s="1"/>
  <c r="I10" i="28" s="1"/>
  <c r="F11" i="28"/>
  <c r="G11" i="28" s="1"/>
  <c r="I11" i="28" s="1"/>
  <c r="F12" i="28"/>
  <c r="G12" i="28" s="1"/>
  <c r="I12" i="28" s="1"/>
  <c r="F13" i="28"/>
  <c r="G13" i="28" s="1"/>
  <c r="I13" i="28" s="1"/>
  <c r="F14" i="28"/>
  <c r="G14" i="28" s="1"/>
  <c r="I14" i="28" s="1"/>
  <c r="F15" i="28"/>
  <c r="G15" i="28" s="1"/>
  <c r="I15" i="28" s="1"/>
  <c r="F16" i="28"/>
  <c r="G16" i="28" s="1"/>
  <c r="I16" i="28" s="1"/>
  <c r="F17" i="28"/>
  <c r="G17" i="28" s="1"/>
  <c r="I17" i="28" s="1"/>
  <c r="F18" i="28"/>
  <c r="G18" i="28" s="1"/>
  <c r="I18" i="28" s="1"/>
  <c r="F19" i="28"/>
  <c r="G19" i="28" s="1"/>
  <c r="I19" i="28" s="1"/>
  <c r="F20" i="28"/>
  <c r="G20" i="28" s="1"/>
  <c r="I20" i="28" s="1"/>
  <c r="F21" i="28"/>
  <c r="G21" i="28" s="1"/>
  <c r="I21" i="28" s="1"/>
  <c r="F22" i="28"/>
  <c r="G22" i="28" s="1"/>
  <c r="I22" i="28" s="1"/>
  <c r="F23" i="28"/>
  <c r="G23" i="28" s="1"/>
  <c r="I23" i="28" s="1"/>
  <c r="F24" i="28"/>
  <c r="G24" i="28" s="1"/>
  <c r="I24" i="28" s="1"/>
  <c r="F2" i="28"/>
  <c r="G2" i="28" s="1"/>
  <c r="I2" i="28" s="1"/>
  <c r="K2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F3" i="27"/>
  <c r="G3" i="27" s="1"/>
  <c r="I3" i="27" s="1"/>
  <c r="F4" i="27"/>
  <c r="G4" i="27" s="1"/>
  <c r="I4" i="27" s="1"/>
  <c r="F5" i="27"/>
  <c r="G5" i="27" s="1"/>
  <c r="I5" i="27" s="1"/>
  <c r="F6" i="27"/>
  <c r="G6" i="27" s="1"/>
  <c r="I6" i="27" s="1"/>
  <c r="F7" i="27"/>
  <c r="G7" i="27" s="1"/>
  <c r="I7" i="27" s="1"/>
  <c r="F8" i="27"/>
  <c r="G8" i="27" s="1"/>
  <c r="I8" i="27" s="1"/>
  <c r="F9" i="27"/>
  <c r="G9" i="27" s="1"/>
  <c r="I9" i="27" s="1"/>
  <c r="F10" i="27"/>
  <c r="G10" i="27" s="1"/>
  <c r="I10" i="27" s="1"/>
  <c r="F11" i="27"/>
  <c r="G11" i="27" s="1"/>
  <c r="I11" i="27" s="1"/>
  <c r="F12" i="27"/>
  <c r="G12" i="27" s="1"/>
  <c r="I12" i="27" s="1"/>
  <c r="F13" i="27"/>
  <c r="G13" i="27" s="1"/>
  <c r="I13" i="27" s="1"/>
  <c r="F14" i="27"/>
  <c r="G14" i="27" s="1"/>
  <c r="I14" i="27" s="1"/>
  <c r="F15" i="27"/>
  <c r="G15" i="27" s="1"/>
  <c r="I15" i="27" s="1"/>
  <c r="F16" i="27"/>
  <c r="G16" i="27" s="1"/>
  <c r="I16" i="27" s="1"/>
  <c r="F17" i="27"/>
  <c r="G17" i="27" s="1"/>
  <c r="I17" i="27" s="1"/>
  <c r="F18" i="27"/>
  <c r="G18" i="27" s="1"/>
  <c r="I18" i="27" s="1"/>
  <c r="F19" i="27"/>
  <c r="G19" i="27" s="1"/>
  <c r="I19" i="27" s="1"/>
  <c r="F20" i="27"/>
  <c r="G20" i="27" s="1"/>
  <c r="I20" i="27" s="1"/>
  <c r="F21" i="27"/>
  <c r="G21" i="27" s="1"/>
  <c r="I21" i="27" s="1"/>
  <c r="F2" i="27"/>
  <c r="G2" i="27" s="1"/>
  <c r="I2" i="27" s="1"/>
  <c r="K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F3" i="26"/>
  <c r="G3" i="26" s="1"/>
  <c r="I3" i="26" s="1"/>
  <c r="F4" i="26"/>
  <c r="G4" i="26" s="1"/>
  <c r="I4" i="26" s="1"/>
  <c r="F5" i="26"/>
  <c r="G5" i="26" s="1"/>
  <c r="I5" i="26" s="1"/>
  <c r="F6" i="26"/>
  <c r="G6" i="26" s="1"/>
  <c r="I6" i="26" s="1"/>
  <c r="F7" i="26"/>
  <c r="G7" i="26" s="1"/>
  <c r="I7" i="26" s="1"/>
  <c r="F8" i="26"/>
  <c r="G8" i="26" s="1"/>
  <c r="I8" i="26" s="1"/>
  <c r="F9" i="26"/>
  <c r="G9" i="26" s="1"/>
  <c r="I9" i="26" s="1"/>
  <c r="F10" i="26"/>
  <c r="G10" i="26" s="1"/>
  <c r="I10" i="26" s="1"/>
  <c r="F11" i="26"/>
  <c r="G11" i="26" s="1"/>
  <c r="I11" i="26" s="1"/>
  <c r="F12" i="26"/>
  <c r="G12" i="26" s="1"/>
  <c r="I12" i="26" s="1"/>
  <c r="F13" i="26"/>
  <c r="G13" i="26" s="1"/>
  <c r="I13" i="26" s="1"/>
  <c r="F14" i="26"/>
  <c r="G14" i="26" s="1"/>
  <c r="I14" i="26" s="1"/>
  <c r="F15" i="26"/>
  <c r="G15" i="26" s="1"/>
  <c r="I15" i="26" s="1"/>
  <c r="F16" i="26"/>
  <c r="G16" i="26" s="1"/>
  <c r="I16" i="26" s="1"/>
  <c r="F17" i="26"/>
  <c r="G17" i="26" s="1"/>
  <c r="I17" i="26" s="1"/>
  <c r="F18" i="26"/>
  <c r="G18" i="26" s="1"/>
  <c r="I18" i="26" s="1"/>
  <c r="F19" i="26"/>
  <c r="G19" i="26" s="1"/>
  <c r="I19" i="26" s="1"/>
  <c r="F20" i="26"/>
  <c r="G20" i="26" s="1"/>
  <c r="I20" i="26" s="1"/>
  <c r="F21" i="26"/>
  <c r="G21" i="26" s="1"/>
  <c r="I21" i="26" s="1"/>
  <c r="F2" i="26"/>
  <c r="G2" i="26" s="1"/>
  <c r="I2" i="26" s="1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F3" i="25"/>
  <c r="G3" i="25" s="1"/>
  <c r="I3" i="25" s="1"/>
  <c r="F4" i="25"/>
  <c r="G4" i="25" s="1"/>
  <c r="I4" i="25" s="1"/>
  <c r="F5" i="25"/>
  <c r="G5" i="25" s="1"/>
  <c r="I5" i="25" s="1"/>
  <c r="F6" i="25"/>
  <c r="G6" i="25" s="1"/>
  <c r="I6" i="25" s="1"/>
  <c r="F7" i="25"/>
  <c r="G7" i="25" s="1"/>
  <c r="I7" i="25" s="1"/>
  <c r="F8" i="25"/>
  <c r="G8" i="25" s="1"/>
  <c r="I8" i="25" s="1"/>
  <c r="F9" i="25"/>
  <c r="G9" i="25" s="1"/>
  <c r="I9" i="25" s="1"/>
  <c r="F10" i="25"/>
  <c r="G10" i="25" s="1"/>
  <c r="I10" i="25" s="1"/>
  <c r="F11" i="25"/>
  <c r="G11" i="25" s="1"/>
  <c r="I11" i="25" s="1"/>
  <c r="F12" i="25"/>
  <c r="G12" i="25" s="1"/>
  <c r="I12" i="25" s="1"/>
  <c r="F13" i="25"/>
  <c r="G13" i="25" s="1"/>
  <c r="I13" i="25" s="1"/>
  <c r="F14" i="25"/>
  <c r="G14" i="25" s="1"/>
  <c r="I14" i="25" s="1"/>
  <c r="F15" i="25"/>
  <c r="G15" i="25" s="1"/>
  <c r="I15" i="25" s="1"/>
  <c r="F16" i="25"/>
  <c r="G16" i="25" s="1"/>
  <c r="I16" i="25" s="1"/>
  <c r="F17" i="25"/>
  <c r="G17" i="25" s="1"/>
  <c r="I17" i="25" s="1"/>
  <c r="F18" i="25"/>
  <c r="G18" i="25" s="1"/>
  <c r="I18" i="25" s="1"/>
  <c r="F19" i="25"/>
  <c r="G19" i="25" s="1"/>
  <c r="I19" i="25" s="1"/>
  <c r="F20" i="25"/>
  <c r="G20" i="25" s="1"/>
  <c r="I20" i="25" s="1"/>
  <c r="F21" i="25"/>
  <c r="G21" i="25" s="1"/>
  <c r="I21" i="25" s="1"/>
  <c r="F22" i="25"/>
  <c r="G22" i="25" s="1"/>
  <c r="I22" i="25" s="1"/>
  <c r="F23" i="25"/>
  <c r="G23" i="25" s="1"/>
  <c r="I23" i="25" s="1"/>
  <c r="F24" i="25"/>
  <c r="G24" i="25" s="1"/>
  <c r="I24" i="25" s="1"/>
  <c r="F25" i="25"/>
  <c r="G25" i="25" s="1"/>
  <c r="I25" i="25" s="1"/>
  <c r="F2" i="25"/>
  <c r="G2" i="25" s="1"/>
  <c r="I2" i="25" s="1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F3" i="24"/>
  <c r="G3" i="24" s="1"/>
  <c r="I3" i="24" s="1"/>
  <c r="F4" i="24"/>
  <c r="G4" i="24" s="1"/>
  <c r="I4" i="24" s="1"/>
  <c r="F5" i="24"/>
  <c r="G5" i="24" s="1"/>
  <c r="I5" i="24" s="1"/>
  <c r="F6" i="24"/>
  <c r="G6" i="24" s="1"/>
  <c r="I6" i="24" s="1"/>
  <c r="F7" i="24"/>
  <c r="G7" i="24" s="1"/>
  <c r="I7" i="24" s="1"/>
  <c r="F8" i="24"/>
  <c r="G8" i="24" s="1"/>
  <c r="I8" i="24" s="1"/>
  <c r="F9" i="24"/>
  <c r="G9" i="24" s="1"/>
  <c r="I9" i="24" s="1"/>
  <c r="F10" i="24"/>
  <c r="G10" i="24" s="1"/>
  <c r="I10" i="24" s="1"/>
  <c r="F11" i="24"/>
  <c r="G11" i="24" s="1"/>
  <c r="I11" i="24" s="1"/>
  <c r="F12" i="24"/>
  <c r="G12" i="24" s="1"/>
  <c r="I12" i="24" s="1"/>
  <c r="F13" i="24"/>
  <c r="G13" i="24" s="1"/>
  <c r="I13" i="24" s="1"/>
  <c r="F14" i="24"/>
  <c r="G14" i="24" s="1"/>
  <c r="I14" i="24" s="1"/>
  <c r="F15" i="24"/>
  <c r="G15" i="24" s="1"/>
  <c r="I15" i="24" s="1"/>
  <c r="F16" i="24"/>
  <c r="G16" i="24" s="1"/>
  <c r="I16" i="24" s="1"/>
  <c r="F17" i="24"/>
  <c r="G17" i="24" s="1"/>
  <c r="I17" i="24" s="1"/>
  <c r="F18" i="24"/>
  <c r="G18" i="24" s="1"/>
  <c r="I18" i="24" s="1"/>
  <c r="F19" i="24"/>
  <c r="G19" i="24" s="1"/>
  <c r="I19" i="24" s="1"/>
  <c r="F20" i="24"/>
  <c r="G20" i="24" s="1"/>
  <c r="I20" i="24" s="1"/>
  <c r="F21" i="24"/>
  <c r="G21" i="24" s="1"/>
  <c r="I21" i="24" s="1"/>
  <c r="F22" i="24"/>
  <c r="G22" i="24" s="1"/>
  <c r="I22" i="24" s="1"/>
  <c r="F23" i="24"/>
  <c r="G23" i="24" s="1"/>
  <c r="I23" i="24" s="1"/>
  <c r="F2" i="24"/>
  <c r="G2" i="24" s="1"/>
  <c r="I2" i="24" s="1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F2" i="23"/>
  <c r="G2" i="23" s="1"/>
  <c r="I2" i="23" s="1"/>
  <c r="F3" i="23"/>
  <c r="G3" i="23" s="1"/>
  <c r="I3" i="23" s="1"/>
  <c r="F4" i="23"/>
  <c r="G4" i="23" s="1"/>
  <c r="I4" i="23" s="1"/>
  <c r="F5" i="23"/>
  <c r="G5" i="23" s="1"/>
  <c r="I5" i="23" s="1"/>
  <c r="F6" i="23"/>
  <c r="G6" i="23" s="1"/>
  <c r="I6" i="23" s="1"/>
  <c r="F7" i="23"/>
  <c r="G7" i="23" s="1"/>
  <c r="I7" i="23" s="1"/>
  <c r="F8" i="23"/>
  <c r="G8" i="23" s="1"/>
  <c r="I8" i="23" s="1"/>
  <c r="F9" i="23"/>
  <c r="G9" i="23" s="1"/>
  <c r="I9" i="23" s="1"/>
  <c r="F10" i="23"/>
  <c r="G10" i="23" s="1"/>
  <c r="I10" i="23" s="1"/>
  <c r="F11" i="23"/>
  <c r="G11" i="23" s="1"/>
  <c r="I11" i="23" s="1"/>
  <c r="F12" i="23"/>
  <c r="G12" i="23" s="1"/>
  <c r="I12" i="23" s="1"/>
  <c r="F13" i="23"/>
  <c r="G13" i="23" s="1"/>
  <c r="I13" i="23" s="1"/>
  <c r="F14" i="23"/>
  <c r="G14" i="23" s="1"/>
  <c r="I14" i="23" s="1"/>
  <c r="F15" i="23"/>
  <c r="G15" i="23" s="1"/>
  <c r="I15" i="23" s="1"/>
  <c r="F16" i="23"/>
  <c r="G16" i="23" s="1"/>
  <c r="I16" i="23" s="1"/>
  <c r="F17" i="23"/>
  <c r="G17" i="23" s="1"/>
  <c r="I17" i="23" s="1"/>
  <c r="F18" i="23"/>
  <c r="G18" i="23" s="1"/>
  <c r="I18" i="23" s="1"/>
  <c r="F19" i="23"/>
  <c r="G19" i="23" s="1"/>
  <c r="I19" i="23" s="1"/>
  <c r="F20" i="23"/>
  <c r="G20" i="23" s="1"/>
  <c r="I20" i="23" s="1"/>
  <c r="F21" i="23"/>
  <c r="G21" i="23" s="1"/>
  <c r="I21" i="23" s="1"/>
  <c r="F22" i="23"/>
  <c r="G22" i="23" s="1"/>
  <c r="I22" i="23" s="1"/>
  <c r="F23" i="23"/>
  <c r="G23" i="23" s="1"/>
  <c r="I23" i="23" s="1"/>
  <c r="F24" i="23"/>
  <c r="G24" i="23" s="1"/>
  <c r="I24" i="23" s="1"/>
  <c r="N8" i="42" l="1" a="1"/>
  <c r="N8" i="42" s="1"/>
  <c r="N8" i="41" a="1"/>
  <c r="N8" i="41" s="1"/>
  <c r="N8" i="40" a="1"/>
  <c r="N8" i="40" s="1"/>
  <c r="N8" i="39" a="1"/>
  <c r="N8" i="39" s="1"/>
  <c r="N8" i="38" a="1"/>
  <c r="N8" i="38" s="1"/>
  <c r="N8" i="37" a="1"/>
  <c r="N8" i="37" s="1"/>
  <c r="N8" i="36" a="1"/>
  <c r="N8" i="36" s="1"/>
  <c r="N8" i="35" a="1"/>
  <c r="N8" i="35" s="1"/>
  <c r="N8" i="34" a="1"/>
  <c r="N8" i="34" s="1"/>
  <c r="N8" i="33" a="1"/>
  <c r="N8" i="33" s="1"/>
  <c r="N8" i="32" a="1"/>
  <c r="N8" i="32" s="1"/>
  <c r="N8" i="31" a="1"/>
  <c r="N8" i="31" s="1"/>
  <c r="N8" i="30" a="1"/>
  <c r="N8" i="30" s="1"/>
  <c r="N8" i="29" a="1"/>
  <c r="N8" i="29" s="1"/>
  <c r="O8" i="28" a="1"/>
  <c r="O8" i="28" s="1"/>
  <c r="N8" i="27" a="1"/>
  <c r="N8" i="27" s="1"/>
  <c r="N8" i="26" a="1"/>
  <c r="N8" i="26" s="1"/>
  <c r="N8" i="25" a="1"/>
  <c r="N8" i="25" s="1"/>
  <c r="N8" i="24" a="1"/>
  <c r="N8" i="24" s="1"/>
  <c r="N8" i="23" a="1"/>
  <c r="N8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<sst xmlns="http://schemas.openxmlformats.org/spreadsheetml/2006/main" count="3942" uniqueCount="850">
  <si>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</si>
  <si>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</si>
  <si>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</si>
  <si>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</si>
  <si>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</si>
  <si>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</si>
  <si>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</si>
  <si>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</si>
  <si>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</si>
  <si>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ARIMA</t>
  </si>
  <si>
    <t>LSTM</t>
  </si>
  <si>
    <t>PPG</t>
  </si>
  <si>
    <t>Bernd</t>
  </si>
  <si>
    <t>Leno</t>
  </si>
  <si>
    <t>ARS</t>
  </si>
  <si>
    <t>Pierre-Emerick</t>
  </si>
  <si>
    <t>Aubameyang</t>
  </si>
  <si>
    <t>Cédric</t>
  </si>
  <si>
    <t>Soares</t>
  </si>
  <si>
    <t>Alexandre</t>
  </si>
  <si>
    <t>Lacazette</t>
  </si>
  <si>
    <t>Granit</t>
  </si>
  <si>
    <t>Xhaka</t>
  </si>
  <si>
    <t>Pablo</t>
  </si>
  <si>
    <t>Marí</t>
  </si>
  <si>
    <t>Calum</t>
  </si>
  <si>
    <t>Chambers</t>
  </si>
  <si>
    <t>Mohamed Naser</t>
  </si>
  <si>
    <t>El Sayed Elneny</t>
  </si>
  <si>
    <t>Elneny</t>
  </si>
  <si>
    <t>Rob</t>
  </si>
  <si>
    <t>Holding</t>
  </si>
  <si>
    <t>Thomas</t>
  </si>
  <si>
    <t>Partey</t>
  </si>
  <si>
    <t>Kieran</t>
  </si>
  <si>
    <t>Tierney</t>
  </si>
  <si>
    <t>Nicolas</t>
  </si>
  <si>
    <t>Pépé</t>
  </si>
  <si>
    <t>Lucas</t>
  </si>
  <si>
    <t>Edward</t>
  </si>
  <si>
    <t>Nketiah</t>
  </si>
  <si>
    <t>Emile</t>
  </si>
  <si>
    <t>Smith Rowe</t>
  </si>
  <si>
    <t>Bukayo</t>
  </si>
  <si>
    <t>Saka</t>
  </si>
  <si>
    <t>Gabriel</t>
  </si>
  <si>
    <t>Magalhães</t>
  </si>
  <si>
    <t>Konstantinos</t>
  </si>
  <si>
    <t>Gabriel Teodoro</t>
  </si>
  <si>
    <t>Martinelli Silva</t>
  </si>
  <si>
    <t>Martinelli</t>
  </si>
  <si>
    <t>William</t>
  </si>
  <si>
    <t>Ben</t>
  </si>
  <si>
    <t>White</t>
  </si>
  <si>
    <t>Nuno</t>
  </si>
  <si>
    <t>Varela Tavares</t>
  </si>
  <si>
    <t>Tavares</t>
  </si>
  <si>
    <t>Albert</t>
  </si>
  <si>
    <t>Sambi Lokonga</t>
  </si>
  <si>
    <t>Karl</t>
  </si>
  <si>
    <t>Martin</t>
  </si>
  <si>
    <t>Ødegaard</t>
  </si>
  <si>
    <t>Aaron</t>
  </si>
  <si>
    <t>Ramsdale</t>
  </si>
  <si>
    <t>Arthur</t>
  </si>
  <si>
    <t>Takehiro</t>
  </si>
  <si>
    <t>Tomiyasu</t>
  </si>
  <si>
    <t>Charlie</t>
  </si>
  <si>
    <t>Jed</t>
  </si>
  <si>
    <t>Steer</t>
  </si>
  <si>
    <t>AVL</t>
  </si>
  <si>
    <t>Conor</t>
  </si>
  <si>
    <t>Emiliano</t>
  </si>
  <si>
    <t>Bertrand</t>
  </si>
  <si>
    <t>Traoré</t>
  </si>
  <si>
    <t>Morgan</t>
  </si>
  <si>
    <t>Sanson</t>
  </si>
  <si>
    <t>John</t>
  </si>
  <si>
    <t>McGinn</t>
  </si>
  <si>
    <t>Kortney</t>
  </si>
  <si>
    <t>Hause</t>
  </si>
  <si>
    <t>Mahmoud Ahmed</t>
  </si>
  <si>
    <t>Ibrahim Hassan</t>
  </si>
  <si>
    <t>Trézéguet</t>
  </si>
  <si>
    <t>Tyrone</t>
  </si>
  <si>
    <t>Mings</t>
  </si>
  <si>
    <t>Matt</t>
  </si>
  <si>
    <t>Targett</t>
  </si>
  <si>
    <t>Ollie</t>
  </si>
  <si>
    <t>Watkins</t>
  </si>
  <si>
    <t>Marvelous</t>
  </si>
  <si>
    <t>Nakamba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</si>
  <si>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</si>
  <si>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</si>
  <si>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</si>
  <si>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</si>
  <si>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</si>
  <si>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</si>
  <si>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</si>
  <si>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</si>
  <si>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</si>
  <si>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</si>
  <si>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</si>
  <si>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</si>
  <si>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Young</t>
  </si>
  <si>
    <t>Digne</t>
  </si>
  <si>
    <t>Danny</t>
  </si>
  <si>
    <t>Ings</t>
  </si>
  <si>
    <t>Leon</t>
  </si>
  <si>
    <t>Bailey</t>
  </si>
  <si>
    <t>Jaden</t>
  </si>
  <si>
    <t>Philogene-Bidace</t>
  </si>
  <si>
    <t>Carney</t>
  </si>
  <si>
    <t>Chukwuemeka</t>
  </si>
  <si>
    <t>Cameron</t>
  </si>
  <si>
    <t>Archer</t>
  </si>
  <si>
    <t>Tim</t>
  </si>
  <si>
    <t>Josh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</si>
  <si>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</si>
  <si>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</si>
  <si>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</si>
  <si>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</si>
  <si>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</si>
  <si>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</si>
  <si>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</si>
  <si>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</si>
  <si>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</si>
  <si>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</si>
  <si>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</si>
  <si>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</si>
  <si>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</si>
  <si>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</si>
  <si>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</si>
  <si>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</si>
  <si>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Saman</t>
  </si>
  <si>
    <t>Ghoddos</t>
  </si>
  <si>
    <t>Mathias</t>
  </si>
  <si>
    <t>Jensen</t>
  </si>
  <si>
    <t>Goode</t>
  </si>
  <si>
    <t>Marcus</t>
  </si>
  <si>
    <t>Forss</t>
  </si>
  <si>
    <t>Mads</t>
  </si>
  <si>
    <t>Roerslev Rasmussen</t>
  </si>
  <si>
    <t>Roerslev</t>
  </si>
  <si>
    <t>Bech Sørensen</t>
  </si>
  <si>
    <t>Sørensen</t>
  </si>
  <si>
    <t>Ethan</t>
  </si>
  <si>
    <t>Pinnock</t>
  </si>
  <si>
    <t>Jan</t>
  </si>
  <si>
    <t>Bryan</t>
  </si>
  <si>
    <t>Mbeumo</t>
  </si>
  <si>
    <t>Bidstrup</t>
  </si>
  <si>
    <t>Frank</t>
  </si>
  <si>
    <t>Onyeka</t>
  </si>
  <si>
    <t>Kristoffer</t>
  </si>
  <si>
    <t>Ajer</t>
  </si>
  <si>
    <t>Dominic</t>
  </si>
  <si>
    <t>Thompson</t>
  </si>
  <si>
    <t>Shandon</t>
  </si>
  <si>
    <t>Baptiste</t>
  </si>
  <si>
    <t>Yoane</t>
  </si>
  <si>
    <t>Wissa</t>
  </si>
  <si>
    <t>Álvaro</t>
  </si>
  <si>
    <t>Fernández</t>
  </si>
  <si>
    <t>Finley</t>
  </si>
  <si>
    <t>Stevens</t>
  </si>
  <si>
    <t>Jorgensen</t>
  </si>
  <si>
    <t>Zanka</t>
  </si>
  <si>
    <t>Nathan</t>
  </si>
  <si>
    <t>Adam</t>
  </si>
  <si>
    <t>Lallana</t>
  </si>
  <si>
    <t>BHA</t>
  </si>
  <si>
    <t>Jason</t>
  </si>
  <si>
    <t>Steele</t>
  </si>
  <si>
    <t>Pascal</t>
  </si>
  <si>
    <t>Groß</t>
  </si>
  <si>
    <t>Shane</t>
  </si>
  <si>
    <t>Duffy</t>
  </si>
  <si>
    <t>Dan</t>
  </si>
  <si>
    <t>Burn</t>
  </si>
  <si>
    <t>Lewis</t>
  </si>
  <si>
    <t>Dunk</t>
  </si>
  <si>
    <t>Solomon</t>
  </si>
  <si>
    <t>March</t>
  </si>
  <si>
    <t>Webster</t>
  </si>
  <si>
    <t>Joël</t>
  </si>
  <si>
    <t>Veltman</t>
  </si>
  <si>
    <t>Neal</t>
  </si>
  <si>
    <t>Maupay</t>
  </si>
  <si>
    <t>Leandro</t>
  </si>
  <si>
    <t>Trossard</t>
  </si>
  <si>
    <t>Ryan</t>
  </si>
  <si>
    <t>Bernardo</t>
  </si>
  <si>
    <t>Robert</t>
  </si>
  <si>
    <t>Sánchez</t>
  </si>
  <si>
    <t>Yves</t>
  </si>
  <si>
    <t>Bissouma</t>
  </si>
  <si>
    <t>Steven</t>
  </si>
  <si>
    <t>Alzate</t>
  </si>
  <si>
    <t>Alexis</t>
  </si>
  <si>
    <t>Mac Allister</t>
  </si>
  <si>
    <t>Jakub</t>
  </si>
  <si>
    <t>Moder</t>
  </si>
  <si>
    <t>Welbeck</t>
  </si>
  <si>
    <t>Enock</t>
  </si>
  <si>
    <t>Mwepu</t>
  </si>
  <si>
    <t>Taylor</t>
  </si>
  <si>
    <t>Roberts</t>
  </si>
  <si>
    <t>Marc</t>
  </si>
  <si>
    <t>Cucurella</t>
  </si>
  <si>
    <t>Jeremy</t>
  </si>
  <si>
    <t>Sarmiento</t>
  </si>
  <si>
    <t>Ferguson</t>
  </si>
  <si>
    <t>James</t>
  </si>
  <si>
    <t>Tarkowski</t>
  </si>
  <si>
    <t>BUR</t>
  </si>
  <si>
    <t>Phil</t>
  </si>
  <si>
    <t>Erik</t>
  </si>
  <si>
    <t>Pieters</t>
  </si>
  <si>
    <t>Jack</t>
  </si>
  <si>
    <t>Cork</t>
  </si>
  <si>
    <t>Dale</t>
  </si>
  <si>
    <t>Stephens</t>
  </si>
  <si>
    <t>Kevin</t>
  </si>
  <si>
    <t>Long</t>
  </si>
  <si>
    <t>Jay</t>
  </si>
  <si>
    <t>Rodriguez</t>
  </si>
  <si>
    <t>Barnes</t>
  </si>
  <si>
    <t>Mee</t>
  </si>
  <si>
    <t>Westwood</t>
  </si>
  <si>
    <t>Johann Berg</t>
  </si>
  <si>
    <t>Gudmundsson</t>
  </si>
  <si>
    <t>Lowton</t>
  </si>
  <si>
    <t>Matej</t>
  </si>
  <si>
    <t>Vydra</t>
  </si>
  <si>
    <t>Nick</t>
  </si>
  <si>
    <t>Pope</t>
  </si>
  <si>
    <t>Will</t>
  </si>
  <si>
    <t>Brownhill</t>
  </si>
  <si>
    <t>Dwight</t>
  </si>
  <si>
    <t>McNeil</t>
  </si>
  <si>
    <t>Collins</t>
  </si>
  <si>
    <t>Wayne</t>
  </si>
  <si>
    <t>Hennessey</t>
  </si>
  <si>
    <t>Lennon</t>
  </si>
  <si>
    <t>Maxwel</t>
  </si>
  <si>
    <t>Cornet</t>
  </si>
  <si>
    <t>Connor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</si>
  <si>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</si>
  <si>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</si>
  <si>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</si>
  <si>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</si>
  <si>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</si>
  <si>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</si>
  <si>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</si>
  <si>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</si>
  <si>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</si>
  <si>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</si>
  <si>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</si>
  <si>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Ross</t>
  </si>
  <si>
    <t>Barkley</t>
  </si>
  <si>
    <t>Mateo</t>
  </si>
  <si>
    <t>Kovacic</t>
  </si>
  <si>
    <t>Antonio</t>
  </si>
  <si>
    <t>Rüdiger</t>
  </si>
  <si>
    <t>Kepa</t>
  </si>
  <si>
    <t>Arrizabalaga</t>
  </si>
  <si>
    <t>N'Golo</t>
  </si>
  <si>
    <t>Kanté</t>
  </si>
  <si>
    <t>Hakim</t>
  </si>
  <si>
    <t>Ziyech</t>
  </si>
  <si>
    <t>Ruben</t>
  </si>
  <si>
    <t>Loftus-Cheek</t>
  </si>
  <si>
    <t>Andreas</t>
  </si>
  <si>
    <t>Christensen</t>
  </si>
  <si>
    <t>Timo</t>
  </si>
  <si>
    <t>Werner</t>
  </si>
  <si>
    <t>Benjamin</t>
  </si>
  <si>
    <t>Chilwell</t>
  </si>
  <si>
    <t>Pulisic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</si>
  <si>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</si>
  <si>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</si>
  <si>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</si>
  <si>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</si>
  <si>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</si>
  <si>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</si>
  <si>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</si>
  <si>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</si>
  <si>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Malang</t>
  </si>
  <si>
    <t>Sarr</t>
  </si>
  <si>
    <t>Trevoh</t>
  </si>
  <si>
    <t>Chalobah</t>
  </si>
  <si>
    <t>Romelu</t>
  </si>
  <si>
    <t>Lukaku</t>
  </si>
  <si>
    <t>Saúl</t>
  </si>
  <si>
    <t>Ñíguez</t>
  </si>
  <si>
    <t>Harvey</t>
  </si>
  <si>
    <t>Gallagher</t>
  </si>
  <si>
    <t>CRY</t>
  </si>
  <si>
    <t>Vicente</t>
  </si>
  <si>
    <t>Guaita</t>
  </si>
  <si>
    <t>Tomkins</t>
  </si>
  <si>
    <t>McArthur</t>
  </si>
  <si>
    <t>Benteke</t>
  </si>
  <si>
    <t>Cheikhou</t>
  </si>
  <si>
    <t>Kouyaté</t>
  </si>
  <si>
    <t>Luka</t>
  </si>
  <si>
    <t>Milivojevic</t>
  </si>
  <si>
    <t>Jordan</t>
  </si>
  <si>
    <t>Ayew</t>
  </si>
  <si>
    <t>Wilfried</t>
  </si>
  <si>
    <t>Zaha</t>
  </si>
  <si>
    <t>Jeffrey</t>
  </si>
  <si>
    <t>Schlupp</t>
  </si>
  <si>
    <t>Butland</t>
  </si>
  <si>
    <t>Jairo</t>
  </si>
  <si>
    <t>Riedewald</t>
  </si>
  <si>
    <t>Jean-Philippe</t>
  </si>
  <si>
    <t>Mateta</t>
  </si>
  <si>
    <t>Eberechi</t>
  </si>
  <si>
    <t>Eze</t>
  </si>
  <si>
    <t>Tyrick</t>
  </si>
  <si>
    <t>Mitchell</t>
  </si>
  <si>
    <t>Hughes</t>
  </si>
  <si>
    <t>Michael</t>
  </si>
  <si>
    <t>Olise</t>
  </si>
  <si>
    <t>Joel</t>
  </si>
  <si>
    <t>Ward</t>
  </si>
  <si>
    <t>Guéhi</t>
  </si>
  <si>
    <t>Joachim</t>
  </si>
  <si>
    <t>Andersen</t>
  </si>
  <si>
    <t>Nathaniel</t>
  </si>
  <si>
    <t>Clyne</t>
  </si>
  <si>
    <t>Jesurun</t>
  </si>
  <si>
    <t>Rak-Sakyi</t>
  </si>
  <si>
    <t>Scott</t>
  </si>
  <si>
    <t>Odsonne</t>
  </si>
  <si>
    <t>Fabian</t>
  </si>
  <si>
    <t>Delph</t>
  </si>
  <si>
    <t>EVE</t>
  </si>
  <si>
    <t>Seamus</t>
  </si>
  <si>
    <t>Coleman</t>
  </si>
  <si>
    <t>Keane</t>
  </si>
  <si>
    <t>Pickford</t>
  </si>
  <si>
    <t>Allan</t>
  </si>
  <si>
    <t>Marques Loureiro</t>
  </si>
  <si>
    <t>André Filipe</t>
  </si>
  <si>
    <t>Tavares Gomes</t>
  </si>
  <si>
    <t>André Gomes</t>
  </si>
  <si>
    <t>Abdoulaye</t>
  </si>
  <si>
    <t>Doucouré</t>
  </si>
  <si>
    <t>Alex</t>
  </si>
  <si>
    <t>Iwobi</t>
  </si>
  <si>
    <t>Yerry</t>
  </si>
  <si>
    <t>Mina</t>
  </si>
  <si>
    <t>Tom</t>
  </si>
  <si>
    <t>Davies</t>
  </si>
  <si>
    <t>Calvert-Lewin</t>
  </si>
  <si>
    <t>Holgate</t>
  </si>
  <si>
    <t>Godfrey</t>
  </si>
  <si>
    <t>Richarlison</t>
  </si>
  <si>
    <t>de Andrade</t>
  </si>
  <si>
    <t>Asmir</t>
  </si>
  <si>
    <t>Begović</t>
  </si>
  <si>
    <t>Andros</t>
  </si>
  <si>
    <t>Townsend</t>
  </si>
  <si>
    <t>Demarai</t>
  </si>
  <si>
    <t>Gray</t>
  </si>
  <si>
    <t>Jonjoe</t>
  </si>
  <si>
    <t>Kenny</t>
  </si>
  <si>
    <t>Anthony</t>
  </si>
  <si>
    <t>Gordon</t>
  </si>
  <si>
    <t>Gbamin</t>
  </si>
  <si>
    <t>Salomón</t>
  </si>
  <si>
    <t>Rondón</t>
  </si>
  <si>
    <t>Dobbin</t>
  </si>
  <si>
    <t>Harry</t>
  </si>
  <si>
    <t>Cenk</t>
  </si>
  <si>
    <t>Tosun</t>
  </si>
  <si>
    <t>Tyler</t>
  </si>
  <si>
    <t>Onyango</t>
  </si>
  <si>
    <t>Kasper</t>
  </si>
  <si>
    <t>Schmeichel</t>
  </si>
  <si>
    <t>LEI</t>
  </si>
  <si>
    <t>Jonny</t>
  </si>
  <si>
    <t>Evans</t>
  </si>
  <si>
    <t>Albrighton</t>
  </si>
  <si>
    <t>Jamie</t>
  </si>
  <si>
    <t>Vardy</t>
  </si>
  <si>
    <t>Dennis</t>
  </si>
  <si>
    <t>Ricardo Domingos</t>
  </si>
  <si>
    <t>Barbosa Pereira</t>
  </si>
  <si>
    <t>Pereira</t>
  </si>
  <si>
    <t>Daniel</t>
  </si>
  <si>
    <t>Amartey</t>
  </si>
  <si>
    <t>Timothy</t>
  </si>
  <si>
    <t>Castagne</t>
  </si>
  <si>
    <t>Youri</t>
  </si>
  <si>
    <t>Tielemans</t>
  </si>
  <si>
    <t>Ayoze</t>
  </si>
  <si>
    <t>Pérez</t>
  </si>
  <si>
    <t>Maddison</t>
  </si>
  <si>
    <t>Kelechi</t>
  </si>
  <si>
    <t>Iheanacho</t>
  </si>
  <si>
    <t>Hamza</t>
  </si>
  <si>
    <t>Choudhury</t>
  </si>
  <si>
    <t>Wilfred</t>
  </si>
  <si>
    <t>Ndidi</t>
  </si>
  <si>
    <t>Çaglar</t>
  </si>
  <si>
    <t>Söyüncü</t>
  </si>
  <si>
    <t>Luke</t>
  </si>
  <si>
    <t>Jannik</t>
  </si>
  <si>
    <t>Vestergaard</t>
  </si>
  <si>
    <t>Patson</t>
  </si>
  <si>
    <t>Daka</t>
  </si>
  <si>
    <t>Boubakary</t>
  </si>
  <si>
    <t>Soumaré</t>
  </si>
  <si>
    <t>Kiernan</t>
  </si>
  <si>
    <t>Dewsbury-Hall</t>
  </si>
  <si>
    <t>Ademola</t>
  </si>
  <si>
    <t>Lookman</t>
  </si>
  <si>
    <t>Kasey</t>
  </si>
  <si>
    <t>McAteer</t>
  </si>
  <si>
    <t>LEE</t>
  </si>
  <si>
    <t>Francisco</t>
  </si>
  <si>
    <t>Liam</t>
  </si>
  <si>
    <t>Cooper</t>
  </si>
  <si>
    <t>Ayling</t>
  </si>
  <si>
    <t>Mateusz</t>
  </si>
  <si>
    <t>Klich</t>
  </si>
  <si>
    <t>Rodrigo</t>
  </si>
  <si>
    <t>Moreno</t>
  </si>
  <si>
    <t>Stuart</t>
  </si>
  <si>
    <t>Dallas</t>
  </si>
  <si>
    <t>Patrick</t>
  </si>
  <si>
    <t>Bamford</t>
  </si>
  <si>
    <t>Diego</t>
  </si>
  <si>
    <t>Llorente</t>
  </si>
  <si>
    <t>Kalvin</t>
  </si>
  <si>
    <t>Phillips</t>
  </si>
  <si>
    <t>Robin</t>
  </si>
  <si>
    <t>Koch</t>
  </si>
  <si>
    <t>Raphael</t>
  </si>
  <si>
    <t>Dias Belloli</t>
  </si>
  <si>
    <t>Raphinha</t>
  </si>
  <si>
    <t>Shackleton</t>
  </si>
  <si>
    <t>Struijk</t>
  </si>
  <si>
    <t>Illan</t>
  </si>
  <si>
    <t>Meslier</t>
  </si>
  <si>
    <t>Harrison</t>
  </si>
  <si>
    <t>Héctor Junior</t>
  </si>
  <si>
    <t>Firpo Adames</t>
  </si>
  <si>
    <t>Firpo</t>
  </si>
  <si>
    <t>Sam</t>
  </si>
  <si>
    <t>Greenwood</t>
  </si>
  <si>
    <t>Crysencio</t>
  </si>
  <si>
    <t>Summerville</t>
  </si>
  <si>
    <t>Forshaw</t>
  </si>
  <si>
    <t>Cresswell</t>
  </si>
  <si>
    <t>McCarron</t>
  </si>
  <si>
    <t>Joe</t>
  </si>
  <si>
    <t>Gelhardt</t>
  </si>
  <si>
    <t>McKinstry</t>
  </si>
  <si>
    <t>Milner</t>
  </si>
  <si>
    <t>LIV</t>
  </si>
  <si>
    <t>Henderson</t>
  </si>
  <si>
    <t>Matip</t>
  </si>
  <si>
    <t>Alcántara do Nascimento</t>
  </si>
  <si>
    <t>Oxlade-Chamberlain</t>
  </si>
  <si>
    <t>Chamberlain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</si>
  <si>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</si>
  <si>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</si>
  <si>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</si>
  <si>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</si>
  <si>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</si>
  <si>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</si>
  <si>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</si>
  <si>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</si>
  <si>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</si>
  <si>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</si>
  <si>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Andrew</t>
  </si>
  <si>
    <t>Robertson</t>
  </si>
  <si>
    <t>Divock</t>
  </si>
  <si>
    <t>Origi</t>
  </si>
  <si>
    <t>Takumi</t>
  </si>
  <si>
    <t>Minamino</t>
  </si>
  <si>
    <t>Trent</t>
  </si>
  <si>
    <t>Alexander-Arnold</t>
  </si>
  <si>
    <t>Joseph</t>
  </si>
  <si>
    <t>Gomez</t>
  </si>
  <si>
    <t>Naby</t>
  </si>
  <si>
    <t>Keita</t>
  </si>
  <si>
    <t>Diogo</t>
  </si>
  <si>
    <t>Jota</t>
  </si>
  <si>
    <t>Caoimhin</t>
  </si>
  <si>
    <t>Kelleher</t>
  </si>
  <si>
    <t>Ibrahima</t>
  </si>
  <si>
    <t>Konaté</t>
  </si>
  <si>
    <t>Curtis</t>
  </si>
  <si>
    <t>Jones</t>
  </si>
  <si>
    <t>Tsimikas</t>
  </si>
  <si>
    <t>Neco</t>
  </si>
  <si>
    <t>Williams</t>
  </si>
  <si>
    <t>N.Williams</t>
  </si>
  <si>
    <t>Elliott</t>
  </si>
  <si>
    <t>Morton</t>
  </si>
  <si>
    <t>Grealish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</si>
  <si>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</si>
  <si>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</si>
  <si>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</si>
  <si>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</si>
  <si>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</si>
  <si>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</si>
  <si>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</si>
  <si>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</si>
  <si>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</si>
  <si>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</si>
  <si>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</si>
  <si>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</si>
  <si>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</si>
  <si>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</si>
  <si>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</si>
  <si>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Aké</t>
  </si>
  <si>
    <t>Aymeric</t>
  </si>
  <si>
    <t>Laporte</t>
  </si>
  <si>
    <t>Zack</t>
  </si>
  <si>
    <t>Steffen</t>
  </si>
  <si>
    <t>Bernardo Mota</t>
  </si>
  <si>
    <t>Veiga de Carvalho e Silva</t>
  </si>
  <si>
    <t>Rúben Santos</t>
  </si>
  <si>
    <t>Gato Alves Dias</t>
  </si>
  <si>
    <t>Dias</t>
  </si>
  <si>
    <t>Gabriel Fernando</t>
  </si>
  <si>
    <t>de Jesus</t>
  </si>
  <si>
    <t>Jesus</t>
  </si>
  <si>
    <t>Oleksandr</t>
  </si>
  <si>
    <t>Zinchenko</t>
  </si>
  <si>
    <t>Foden</t>
  </si>
  <si>
    <t>Hernandez</t>
  </si>
  <si>
    <t>Fernando</t>
  </si>
  <si>
    <t>Luiz Rosa</t>
  </si>
  <si>
    <t>Fernandinho</t>
  </si>
  <si>
    <t>Cole</t>
  </si>
  <si>
    <t>Palmer</t>
  </si>
  <si>
    <t>Joshua</t>
  </si>
  <si>
    <t>McAtee</t>
  </si>
  <si>
    <t>Edinson</t>
  </si>
  <si>
    <t>Cavani</t>
  </si>
  <si>
    <t>MUN</t>
  </si>
  <si>
    <t>de Gea</t>
  </si>
  <si>
    <t>Nemanja</t>
  </si>
  <si>
    <t>Matic</t>
  </si>
  <si>
    <t>Paul</t>
  </si>
  <si>
    <t>Pogba</t>
  </si>
  <si>
    <t>Maguire</t>
  </si>
  <si>
    <t>Frederico</t>
  </si>
  <si>
    <t>Rodrigues de Paula Santos</t>
  </si>
  <si>
    <t>Fred</t>
  </si>
  <si>
    <t>Shaw</t>
  </si>
  <si>
    <t>Jesse</t>
  </si>
  <si>
    <t>Lingard</t>
  </si>
  <si>
    <t>Bruno Miguel</t>
  </si>
  <si>
    <t>Borges Fernandes</t>
  </si>
  <si>
    <t>Fernandes</t>
  </si>
  <si>
    <t>Martial</t>
  </si>
  <si>
    <t>Alex Nicolao</t>
  </si>
  <si>
    <t>Telles</t>
  </si>
  <si>
    <t>Rashford</t>
  </si>
  <si>
    <t>Donny</t>
  </si>
  <si>
    <t>van de Beek</t>
  </si>
  <si>
    <t>Victor</t>
  </si>
  <si>
    <t>Lindelöf</t>
  </si>
  <si>
    <t>McTominay</t>
  </si>
  <si>
    <t>Eric</t>
  </si>
  <si>
    <t>Bailly</t>
  </si>
  <si>
    <t>Wan-Bissaka</t>
  </si>
  <si>
    <t>Jadon</t>
  </si>
  <si>
    <t>Sancho</t>
  </si>
  <si>
    <t>José Diogo</t>
  </si>
  <si>
    <t>Dalot Teixeira</t>
  </si>
  <si>
    <t>Dalot</t>
  </si>
  <si>
    <t>Elanga</t>
  </si>
  <si>
    <t>Raphaël</t>
  </si>
  <si>
    <t>Varane</t>
  </si>
  <si>
    <t>Cristiano Ronaldo</t>
  </si>
  <si>
    <t>dos Santos Aveiro</t>
  </si>
  <si>
    <t>Ronaldo</t>
  </si>
  <si>
    <t>Diallo</t>
  </si>
  <si>
    <t>Willock</t>
  </si>
  <si>
    <t>NEW</t>
  </si>
  <si>
    <t>Chris</t>
  </si>
  <si>
    <t>Wood</t>
  </si>
  <si>
    <t>Jonjo</t>
  </si>
  <si>
    <t>Shelvey</t>
  </si>
  <si>
    <t>Ritchie</t>
  </si>
  <si>
    <t>Ciaran</t>
  </si>
  <si>
    <t>Clark</t>
  </si>
  <si>
    <t>Darlow</t>
  </si>
  <si>
    <t>Dubravka</t>
  </si>
  <si>
    <t>Wilson</t>
  </si>
  <si>
    <t>Jeff</t>
  </si>
  <si>
    <t>Hendrick</t>
  </si>
  <si>
    <t>Fraser</t>
  </si>
  <si>
    <t>Jamaal</t>
  </si>
  <si>
    <t>Lascelles</t>
  </si>
  <si>
    <t>Gayle</t>
  </si>
  <si>
    <t>Javier</t>
  </si>
  <si>
    <t>Manquillo</t>
  </si>
  <si>
    <t>Emil</t>
  </si>
  <si>
    <t>Krafth</t>
  </si>
  <si>
    <t>Murphy</t>
  </si>
  <si>
    <t>Schär</t>
  </si>
  <si>
    <t>Isaac</t>
  </si>
  <si>
    <t>Hayden</t>
  </si>
  <si>
    <t>Saint-Maximin</t>
  </si>
  <si>
    <t>Miguel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</si>
  <si>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</si>
  <si>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</si>
  <si>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</si>
  <si>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</si>
  <si>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</si>
  <si>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</si>
  <si>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</si>
  <si>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Jamal</t>
  </si>
  <si>
    <t>Federico</t>
  </si>
  <si>
    <t>Freddie</t>
  </si>
  <si>
    <t>Woodman</t>
  </si>
  <si>
    <t>Mark</t>
  </si>
  <si>
    <t>Billy</t>
  </si>
  <si>
    <t>Gilmour</t>
  </si>
  <si>
    <t>NOR</t>
  </si>
  <si>
    <t>Brandon</t>
  </si>
  <si>
    <t>Krul</t>
  </si>
  <si>
    <t>Teemu</t>
  </si>
  <si>
    <t>Pukki</t>
  </si>
  <si>
    <t>Lukas</t>
  </si>
  <si>
    <t>Rupp</t>
  </si>
  <si>
    <t>McLean</t>
  </si>
  <si>
    <t>Grant</t>
  </si>
  <si>
    <t>Hanley</t>
  </si>
  <si>
    <t>Dowell</t>
  </si>
  <si>
    <t>Todd</t>
  </si>
  <si>
    <t>Cantwell</t>
  </si>
  <si>
    <t>Max</t>
  </si>
  <si>
    <t>Aarons</t>
  </si>
  <si>
    <t>Przemyslaw</t>
  </si>
  <si>
    <t>Placheta</t>
  </si>
  <si>
    <t>Idah</t>
  </si>
  <si>
    <t>Omobamidele</t>
  </si>
  <si>
    <t>Angus</t>
  </si>
  <si>
    <t>Gunn</t>
  </si>
  <si>
    <t>Milot</t>
  </si>
  <si>
    <t>Rashica</t>
  </si>
  <si>
    <t>Gibson</t>
  </si>
  <si>
    <t>Dimitris</t>
  </si>
  <si>
    <t>Giannoulis</t>
  </si>
  <si>
    <t>Pierre</t>
  </si>
  <si>
    <t>Lees-Melou</t>
  </si>
  <si>
    <t>Sargent</t>
  </si>
  <si>
    <t>Christos</t>
  </si>
  <si>
    <t>Tzolis</t>
  </si>
  <si>
    <t>Ozan</t>
  </si>
  <si>
    <t>Kabak</t>
  </si>
  <si>
    <t>Normann</t>
  </si>
  <si>
    <t>Jonathan</t>
  </si>
  <si>
    <t>Rowe</t>
  </si>
  <si>
    <t>Theo</t>
  </si>
  <si>
    <t>Walcott</t>
  </si>
  <si>
    <t>SOU</t>
  </si>
  <si>
    <t>Forster</t>
  </si>
  <si>
    <t>McCarthy</t>
  </si>
  <si>
    <t>Oriol</t>
  </si>
  <si>
    <t>Romeu Vidal</t>
  </si>
  <si>
    <t>Romeu</t>
  </si>
  <si>
    <t>Redmond</t>
  </si>
  <si>
    <t>Armstrong</t>
  </si>
  <si>
    <t>S.Armstrong</t>
  </si>
  <si>
    <t>Ward-Prowse</t>
  </si>
  <si>
    <t>Walker-Peters</t>
  </si>
  <si>
    <t>Bednarek</t>
  </si>
  <si>
    <t>Che</t>
  </si>
  <si>
    <t>Adams</t>
  </si>
  <si>
    <t>Tella</t>
  </si>
  <si>
    <t>Moussa</t>
  </si>
  <si>
    <t>Djenepo</t>
  </si>
  <si>
    <t>Mohammed</t>
  </si>
  <si>
    <t>Salisu</t>
  </si>
  <si>
    <t>Romain</t>
  </si>
  <si>
    <t>Perraud</t>
  </si>
  <si>
    <t>Tino</t>
  </si>
  <si>
    <t>Livramento</t>
  </si>
  <si>
    <t>Elyounoussi</t>
  </si>
  <si>
    <t>Armando</t>
  </si>
  <si>
    <t>Broja</t>
  </si>
  <si>
    <t>A.Armstrong</t>
  </si>
  <si>
    <t>Yan</t>
  </si>
  <si>
    <t>Valery</t>
  </si>
  <si>
    <t>Lyanco Evangelista</t>
  </si>
  <si>
    <t>Silveira Neves Vojnovic</t>
  </si>
  <si>
    <t>Lyanco</t>
  </si>
  <si>
    <t>Willy</t>
  </si>
  <si>
    <t>Caballero</t>
  </si>
  <si>
    <t>TOT</t>
  </si>
  <si>
    <t>Hugo</t>
  </si>
  <si>
    <t>Lloris</t>
  </si>
  <si>
    <t>Kane</t>
  </si>
  <si>
    <t>Heung-Min</t>
  </si>
  <si>
    <t>Son</t>
  </si>
  <si>
    <t>Doherty</t>
  </si>
  <si>
    <t>Dier</t>
  </si>
  <si>
    <t>Rodrigues Moura da Silva</t>
  </si>
  <si>
    <t>Lucas Moura</t>
  </si>
  <si>
    <t>Bamidele</t>
  </si>
  <si>
    <t>Alli</t>
  </si>
  <si>
    <t>Dele</t>
  </si>
  <si>
    <t>Pierre-Emile</t>
  </si>
  <si>
    <t>Højbjerg</t>
  </si>
  <si>
    <t>Winks</t>
  </si>
  <si>
    <t>Davinson</t>
  </si>
  <si>
    <t>Sessegnon</t>
  </si>
  <si>
    <t>Bergwijn</t>
  </si>
  <si>
    <t>Sergio</t>
  </si>
  <si>
    <t>Reguilón</t>
  </si>
  <si>
    <t>Japhet</t>
  </si>
  <si>
    <t>Tanganga</t>
  </si>
  <si>
    <t>Giovani</t>
  </si>
  <si>
    <t>Lo Celso</t>
  </si>
  <si>
    <t>Oliver</t>
  </si>
  <si>
    <t>Skipp</t>
  </si>
  <si>
    <t>Rodon</t>
  </si>
  <si>
    <t>Tanguy</t>
  </si>
  <si>
    <t>Ndombele</t>
  </si>
  <si>
    <t>Gil Salvatierra</t>
  </si>
  <si>
    <t>Cristian</t>
  </si>
  <si>
    <t>Romero</t>
  </si>
  <si>
    <t>Emerson Aparecido</t>
  </si>
  <si>
    <t>Leite de Souza Junior</t>
  </si>
  <si>
    <t>Emerson Royal</t>
  </si>
  <si>
    <t>Sissoko</t>
  </si>
  <si>
    <t>WAT</t>
  </si>
  <si>
    <t>Foster</t>
  </si>
  <si>
    <t>Rose</t>
  </si>
  <si>
    <t>Gosling</t>
  </si>
  <si>
    <t>Craig</t>
  </si>
  <si>
    <t>Cathcart</t>
  </si>
  <si>
    <t>Cleverley</t>
  </si>
  <si>
    <t>Femenía Far</t>
  </si>
  <si>
    <t>Femenía</t>
  </si>
  <si>
    <t>Kabasele</t>
  </si>
  <si>
    <t>Troost-Ekong</t>
  </si>
  <si>
    <t>Bachmann</t>
  </si>
  <si>
    <t>Masina</t>
  </si>
  <si>
    <t>Ken</t>
  </si>
  <si>
    <t>Sema</t>
  </si>
  <si>
    <t>Fletcher</t>
  </si>
  <si>
    <t>Sierralta</t>
  </si>
  <si>
    <t>Ismaila</t>
  </si>
  <si>
    <t>Ngakia</t>
  </si>
  <si>
    <t>Imrân</t>
  </si>
  <si>
    <t>Louza</t>
  </si>
  <si>
    <t>João Pedro</t>
  </si>
  <si>
    <t>Junqueira de Jesus</t>
  </si>
  <si>
    <t>Emmanuel</t>
  </si>
  <si>
    <t>Oghenekaro Peter</t>
  </si>
  <si>
    <t>Etebo</t>
  </si>
  <si>
    <t>King</t>
  </si>
  <si>
    <t>Juan Camilo</t>
  </si>
  <si>
    <t>Hernández Suárez</t>
  </si>
  <si>
    <t>Cucho</t>
  </si>
  <si>
    <t>Juraj</t>
  </si>
  <si>
    <t>Kucka</t>
  </si>
  <si>
    <t>Tufan</t>
  </si>
  <si>
    <t>Nkoulou</t>
  </si>
  <si>
    <t>Kurt</t>
  </si>
  <si>
    <t>Zouma</t>
  </si>
  <si>
    <t>WHU</t>
  </si>
  <si>
    <t>Noble</t>
  </si>
  <si>
    <t>Lukasz</t>
  </si>
  <si>
    <t>Fabianski</t>
  </si>
  <si>
    <t>Angelo</t>
  </si>
  <si>
    <t>Ogbonna</t>
  </si>
  <si>
    <t>Andriy</t>
  </si>
  <si>
    <t>Yarmolenko</t>
  </si>
  <si>
    <t>Michail</t>
  </si>
  <si>
    <t>Dawson</t>
  </si>
  <si>
    <t>Fredericks</t>
  </si>
  <si>
    <t>Manuel</t>
  </si>
  <si>
    <t>Lanzini</t>
  </si>
  <si>
    <t>Masuaku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</si>
  <si>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</si>
  <si>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</si>
  <si>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</si>
  <si>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</si>
  <si>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</si>
  <si>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</si>
  <si>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</si>
  <si>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</si>
  <si>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</si>
  <si>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</si>
  <si>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</si>
  <si>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Issa</t>
  </si>
  <si>
    <t>Diop</t>
  </si>
  <si>
    <t>Johnson</t>
  </si>
  <si>
    <t>Nikola</t>
  </si>
  <si>
    <t>Vlasic</t>
  </si>
  <si>
    <t>Kral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</si>
  <si>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</si>
  <si>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</si>
  <si>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</si>
  <si>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</si>
  <si>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</si>
  <si>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</si>
  <si>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</si>
  <si>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</si>
  <si>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</si>
  <si>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Leander</t>
  </si>
  <si>
    <t>Dendoncker</t>
  </si>
  <si>
    <t>Adama</t>
  </si>
  <si>
    <t>Rúben Diogo</t>
  </si>
  <si>
    <t>da Silva Neves</t>
  </si>
  <si>
    <t>Neves</t>
  </si>
  <si>
    <t>Nélson</t>
  </si>
  <si>
    <t>Cabral Semedo</t>
  </si>
  <si>
    <t>Semedo</t>
  </si>
  <si>
    <t>Castelo Podence</t>
  </si>
  <si>
    <t>Podence</t>
  </si>
  <si>
    <t>Kilman</t>
  </si>
  <si>
    <t>Ki-Jana</t>
  </si>
  <si>
    <t>Hoever</t>
  </si>
  <si>
    <t>Fabio</t>
  </si>
  <si>
    <t>Silva</t>
  </si>
  <si>
    <t>Fabio Silva</t>
  </si>
  <si>
    <t>Machado Mota de Castro Trincão</t>
  </si>
  <si>
    <t>Trincão</t>
  </si>
  <si>
    <t>Rayan</t>
  </si>
  <si>
    <t>Ait Nouri</t>
  </si>
  <si>
    <t>José</t>
  </si>
  <si>
    <t>Malheiro de Sá</t>
  </si>
  <si>
    <t>Sá</t>
  </si>
  <si>
    <t>Hee-Chan</t>
  </si>
  <si>
    <t>Hwang</t>
  </si>
  <si>
    <t>Plays</t>
  </si>
  <si>
    <t>PP</t>
  </si>
  <si>
    <t>APP</t>
  </si>
  <si>
    <t>ARIMAPP</t>
  </si>
  <si>
    <t>LSTMPP</t>
  </si>
  <si>
    <t>Total Games</t>
  </si>
  <si>
    <t>APPG</t>
  </si>
  <si>
    <t>Tot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</si>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</sst>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1" fillId="3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0" fontId="1" fillId="3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</cellXfs>
  <cellStyles count="1">
    <cellStyle name="Normal" xfId="0" builtinId="0"/>
  </cellStyles>
  <dxfs count="3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F9BAC-27F1-4920-B99C-7E9775797277}" name="Table1" displayName="Table1" ref="A1:J455" totalsRowShown="0">
  <autoFilter ref="A1:J455" xr:uid="{8EEF9BAC-27F1-4920-B99C-7E9775797277}"/>
  <sortState xmlns:xlrd2="http://schemas.microsoft.com/office/spreadsheetml/2017/richdata2" ref="A2:J455">
    <sortCondition ref="E1:E455"/>
  </sortState>
  <tableColumns count="10">
    <tableColumn id="1" xr3:uid="{30B676D1-6324-4C6A-B589-49261ADE6D52}" name="First Name"/>
    <tableColumn id="2" xr3:uid="{424A21C8-659F-419A-92EB-E78927537DA2}" name="Surname"/>
    <tableColumn id="3" xr3:uid="{5E007F63-1082-47FC-BA8A-E1CB0ADD668E}" name="Web Name"/>
    <tableColumn id="4" xr3:uid="{3D72C2F6-F390-4EC0-AACF-94B8A405009B}" name="Position"/>
    <tableColumn id="5" xr3:uid="{AECCEB98-0238-4F02-A80D-CB02400B894A}" name="Team"/>
    <tableColumn id="6" xr3:uid="{BC176063-CDEC-4882-A4D0-C2EC2AE55FAF}" name="ARIMAPP"/>
    <tableColumn id="7" xr3:uid="{31C5D4C5-BB6B-4857-AEC2-199DCA2C85AD}" name="LSTMPP"/>
    <tableColumn id="8" xr3:uid="{69D08A1F-D867-4FC3-9202-319F2B648CFD}" name="PP"/>
    <tableColumn id="10" xr3:uid="{B5260E28-C856-43FD-AE72-EE679373B58E}" name="Plays"/>
    <tableColumn id="9" xr3:uid="{E7EFDEBE-7E59-4859-9A77-CB08E243CF14}" name="AP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0FBEAA9-830C-4794-9662-3493B4B0D9DE}" name="Table22" displayName="Table22" ref="A1:K24" totalsRowShown="0" headerRowDxfId="308" dataDxfId="309" headerRowBorderDxfId="318" tableBorderDxfId="319" totalsRowBorderDxfId="317">
  <autoFilter ref="A1:K24" xr:uid="{40FBEAA9-830C-4794-9662-3493B4B0D9DE}"/>
  <tableColumns count="11">
    <tableColumn id="1" xr3:uid="{A645F1D8-FF00-40CA-88B9-8EC061568562}" name="Web Name" dataDxfId="316"/>
    <tableColumn id="2" xr3:uid="{450743AC-965D-4255-BE0E-B957A5E622CE}" name="Position" dataDxfId="315"/>
    <tableColumn id="3" xr3:uid="{46F01065-9CFF-4F43-910E-AC8E83E0269B}" name="Team" dataDxfId="314"/>
    <tableColumn id="4" xr3:uid="{158B310A-C475-440A-AD2F-FD4B5AAD7B62}" name="ARIMAPP" dataDxfId="313"/>
    <tableColumn id="5" xr3:uid="{6AD43AF1-F5CA-48A6-A7EF-35CE7FA9E985}" name="LSTMPP" dataDxfId="312"/>
    <tableColumn id="6" xr3:uid="{5F824D8B-FC12-435A-945E-A44DDD77DBA5}" name="PP" dataDxfId="61">
      <calculatedColumnFormula>Table22[[#This Row],[ARIMAPP]]*$N$5+Table22[[#This Row],[LSTMPP]]*$N$6</calculatedColumnFormula>
    </tableColumn>
    <tableColumn id="14" xr3:uid="{9624F20E-0BE2-4E49-BFA4-B5FDFCF78189}" name="PPG" dataDxfId="60">
      <calculatedColumnFormula>Table22[[#This Row],[PP]]/$N$2</calculatedColumnFormula>
    </tableColumn>
    <tableColumn id="7" xr3:uid="{4EC7C807-CE56-4E33-9DF8-5EE2B34E2B35}" name="Plays" dataDxfId="311"/>
    <tableColumn id="15" xr3:uid="{E4BAA830-9D2E-45A0-92F6-A9B84348A563}" name="Tot" dataDxfId="59">
      <calculatedColumnFormula>Table22[[#This Row],[PPG]]*Table22[[#This Row],[Plays]]</calculatedColumnFormula>
    </tableColumn>
    <tableColumn id="8" xr3:uid="{CE64B042-13C3-41CE-AFAC-58F146E00D31}" name="APP" dataDxfId="310"/>
    <tableColumn id="16" xr3:uid="{A6255C45-A1A4-4505-B8BB-6CC35DED15F0}" name="APPG" dataDxfId="58">
      <calculatedColumnFormula>Table22[[#This Row],[APP]]/Table22[[#This Row],[Plays]]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2E6873C-E201-433F-95EE-35831A030F15}" name="Table23" displayName="Table23" ref="A1:K23" totalsRowShown="0" headerRowDxfId="295" dataDxfId="296" headerRowBorderDxfId="306" tableBorderDxfId="307" totalsRowBorderDxfId="305">
  <autoFilter ref="A1:K23" xr:uid="{E2E6873C-E201-433F-95EE-35831A030F15}"/>
  <tableColumns count="11">
    <tableColumn id="1" xr3:uid="{D6501F33-0373-4336-9125-A49F14562291}" name="Web Name" dataDxfId="304"/>
    <tableColumn id="2" xr3:uid="{1D7E1851-040D-4F75-9DF5-61CDA6AA84F6}" name="Position" dataDxfId="303"/>
    <tableColumn id="3" xr3:uid="{308129D5-B975-49F6-AB05-5F79CCC0067F}" name="Team" dataDxfId="302"/>
    <tableColumn id="4" xr3:uid="{90D2D1E9-2536-440C-B455-7842835E6917}" name="ARIMAPP" dataDxfId="301"/>
    <tableColumn id="5" xr3:uid="{BC8A95BD-4DE4-4DFB-8393-306A38DEF3A5}" name="LSTMPP" dataDxfId="300"/>
    <tableColumn id="6" xr3:uid="{0C843965-4467-4602-AB13-14287326EFD2}" name="PP" dataDxfId="299">
      <calculatedColumnFormula>Table23[[#This Row],[ARIMAPP]]*$N$5+Table23[[#This Row],[LSTMPP]]*$N$6</calculatedColumnFormula>
    </tableColumn>
    <tableColumn id="9" xr3:uid="{FCE112E4-5CBD-424F-B2AC-66BB1D79AAE0}" name="PPG" dataDxfId="57">
      <calculatedColumnFormula>Table23[[#This Row],[PP]]/$N$2</calculatedColumnFormula>
    </tableColumn>
    <tableColumn id="7" xr3:uid="{2B44F941-7C6E-4633-BD29-049002A2688D}" name="Plays" dataDxfId="298"/>
    <tableColumn id="10" xr3:uid="{13697353-B299-47F3-AE26-70A32ECF0896}" name="Tot" dataDxfId="56">
      <calculatedColumnFormula>Table23[[#This Row],[PPG]]*Table23[[#This Row],[Plays]]</calculatedColumnFormula>
    </tableColumn>
    <tableColumn id="8" xr3:uid="{30243541-18E4-46B4-9652-ACCB1688B2BA}" name="APP" dataDxfId="297"/>
    <tableColumn id="11" xr3:uid="{9DED8931-F1B6-4230-A092-1D35F13AE740}" name="APPG" dataDxfId="55">
      <calculatedColumnFormula>Table23[[#This Row],[APP]]/Table23[[#This Row],[Plays]]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7AE89AD-6FF9-461C-81C7-E7F6F17259FE}" name="Table25" displayName="Table25" ref="A1:K25" totalsRowShown="0" headerRowDxfId="269" dataDxfId="270" headerRowBorderDxfId="280" tableBorderDxfId="281" totalsRowBorderDxfId="279">
  <autoFilter ref="A1:K25" xr:uid="{B7AE89AD-6FF9-461C-81C7-E7F6F17259FE}"/>
  <tableColumns count="11">
    <tableColumn id="1" xr3:uid="{01968E01-EF03-4F88-8350-74E17CF862B0}" name="Web Name" dataDxfId="278"/>
    <tableColumn id="2" xr3:uid="{12E30478-F65B-4F14-ABE4-EF6C11D96E1B}" name="Position" dataDxfId="277"/>
    <tableColumn id="3" xr3:uid="{26A99C78-FCF2-4D95-8840-2E9BEFAF0D8A}" name="Team" dataDxfId="276"/>
    <tableColumn id="4" xr3:uid="{38DA7667-ECE5-420B-8A60-9B5C831948D2}" name="ARIMAPP" dataDxfId="275"/>
    <tableColumn id="5" xr3:uid="{D6144103-DD12-45D7-A10A-88571F1343CC}" name="LSTMPP" dataDxfId="274"/>
    <tableColumn id="6" xr3:uid="{27B0A91E-4C53-4158-8961-89A62029826E}" name="PP" dataDxfId="273">
      <calculatedColumnFormula>Table25[[#This Row],[ARIMAPP]]*$N$5+Table25[[#This Row],[LSTMPP]]*$N$6</calculatedColumnFormula>
    </tableColumn>
    <tableColumn id="9" xr3:uid="{CE65D629-3F30-4423-8EDA-0AF45FB5FA1B}" name="PPG" dataDxfId="54">
      <calculatedColumnFormula>Table25[[#This Row],[PP]]/$N$2</calculatedColumnFormula>
    </tableColumn>
    <tableColumn id="7" xr3:uid="{024AD739-7FBA-479A-9351-8400B8F1DC64}" name="Plays" dataDxfId="272"/>
    <tableColumn id="10" xr3:uid="{6F2350F2-14EC-4C0B-A9A6-096E0E8157D3}" name="Tot" dataDxfId="53">
      <calculatedColumnFormula>Table25[[#This Row],[PPG]]*Table25[[#This Row],[Plays]]</calculatedColumnFormula>
    </tableColumn>
    <tableColumn id="8" xr3:uid="{DA76A3AD-E35F-4144-937B-0221E0C0F7D8}" name="APP" dataDxfId="271"/>
    <tableColumn id="11" xr3:uid="{874739D8-113D-4DA6-A88F-5BDE8E93F3D2}" name="APPG" dataDxfId="52">
      <calculatedColumnFormula>Table25[[#This Row],[APP]]/Table25[[#This Row],[Plays]]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D779557-AFC2-48A4-9FB9-526DB7D2C762}" name="Table24" displayName="Table24" ref="A1:K21" totalsRowShown="0" headerRowDxfId="282" dataDxfId="283" headerRowBorderDxfId="293" tableBorderDxfId="294" totalsRowBorderDxfId="292">
  <autoFilter ref="A1:K21" xr:uid="{9D779557-AFC2-48A4-9FB9-526DB7D2C762}"/>
  <tableColumns count="11">
    <tableColumn id="1" xr3:uid="{1337DAAB-2FE7-4764-874B-3E9D70795848}" name="Web Name" dataDxfId="291"/>
    <tableColumn id="2" xr3:uid="{ADF31943-D614-44BE-AB9E-53E8317BACF6}" name="Position" dataDxfId="290"/>
    <tableColumn id="3" xr3:uid="{111C4199-A81F-4743-A3E3-6BDCF4094277}" name="Team" dataDxfId="289"/>
    <tableColumn id="4" xr3:uid="{F0F7640E-6D4C-4C9A-B846-355E0E8C64B0}" name="ARIMAPP" dataDxfId="288"/>
    <tableColumn id="5" xr3:uid="{06E4C60D-D733-4DED-91F5-5BEF168797B6}" name="LSTMPP" dataDxfId="287"/>
    <tableColumn id="6" xr3:uid="{31AB2C44-F6A4-4F16-86AF-FD083202DE9B}" name="PP" dataDxfId="286">
      <calculatedColumnFormula>Table24[[#This Row],[ARIMAPP]]*$N$5+Table24[[#This Row],[LSTMPP]]*$N$6</calculatedColumnFormula>
    </tableColumn>
    <tableColumn id="9" xr3:uid="{222444C0-5956-4A20-9135-817E05699648}" name="PPG" dataDxfId="51">
      <calculatedColumnFormula>Table24[[#This Row],[PP]]/$N$2</calculatedColumnFormula>
    </tableColumn>
    <tableColumn id="7" xr3:uid="{AD1CF382-F0AE-4B9D-8CF9-CCCEE1D0F3C6}" name="Plays" dataDxfId="285"/>
    <tableColumn id="10" xr3:uid="{A9205C27-E26D-46A6-850E-86C9A4845EEB}" name="Tot" dataDxfId="50">
      <calculatedColumnFormula>Table24[[#This Row],[PPG]]*Table24[[#This Row],[Plays]]</calculatedColumnFormula>
    </tableColumn>
    <tableColumn id="8" xr3:uid="{C6BC3634-5AFA-486D-9260-B15E54252853}" name="APP" dataDxfId="284"/>
    <tableColumn id="11" xr3:uid="{1D098AFE-35E4-4C87-9460-F8E4C348C1E5}" name="APPG" dataDxfId="49">
      <calculatedColumnFormula>Table24[[#This Row],[APP]]/Table24[[#This Row],[Plays]]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CC909D-F280-4484-B0F2-018EE0E8F559}" name="Table26" displayName="Table26" ref="A1:K21" totalsRowShown="0" headerRowDxfId="256" dataDxfId="257" headerRowBorderDxfId="267" tableBorderDxfId="268" totalsRowBorderDxfId="266">
  <autoFilter ref="A1:K21" xr:uid="{F6CC909D-F280-4484-B0F2-018EE0E8F559}"/>
  <tableColumns count="11">
    <tableColumn id="1" xr3:uid="{D8154EB5-5A19-42B5-8DE2-591F721A2DFC}" name="Web Name" dataDxfId="265"/>
    <tableColumn id="2" xr3:uid="{A82F83FB-DA8C-4319-9FA5-03080E849967}" name="Position" dataDxfId="264"/>
    <tableColumn id="3" xr3:uid="{DE4BE5A9-D22F-4E10-BE28-EB0239221F3D}" name="Team" dataDxfId="263"/>
    <tableColumn id="4" xr3:uid="{DE3CB316-6881-4624-9659-9FE34C465622}" name="ARIMAPP" dataDxfId="262"/>
    <tableColumn id="5" xr3:uid="{2E2A71F1-9B73-4A47-9E42-89847FA148A4}" name="LSTMPP" dataDxfId="261"/>
    <tableColumn id="6" xr3:uid="{19FE5858-43B6-403E-BB30-2845B7C6D8AC}" name="PP" dataDxfId="260">
      <calculatedColumnFormula>Table26[[#This Row],[ARIMAPP]]*$N$5+Table26[[#This Row],[LSTMPP]]*$N$6</calculatedColumnFormula>
    </tableColumn>
    <tableColumn id="9" xr3:uid="{526BCF3B-F2D5-4C0D-97FE-40B58463418E}" name="PPG" dataDxfId="48">
      <calculatedColumnFormula>Table26[[#This Row],[PP]]/$N$2</calculatedColumnFormula>
    </tableColumn>
    <tableColumn id="7" xr3:uid="{7E5298E9-8B2A-4FDE-8A5D-394B4A9D0B15}" name="Plays" dataDxfId="259"/>
    <tableColumn id="10" xr3:uid="{75AF4310-9B83-4FB8-A3BE-F400DDD346FF}" name="Tot" dataDxfId="47">
      <calculatedColumnFormula>Table26[[#This Row],[PPG]]*Table26[[#This Row],[Plays]]</calculatedColumnFormula>
    </tableColumn>
    <tableColumn id="8" xr3:uid="{867F6D75-E619-4B4A-B296-E628CE1DDC0A}" name="APP" dataDxfId="258"/>
    <tableColumn id="11" xr3:uid="{FD419BFF-7281-4A9C-8FB5-42FA70213E11}" name="APPG" dataDxfId="46">
      <calculatedColumnFormula>Table26[[#This Row],[APP]]/Table26[[#This Row],[Plays]]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6A0E2AC-4286-4724-A610-652B866FD6A8}" name="Table27" displayName="Table27" ref="A1:K24" totalsRowShown="0" headerRowDxfId="243" dataDxfId="244" headerRowBorderDxfId="254" tableBorderDxfId="255" totalsRowBorderDxfId="253">
  <autoFilter ref="A1:K24" xr:uid="{96A0E2AC-4286-4724-A610-652B866FD6A8}"/>
  <tableColumns count="11">
    <tableColumn id="1" xr3:uid="{602E3B30-AC1D-4878-A762-07A02F29A98C}" name="Web Name" dataDxfId="252"/>
    <tableColumn id="2" xr3:uid="{5F293968-CABD-4C19-8ABC-98246705B838}" name="Position" dataDxfId="251"/>
    <tableColumn id="3" xr3:uid="{1F19F632-4021-40B6-BCBB-ED25F8316001}" name="Team" dataDxfId="250"/>
    <tableColumn id="4" xr3:uid="{3E401016-E976-4A3A-87C5-9A0BF6605CCB}" name="ARIMAPP" dataDxfId="249"/>
    <tableColumn id="5" xr3:uid="{F4DF4CE2-B1EE-4F35-B598-02AA1BA2DE5F}" name="LSTMPP" dataDxfId="248"/>
    <tableColumn id="6" xr3:uid="{A72C9B60-0DEE-4A02-B78D-A56E5AF5D201}" name="PP" dataDxfId="247">
      <calculatedColumnFormula>Table27[[#This Row],[ARIMAPP]]*$O$5+Table27[[#This Row],[LSTMPP]]*$O$6</calculatedColumnFormula>
    </tableColumn>
    <tableColumn id="9" xr3:uid="{E65EBC57-5B1A-4A6B-B354-14F7BF37F074}" name="PPG" dataDxfId="45">
      <calculatedColumnFormula>Table27[[#This Row],[PP]]/$O$2</calculatedColumnFormula>
    </tableColumn>
    <tableColumn id="7" xr3:uid="{2A138F7F-791F-4101-B8D9-A2CCE56CC56C}" name="Plays" dataDxfId="246"/>
    <tableColumn id="10" xr3:uid="{E9CAAD05-3B5D-454C-93CE-A12E903D5473}" name="Tot" dataDxfId="44">
      <calculatedColumnFormula>Table27[[#This Row],[PPG]]*Table27[[#This Row],[Plays]]</calculatedColumnFormula>
    </tableColumn>
    <tableColumn id="8" xr3:uid="{4604CE51-CC05-4479-A7F4-DF04E970AB78}" name="APP" dataDxfId="245"/>
    <tableColumn id="11" xr3:uid="{AE96DE1C-2E78-4B29-AE28-37BD4B54492F}" name="APPG" dataDxfId="41">
      <calculatedColumnFormula>Table27[[#This Row],[APP]]/Table27[[#This Row],[Plays]]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6CCB34C-FE32-460E-BD0B-E2FA8DC72443}" name="Table28" displayName="Table28" ref="A1:K25" totalsRowShown="0" headerRowDxfId="230" dataDxfId="231" headerRowBorderDxfId="241" tableBorderDxfId="242" totalsRowBorderDxfId="240">
  <autoFilter ref="A1:K25" xr:uid="{36CCB34C-FE32-460E-BD0B-E2FA8DC72443}"/>
  <tableColumns count="11">
    <tableColumn id="1" xr3:uid="{2A4BEF74-B7FA-45AE-823B-52CE1B8C20F6}" name="Web Name" dataDxfId="239"/>
    <tableColumn id="2" xr3:uid="{6546DE40-1424-440E-B4E9-663671C2A2DF}" name="Position" dataDxfId="238"/>
    <tableColumn id="3" xr3:uid="{4DCFF3BD-BCF1-40AE-B1EE-9870A022D8C6}" name="Team" dataDxfId="237"/>
    <tableColumn id="4" xr3:uid="{93810D5D-F7BA-471C-9042-050083A75FF2}" name="ARIMAPP" dataDxfId="236"/>
    <tableColumn id="5" xr3:uid="{B6582F7C-5986-4EC5-B5E2-D1551FD1BF6F}" name="LSTMPP" dataDxfId="235"/>
    <tableColumn id="6" xr3:uid="{D72F7F33-CDE2-408A-A354-BB3C3A5A9579}" name="PP" dataDxfId="234">
      <calculatedColumnFormula>Table28[[#This Row],[ARIMAPP]]*$N$5+Table28[[#This Row],[LSTMPP]]*$N$6</calculatedColumnFormula>
    </tableColumn>
    <tableColumn id="9" xr3:uid="{78F452D2-D69D-4A2C-9AF7-BC12A7FB3B74}" name="PPG" dataDxfId="43">
      <calculatedColumnFormula>Table28[[#This Row],[PP]]/$N$2</calculatedColumnFormula>
    </tableColumn>
    <tableColumn id="7" xr3:uid="{BA50602D-D458-44C9-9FC1-E603CFE4A5CF}" name="Plays" dataDxfId="233"/>
    <tableColumn id="10" xr3:uid="{50216FB9-F07C-4C3D-93E8-60572717078B}" name="Tot" dataDxfId="42">
      <calculatedColumnFormula>Table28[[#This Row],[PPG]]*Table28[[#This Row],[Plays]]</calculatedColumnFormula>
    </tableColumn>
    <tableColumn id="8" xr3:uid="{2E51BA48-7AEE-49B8-ADC6-29C03E943DD9}" name="APP" dataDxfId="232"/>
    <tableColumn id="11" xr3:uid="{F1DF71DA-43DD-48A1-A5B3-9673FEF762A8}" name="APPG" dataDxfId="40">
      <calculatedColumnFormula>Table28[[#This Row],[APP]]/Table28[[#This Row],[Plays]]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70F4F04-85D4-4BDB-9F96-9543D5122B16}" name="Table29" displayName="Table29" ref="A1:K25" totalsRowShown="0" headerRowDxfId="217" dataDxfId="218" headerRowBorderDxfId="228" tableBorderDxfId="229" totalsRowBorderDxfId="227">
  <autoFilter ref="A1:K25" xr:uid="{570F4F04-85D4-4BDB-9F96-9543D5122B16}"/>
  <tableColumns count="11">
    <tableColumn id="1" xr3:uid="{F5C8E60B-2FBA-4E8C-9E9F-3D2F0A948108}" name="Web Name" dataDxfId="226"/>
    <tableColumn id="2" xr3:uid="{5760B76C-0528-48E9-A54D-F0082CE6D464}" name="Position" dataDxfId="225"/>
    <tableColumn id="3" xr3:uid="{78294E34-8132-4DE3-9DAC-7003F608361A}" name="Team" dataDxfId="224"/>
    <tableColumn id="4" xr3:uid="{825CF5E7-B0D8-47CB-9487-F92B4F30D711}" name="ARIMAPP" dataDxfId="223"/>
    <tableColumn id="5" xr3:uid="{30AB662B-67D9-448F-AA4B-FC4EC1657AC9}" name="LSTMPP" dataDxfId="222"/>
    <tableColumn id="6" xr3:uid="{9611188F-D5FA-483E-B29F-DE1F50808C63}" name="PP" dataDxfId="221">
      <calculatedColumnFormula>Table29[[#This Row],[ARIMAPP]]*$N$5+Table29[[#This Row],[LSTMPP]]*$N$6</calculatedColumnFormula>
    </tableColumn>
    <tableColumn id="9" xr3:uid="{B9782486-8C16-4DC4-853D-F808D95B125A}" name="PPG" dataDxfId="39">
      <calculatedColumnFormula>Table29[[#This Row],[PP]]/$N$2</calculatedColumnFormula>
    </tableColumn>
    <tableColumn id="7" xr3:uid="{47F2C00D-0770-4CF4-BC3B-11620F11A60E}" name="Plays" dataDxfId="220"/>
    <tableColumn id="10" xr3:uid="{230452B8-FDAC-4572-8511-FE8E55689BCE}" name="Tot" dataDxfId="38">
      <calculatedColumnFormula>Table29[[#This Row],[PPG]]*Table29[[#This Row],[Plays]]</calculatedColumnFormula>
    </tableColumn>
    <tableColumn id="8" xr3:uid="{0077CBEF-14BF-4382-907C-E7F7322FC01C}" name="APP" dataDxfId="219"/>
    <tableColumn id="11" xr3:uid="{CC34EF43-8FA6-4988-9A5C-4437777CA339}" name="APPG" dataDxfId="37">
      <calculatedColumnFormula>Table29[[#This Row],[APP]]/Table29[[#This Row],[Plays]]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A3D7501-C031-43A5-9744-AD70CA8C8712}" name="Table30" displayName="Table30" ref="A1:K25" totalsRowShown="0" headerRowDxfId="204" dataDxfId="205" headerRowBorderDxfId="215" tableBorderDxfId="216" totalsRowBorderDxfId="214">
  <autoFilter ref="A1:K25" xr:uid="{5A3D7501-C031-43A5-9744-AD70CA8C8712}"/>
  <tableColumns count="11">
    <tableColumn id="1" xr3:uid="{A7231A89-A32A-4603-B755-F2B25DBB16F9}" name="Web Name" dataDxfId="213"/>
    <tableColumn id="2" xr3:uid="{A900B977-2255-4C0B-8F8D-BDDC227661B6}" name="Position" dataDxfId="212"/>
    <tableColumn id="3" xr3:uid="{41CC07C2-16A7-4A1B-8E2F-DBB26C1D3A1E}" name="Team" dataDxfId="211"/>
    <tableColumn id="4" xr3:uid="{FC3BEC57-0B31-4B18-9D8D-F14D4E3C074F}" name="ARIMAPP" dataDxfId="210"/>
    <tableColumn id="5" xr3:uid="{114BBB9A-FAA6-494C-81DA-9B9550C1F6AB}" name="LSTMPP" dataDxfId="209"/>
    <tableColumn id="6" xr3:uid="{3304BAE1-ECEA-4A4F-BE16-93F4F8EF59C1}" name="PP" dataDxfId="208">
      <calculatedColumnFormula>Table30[[#This Row],[ARIMAPP]]*$N$5+Table30[[#This Row],[LSTMPP]]*$N$6</calculatedColumnFormula>
    </tableColumn>
    <tableColumn id="9" xr3:uid="{BF997E64-1D7D-4FCF-A826-746D52347EC5}" name="PPG" dataDxfId="36">
      <calculatedColumnFormula>Table30[[#This Row],[PP]]/$N$2</calculatedColumnFormula>
    </tableColumn>
    <tableColumn id="7" xr3:uid="{71A609D1-876E-46A7-9385-1F32BF509FFA}" name="Plays" dataDxfId="207"/>
    <tableColumn id="10" xr3:uid="{7F8214E6-8B60-4DDE-A62E-E9829167435A}" name="Tot" dataDxfId="35">
      <calculatedColumnFormula>Table30[[#This Row],[PPG]]*Table30[[#This Row],[Plays]]</calculatedColumnFormula>
    </tableColumn>
    <tableColumn id="8" xr3:uid="{9AAE929B-02F0-403E-8530-5331F5C50EF9}" name="APP" dataDxfId="206"/>
    <tableColumn id="11" xr3:uid="{150C5439-B794-4957-965A-1D37E09BE7D3}" name="APPG" dataDxfId="34">
      <calculatedColumnFormula>Table30[[#This Row],[APP]]/Table30[[#This Row],[Plays]]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E42BB7-C25D-45BA-889A-A8CBF31C9957}" name="Table31" displayName="Table31" ref="A1:K24" totalsRowShown="0" headerRowDxfId="191" dataDxfId="192" headerRowBorderDxfId="202" tableBorderDxfId="203" totalsRowBorderDxfId="201">
  <autoFilter ref="A1:K24" xr:uid="{19E42BB7-C25D-45BA-889A-A8CBF31C9957}"/>
  <tableColumns count="11">
    <tableColumn id="1" xr3:uid="{0513AA69-80D6-483A-82CD-A84DD42E59F4}" name="Web Name" dataDxfId="200"/>
    <tableColumn id="2" xr3:uid="{4C03A237-FF47-4311-9E26-822A55CB3984}" name="Position" dataDxfId="199"/>
    <tableColumn id="3" xr3:uid="{6FD74940-1E5B-439B-85FD-03DFAB4A1AE4}" name="Team" dataDxfId="198"/>
    <tableColumn id="4" xr3:uid="{76AE1ADB-C6D5-4EC8-918D-94FBAF301D28}" name="ARIMAPP" dataDxfId="197"/>
    <tableColumn id="5" xr3:uid="{BCB7EC19-3FD6-4D3D-8EEF-2B141DA1CF98}" name="LSTMPP" dataDxfId="196"/>
    <tableColumn id="6" xr3:uid="{D97FC4A5-A953-4F70-B8A4-66FFE1406BD4}" name="PP" dataDxfId="195">
      <calculatedColumnFormula>Table31[[#This Row],[ARIMAPP]]*$N$5+Table31[[#This Row],[LSTMPP]]*$N$6</calculatedColumnFormula>
    </tableColumn>
    <tableColumn id="9" xr3:uid="{8A869941-42E2-48CE-812D-F03EE7CE5B96}" name="PPG" dataDxfId="33">
      <calculatedColumnFormula>Table31[[#This Row],[PP]]/$N$2</calculatedColumnFormula>
    </tableColumn>
    <tableColumn id="7" xr3:uid="{3804475C-1ED1-470A-9C87-10813C27273C}" name="Plays" dataDxfId="194"/>
    <tableColumn id="10" xr3:uid="{0EF1DBD3-95CA-40DB-9270-654A675DD7FC}" name="Tot" dataDxfId="32">
      <calculatedColumnFormula>Table31[[#This Row],[PPG]]*Table31[[#This Row],[Plays]]</calculatedColumnFormula>
    </tableColumn>
    <tableColumn id="8" xr3:uid="{C7200FE6-2814-4615-B4F4-496853947CB2}" name="APP" dataDxfId="193"/>
    <tableColumn id="11" xr3:uid="{6FC80685-E3B9-461B-8C36-6F2E8D1BAF82}" name="APPG" dataDxfId="31">
      <calculatedColumnFormula>Table31[[#This Row],[APP]]/Table31[[#This Row],[Plays]]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A99254C-AD34-45D0-A5E8-3B373A30B73C}" name="Table32" displayName="Table32" ref="A1:K25" totalsRowShown="0" headerRowDxfId="178" dataDxfId="179" headerRowBorderDxfId="189" tableBorderDxfId="190" totalsRowBorderDxfId="188">
  <autoFilter ref="A1:K25" xr:uid="{4A99254C-AD34-45D0-A5E8-3B373A30B73C}"/>
  <tableColumns count="11">
    <tableColumn id="1" xr3:uid="{10438658-B6A2-4F21-8B6F-02E16EC8E9EC}" name="Web Name" dataDxfId="187"/>
    <tableColumn id="2" xr3:uid="{EFE764C5-5A29-4FD9-B663-7FB1FFD8EBF1}" name="Position" dataDxfId="186"/>
    <tableColumn id="3" xr3:uid="{FCA37612-C83D-4318-832E-3CB5078CBFB0}" name="Team" dataDxfId="185"/>
    <tableColumn id="4" xr3:uid="{4D9A5941-599B-4D25-8E41-D4BC5D943850}" name="ARIMAPP" dataDxfId="184"/>
    <tableColumn id="5" xr3:uid="{6F9AFD0A-0099-4584-AA4C-2E32D0855B2C}" name="LSTMPP" dataDxfId="183"/>
    <tableColumn id="6" xr3:uid="{3FD0C40B-4F21-451A-8AD6-E720F8840DF8}" name="PP" dataDxfId="182">
      <calculatedColumnFormula>Table32[[#This Row],[ARIMAPP]]*$N$5+Table32[[#This Row],[LSTMPP]]*$N$6</calculatedColumnFormula>
    </tableColumn>
    <tableColumn id="9" xr3:uid="{437442CA-6438-4808-A507-B503EB0422ED}" name="PPG" dataDxfId="30">
      <calculatedColumnFormula>Table32[[#This Row],[PP]]/$N$2</calculatedColumnFormula>
    </tableColumn>
    <tableColumn id="7" xr3:uid="{6BDF871E-8A83-440C-A671-AB9D594C2B29}" name="Plays" dataDxfId="181"/>
    <tableColumn id="10" xr3:uid="{15F70163-7ABF-4224-9280-4D22D8D7261C}" name="Tot" dataDxfId="29">
      <calculatedColumnFormula>Table32[[#This Row],[PPG]]*Table32[[#This Row],[Plays]]</calculatedColumnFormula>
    </tableColumn>
    <tableColumn id="8" xr3:uid="{33A30583-6F05-4C98-990D-5006D8A9AB8C}" name="APP" dataDxfId="180"/>
    <tableColumn id="11" xr3:uid="{A6ED9088-66A1-4E36-87B1-CB40AE9FEBF1}" name="APPG" dataDxfId="28">
      <calculatedColumnFormula>Table32[[#This Row],[APP]]/Table32[[#This Row],[Plays]]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A831D8C-9ADD-4C5C-9094-5477FE74DD05}" name="Table33" displayName="Table33" ref="A1:K23" totalsRowShown="0" headerRowDxfId="165" dataDxfId="166" headerRowBorderDxfId="176" tableBorderDxfId="177" totalsRowBorderDxfId="175">
  <autoFilter ref="A1:K23" xr:uid="{CA831D8C-9ADD-4C5C-9094-5477FE74DD05}"/>
  <tableColumns count="11">
    <tableColumn id="1" xr3:uid="{6CF77ACC-1529-420B-A35B-58360C5F07B5}" name="Web Name" dataDxfId="174"/>
    <tableColumn id="2" xr3:uid="{D3A0C274-2BB9-4A4A-AD7C-306E943874E0}" name="Position" dataDxfId="173"/>
    <tableColumn id="3" xr3:uid="{6DAA45EC-1236-40C8-B415-6C1B5E043672}" name="Team" dataDxfId="172"/>
    <tableColumn id="4" xr3:uid="{B100FAA7-7E55-4798-812A-A644B625756D}" name="ARIMAPP" dataDxfId="171"/>
    <tableColumn id="5" xr3:uid="{99178394-CE8E-4C85-B330-A720AA649EAD}" name="LSTMPP" dataDxfId="170"/>
    <tableColumn id="6" xr3:uid="{6ABC18A9-879D-4A0C-AD1C-4F786BE60470}" name="PP" dataDxfId="169">
      <calculatedColumnFormula>Table33[[#This Row],[ARIMAPP]]*$N$5+Table33[[#This Row],[LSTMPP]]*$N$6</calculatedColumnFormula>
    </tableColumn>
    <tableColumn id="9" xr3:uid="{EFEAE72C-2DE9-4913-9E82-BEF0E2814D16}" name="PPG" dataDxfId="27">
      <calculatedColumnFormula>Table33[[#This Row],[PP]]/$N$2</calculatedColumnFormula>
    </tableColumn>
    <tableColumn id="7" xr3:uid="{54D381C4-FD87-4195-8A5C-9C38BD18652A}" name="Plays" dataDxfId="168"/>
    <tableColumn id="10" xr3:uid="{E137ABA8-1FBD-49A3-887A-73F9264C859F}" name="Tot" dataDxfId="26">
      <calculatedColumnFormula>Table33[[#This Row],[PPG]]*Table33[[#This Row],[Plays]]</calculatedColumnFormula>
    </tableColumn>
    <tableColumn id="8" xr3:uid="{58D21177-40C2-48F1-9232-401619A49242}" name="APP" dataDxfId="167"/>
    <tableColumn id="11" xr3:uid="{121A79AE-E1A8-465F-A661-DC625A51995A}" name="APPG" dataDxfId="25">
      <calculatedColumnFormula>Table33[[#This Row],[APP]]/Table33[[#This Row],[Plays]]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60E2F0B-0DB4-4AF8-BB9F-D44020DBD4D0}" name="Table34" displayName="Table34" ref="A1:K25" totalsRowShown="0" headerRowDxfId="152" dataDxfId="153" headerRowBorderDxfId="163" tableBorderDxfId="164" totalsRowBorderDxfId="162">
  <autoFilter ref="A1:K25" xr:uid="{560E2F0B-0DB4-4AF8-BB9F-D44020DBD4D0}"/>
  <tableColumns count="11">
    <tableColumn id="1" xr3:uid="{4E38B94B-93A9-451F-9B0B-ED62B806836C}" name="Web Name" dataDxfId="161"/>
    <tableColumn id="2" xr3:uid="{F70C25E6-32CC-4A37-AB5F-B18A056402A2}" name="Position" dataDxfId="160"/>
    <tableColumn id="3" xr3:uid="{1E4200E1-C80B-405E-BF3B-11C3A1B715EF}" name="Team" dataDxfId="159"/>
    <tableColumn id="4" xr3:uid="{8627CDD7-0BC9-4B7E-BAC7-38DEF5D50418}" name="ARIMAPP" dataDxfId="158"/>
    <tableColumn id="5" xr3:uid="{D2220574-FC57-4BB8-8E9D-1D3ACBBB64EF}" name="LSTMPP" dataDxfId="157"/>
    <tableColumn id="6" xr3:uid="{4748A7FE-E30C-43AD-854C-335CD1E40115}" name="PP" dataDxfId="156">
      <calculatedColumnFormula>Table34[[#This Row],[ARIMAPP]]*$N$5+Table34[[#This Row],[LSTMPP]]*$N$6</calculatedColumnFormula>
    </tableColumn>
    <tableColumn id="9" xr3:uid="{C484AC08-B5A9-4D28-8A03-7AFF69FFE2C1}" name="PPG" dataDxfId="24">
      <calculatedColumnFormula>Table34[[#This Row],[PP]]/$N$2</calculatedColumnFormula>
    </tableColumn>
    <tableColumn id="7" xr3:uid="{D06C3A1C-92E6-4C42-98ED-F12E5DFE3F23}" name="Plays" dataDxfId="155"/>
    <tableColumn id="10" xr3:uid="{64B63796-1929-4E0E-AB78-316E58F79CAD}" name="Tot" dataDxfId="23">
      <calculatedColumnFormula>Table34[[#This Row],[PPG]]*Table34[[#This Row],[Plays]]</calculatedColumnFormula>
    </tableColumn>
    <tableColumn id="8" xr3:uid="{35A3C8BE-8BE4-4870-A5B5-BA22DFE206BF}" name="APP" dataDxfId="154"/>
    <tableColumn id="11" xr3:uid="{2F769FC8-21D6-4DF6-A18E-4431B2579927}" name="APPG" dataDxfId="22">
      <calculatedColumnFormula>Table34[[#This Row],[APP]]/Table34[[#This Row],[Plays]]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D11A4AC-AC33-4DF2-BD0E-02F2885967AE}" name="Table35" displayName="Table35" ref="A1:K25" totalsRowShown="0" headerRowDxfId="139" dataDxfId="140" headerRowBorderDxfId="150" tableBorderDxfId="151" totalsRowBorderDxfId="149">
  <autoFilter ref="A1:K25" xr:uid="{FD11A4AC-AC33-4DF2-BD0E-02F2885967AE}"/>
  <tableColumns count="11">
    <tableColumn id="1" xr3:uid="{7A8A5065-215C-4372-A56D-2FC79084FE01}" name="Web Name" dataDxfId="148"/>
    <tableColumn id="2" xr3:uid="{0A7DB6D1-1647-4F49-A135-00A083992062}" name="Position" dataDxfId="147"/>
    <tableColumn id="3" xr3:uid="{EE405DE1-D2DB-4AC1-95DC-133632F0F44A}" name="Team" dataDxfId="146"/>
    <tableColumn id="4" xr3:uid="{01CCD85A-8080-4E78-87E4-558FAA1C9BF0}" name="ARIMAPP" dataDxfId="145"/>
    <tableColumn id="5" xr3:uid="{A527F89B-1521-40ED-8DF3-954767484447}" name="LSTMPP" dataDxfId="144"/>
    <tableColumn id="6" xr3:uid="{A7348B9F-2AFB-4E6B-A375-2E19B19A8F57}" name="PP" dataDxfId="143">
      <calculatedColumnFormula>Table35[[#This Row],[ARIMAPP]]*$N$5+Table35[[#This Row],[LSTMPP]]*$N$6</calculatedColumnFormula>
    </tableColumn>
    <tableColumn id="9" xr3:uid="{762BEBA5-B609-4645-AEC3-F5F68C7D7369}" name="PPG" dataDxfId="21">
      <calculatedColumnFormula>Table35[[#This Row],[PP]]/$N$2</calculatedColumnFormula>
    </tableColumn>
    <tableColumn id="7" xr3:uid="{525E3BE4-8F15-476D-998E-998A602DCFDE}" name="Plays" dataDxfId="142"/>
    <tableColumn id="10" xr3:uid="{32E1278A-DA68-4C08-B9E6-2586B3B168D3}" name="Tot" dataDxfId="20">
      <calculatedColumnFormula>Table35[[#This Row],[PPG]]*Table35[[#This Row],[Plays]]</calculatedColumnFormula>
    </tableColumn>
    <tableColumn id="8" xr3:uid="{6D6157DD-4A65-4C4E-B58D-D39BCB098B87}" name="APP" dataDxfId="141"/>
    <tableColumn id="11" xr3:uid="{CA848CB6-E4CB-44BB-8A3C-B29A81854CC7}" name="APPG" dataDxfId="19">
      <calculatedColumnFormula>Table35[[#This Row],[APP]]/Table35[[#This Row],[Plays]]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085711C-EDFD-4F9D-9B80-90E506F5CD21}" name="Table36" displayName="Table36" ref="A1:K25" totalsRowShown="0" headerRowDxfId="126" dataDxfId="127" headerRowBorderDxfId="137" tableBorderDxfId="138" totalsRowBorderDxfId="136">
  <autoFilter ref="A1:K25" xr:uid="{C085711C-EDFD-4F9D-9B80-90E506F5CD21}"/>
  <tableColumns count="11">
    <tableColumn id="1" xr3:uid="{0E12993F-BEBA-4954-8C03-8F6D2B29A32D}" name="Web Name" dataDxfId="135"/>
    <tableColumn id="2" xr3:uid="{74185627-0C86-42CD-B7FF-3BB6B6375DE8}" name="Position" dataDxfId="134"/>
    <tableColumn id="3" xr3:uid="{33B301AA-C308-4245-87B7-C7BF0AD0EE02}" name="Team" dataDxfId="133"/>
    <tableColumn id="4" xr3:uid="{BB139AB9-32EE-4278-9B13-F31629340301}" name="ARIMAPP" dataDxfId="132"/>
    <tableColumn id="5" xr3:uid="{BB9CFD4A-2A1D-496D-9A49-2B82826434B0}" name="LSTMPP" dataDxfId="131"/>
    <tableColumn id="6" xr3:uid="{7B16BC3E-7D75-4CB4-86C7-250AF97F22BE}" name="PP" dataDxfId="130">
      <calculatedColumnFormula>Table36[[#This Row],[ARIMAPP]]*$N$5+Table36[[#This Row],[LSTMPP]]*$N$6</calculatedColumnFormula>
    </tableColumn>
    <tableColumn id="9" xr3:uid="{494F7254-8DBF-4813-9A89-F695A15F6019}" name="PPG" dataDxfId="18">
      <calculatedColumnFormula>Table36[[#This Row],[PP]]/$N$2</calculatedColumnFormula>
    </tableColumn>
    <tableColumn id="7" xr3:uid="{3DF53C84-3B5E-466A-A707-467B0CB997B2}" name="Plays" dataDxfId="129"/>
    <tableColumn id="10" xr3:uid="{B2346106-FF79-4985-8CE2-09AB5C470C9C}" name="Tot" dataDxfId="17">
      <calculatedColumnFormula>Table36[[#This Row],[PPG]]*Table36[[#This Row],[Plays]]</calculatedColumnFormula>
    </tableColumn>
    <tableColumn id="8" xr3:uid="{970F8D10-537E-4B20-A68D-F1F95E477F83}" name="APP" dataDxfId="128"/>
    <tableColumn id="11" xr3:uid="{46CFB261-2130-4AE0-AAB2-6013EFBF5ECC}" name="APPG" dataDxfId="16">
      <calculatedColumnFormula>Table36[[#This Row],[APP]]/Table36[[#This Row],[Plays]]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0F99B93-595D-42E5-ABB5-0F36C0C95F1B}" name="Table37" displayName="Table37" ref="A1:K25" totalsRowShown="0" headerRowDxfId="113" dataDxfId="114" headerRowBorderDxfId="124" tableBorderDxfId="125" totalsRowBorderDxfId="123">
  <autoFilter ref="A1:K25" xr:uid="{10F99B93-595D-42E5-ABB5-0F36C0C95F1B}"/>
  <tableColumns count="11">
    <tableColumn id="1" xr3:uid="{3E9D48E1-0C9F-4B6F-8124-DDB6CEB4E98D}" name="Web Name" dataDxfId="122"/>
    <tableColumn id="2" xr3:uid="{6DB9E687-C54F-44E9-A16A-4882BD58BEC7}" name="Position" dataDxfId="121"/>
    <tableColumn id="3" xr3:uid="{732CE805-9DE7-416B-87AF-8451217CF2F9}" name="Team" dataDxfId="120"/>
    <tableColumn id="4" xr3:uid="{E097B8E4-3580-4EC3-8978-31704C8DB72D}" name="ARIMAPP" dataDxfId="119"/>
    <tableColumn id="5" xr3:uid="{6BA96D5B-7E37-483D-BE60-B9AA8DC09924}" name="LSTMPP" dataDxfId="118"/>
    <tableColumn id="6" xr3:uid="{F09B994F-55F6-47B3-B8B7-AF8626519370}" name="PP" dataDxfId="117">
      <calculatedColumnFormula>Table37[[#This Row],[ARIMAPP]]*$N$5+Table37[[#This Row],[LSTMPP]]*$N$6</calculatedColumnFormula>
    </tableColumn>
    <tableColumn id="9" xr3:uid="{2E43C3AC-7E0C-41BC-A398-833229A7151E}" name="PPG" dataDxfId="15">
      <calculatedColumnFormula>Table37[[#This Row],[PP]]/$N$2</calculatedColumnFormula>
    </tableColumn>
    <tableColumn id="7" xr3:uid="{76FDA052-C2C9-4A8D-BBFE-FDE1BF262531}" name="Plays" dataDxfId="116"/>
    <tableColumn id="10" xr3:uid="{EB496042-A646-4B6A-AEBA-9D7386E63B69}" name="Tot" dataDxfId="14">
      <calculatedColumnFormula>Table37[[#This Row],[PPG]]*Table37[[#This Row],[Plays]]</calculatedColumnFormula>
    </tableColumn>
    <tableColumn id="8" xr3:uid="{2FC9C379-460C-4D44-BDB7-5F986093D0B9}" name="APP" dataDxfId="115"/>
    <tableColumn id="11" xr3:uid="{F71E2035-670E-44B0-9C61-EBD5926B6EF5}" name="APPG" dataDxfId="13">
      <calculatedColumnFormula>Table37[[#This Row],[APP]]/Table37[[#This Row],[Plays]]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4777A47-1024-4387-84C1-3BCCB6F3EB67}" name="Table38" displayName="Table38" ref="A1:K23" totalsRowShown="0" headerRowDxfId="100" dataDxfId="101" headerRowBorderDxfId="111" tableBorderDxfId="112" totalsRowBorderDxfId="110">
  <autoFilter ref="A1:K23" xr:uid="{C4777A47-1024-4387-84C1-3BCCB6F3EB67}"/>
  <tableColumns count="11">
    <tableColumn id="1" xr3:uid="{DEE3A58D-A6F6-471A-BCC9-79631F4C541E}" name="Web Name" dataDxfId="109"/>
    <tableColumn id="2" xr3:uid="{A6A19A08-678E-40BA-A86E-DE0F511F0F63}" name="Position" dataDxfId="108"/>
    <tableColumn id="3" xr3:uid="{95A6D1BA-B167-4CB3-BD51-9F570929FDAD}" name="Team" dataDxfId="107"/>
    <tableColumn id="4" xr3:uid="{85B7A8D4-65FB-4797-91A8-8EE74DE79626}" name="ARIMAPP" dataDxfId="106"/>
    <tableColumn id="5" xr3:uid="{47029D6F-997A-489D-BB6E-9AEC80E14C40}" name="LSTMPP" dataDxfId="105"/>
    <tableColumn id="6" xr3:uid="{647A991C-A415-4DCB-BE4C-02F67A88C5BD}" name="PP" dataDxfId="104">
      <calculatedColumnFormula>Table38[[#This Row],[ARIMAPP]]*$N$5+Table38[[#This Row],[LSTMPP]]*$N$6</calculatedColumnFormula>
    </tableColumn>
    <tableColumn id="9" xr3:uid="{F4B60C02-2C16-4F4A-82B3-BAEEFC906E38}" name="PPG" dataDxfId="12">
      <calculatedColumnFormula>Table38[[#This Row],[PP]]/$N$2</calculatedColumnFormula>
    </tableColumn>
    <tableColumn id="7" xr3:uid="{80ACD3B1-5569-4ACA-9FB4-72C5E3F4C112}" name="Plays" dataDxfId="103"/>
    <tableColumn id="10" xr3:uid="{0540CA61-E1C1-414D-82DD-34E923540588}" name="Tot" dataDxfId="11">
      <calculatedColumnFormula>Table38[[#This Row],[PPG]]*Table38[[#This Row],[Plays]]</calculatedColumnFormula>
    </tableColumn>
    <tableColumn id="8" xr3:uid="{2D14EC5A-CB5F-49B8-ABDC-1FC2A3AEE0B0}" name="APP" dataDxfId="102"/>
    <tableColumn id="11" xr3:uid="{6DF3E362-E831-44D9-8E19-D2202F4F746C}" name="APPG" dataDxfId="10">
      <calculatedColumnFormula>Table38[[#This Row],[APP]]/Table38[[#This Row],[Plays]]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F97C277-6269-4646-BFDB-E592D21F5E16}" name="Table39" displayName="Table39" ref="A1:K26" totalsRowShown="0" headerRowDxfId="87" dataDxfId="88" headerRowBorderDxfId="98" tableBorderDxfId="99" totalsRowBorderDxfId="97">
  <autoFilter ref="A1:K26" xr:uid="{9F97C277-6269-4646-BFDB-E592D21F5E16}"/>
  <tableColumns count="11">
    <tableColumn id="1" xr3:uid="{470F4B90-E7B1-47A6-BEC0-31F473434FE9}" name="Web Name" dataDxfId="96"/>
    <tableColumn id="2" xr3:uid="{028FD45C-096A-4CD5-B91B-FDBF891DFBD0}" name="Position" dataDxfId="95"/>
    <tableColumn id="3" xr3:uid="{C0D7CFBB-17B7-4DDC-BF8F-8BE02593484E}" name="Team" dataDxfId="94"/>
    <tableColumn id="4" xr3:uid="{35CA6A4E-65BC-4DBE-8530-83AA13D74B70}" name="ARIMAPP" dataDxfId="93"/>
    <tableColumn id="5" xr3:uid="{80FB565D-EA81-4772-9B53-C6EBC9104E29}" name="LSTMPP" dataDxfId="92"/>
    <tableColumn id="6" xr3:uid="{8C1E333B-350F-458F-9F83-820451930ADD}" name="PP" dataDxfId="91">
      <calculatedColumnFormula>Table39[[#This Row],[ARIMAPP]]*$N$5+Table39[[#This Row],[LSTMPP]]*$N$6</calculatedColumnFormula>
    </tableColumn>
    <tableColumn id="9" xr3:uid="{33B969EA-9BF2-49F2-86DB-CCEB32D59C6E}" name="PPG" dataDxfId="9">
      <calculatedColumnFormula>Table39[[#This Row],[PP]]/$N$2</calculatedColumnFormula>
    </tableColumn>
    <tableColumn id="7" xr3:uid="{502B221C-53BE-4934-A28F-05250879DA7E}" name="Plays" dataDxfId="90"/>
    <tableColumn id="10" xr3:uid="{04611797-AC0C-4B90-BDB5-E8E2EA9A960E}" name="Tot" dataDxfId="8">
      <calculatedColumnFormula>Table39[[#This Row],[PPG]]*Table39[[#This Row],[Plays]]</calculatedColumnFormula>
    </tableColumn>
    <tableColumn id="8" xr3:uid="{83EDF0E3-928D-4208-8204-918BB94F0D66}" name="APP" dataDxfId="89"/>
    <tableColumn id="11" xr3:uid="{A44F81D2-8249-4BB6-89C2-D1E9E43B786F}" name="APPG" dataDxfId="7">
      <calculatedColumnFormula>Table39[[#This Row],[APP]]/Table39[[#This Row],[Plays]]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06BEBD8-3177-4D40-86CD-F388A30083DB}" name="Table40" displayName="Table40" ref="A1:K22" totalsRowShown="0" headerRowDxfId="75" dataDxfId="76" headerRowBorderDxfId="85" tableBorderDxfId="86" totalsRowBorderDxfId="84">
  <autoFilter ref="A1:K22" xr:uid="{A06BEBD8-3177-4D40-86CD-F388A30083DB}"/>
  <tableColumns count="11">
    <tableColumn id="1" xr3:uid="{2916899C-86EA-4FB3-8B5A-C5847864CC48}" name="Web Name" dataDxfId="83"/>
    <tableColumn id="2" xr3:uid="{25213477-990A-494B-84AA-CB553AF95804}" name="Position" dataDxfId="82"/>
    <tableColumn id="3" xr3:uid="{C5B542C3-21CE-4029-9423-CA1BA63977E7}" name="Team" dataDxfId="81"/>
    <tableColumn id="4" xr3:uid="{F5947AEF-3426-4D11-856C-331F8D91818F}" name="ARIMAPP" dataDxfId="80"/>
    <tableColumn id="5" xr3:uid="{C30449D4-82B5-4359-9F86-A0A7320BA159}" name="LSTMPP" dataDxfId="79"/>
    <tableColumn id="6" xr3:uid="{9E503905-0DD5-48D6-8EE9-95BBA0DFC2C8}" name="PP" dataDxfId="78">
      <calculatedColumnFormula>Table40[[#This Row],[ARIMAPP]]*$N$5+Table40[[#This Row],[LSTMPP]]*$N$6</calculatedColumnFormula>
    </tableColumn>
    <tableColumn id="9" xr3:uid="{EE1ECA0C-BEDF-4D45-A4DE-85FD26C6684D}" name="PPG" dataDxfId="5">
      <calculatedColumnFormula>Table40[[#This Row],[PP]]/$N$2</calculatedColumnFormula>
    </tableColumn>
    <tableColumn id="7" xr3:uid="{37E40478-3138-4189-BB34-E7D2C350A692}" name="Plays" dataDxfId="6"/>
    <tableColumn id="10" xr3:uid="{7EB779A3-5481-4DF8-9F3D-3D4F7C93216B}" name="Tot" dataDxfId="4">
      <calculatedColumnFormula>Table40[[#This Row],[PPG]]*Table40[[#This Row],[Plays]]</calculatedColumnFormula>
    </tableColumn>
    <tableColumn id="8" xr3:uid="{CA4C5A3E-5034-4AF6-8047-314888178DE8}" name="APP" dataDxfId="77"/>
    <tableColumn id="11" xr3:uid="{736CA58C-72A7-48ED-873C-5EFFA54100BA}" name="APPG" dataDxfId="3">
      <calculatedColumnFormula>Table40[[#This Row],[APP]]/Table40[[#This Row],[Plays]]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E36037E-EFA4-4EB3-8929-990A7A6E80C2}" name="Table41" displayName="Table41" ref="A1:K18" totalsRowShown="0" headerRowDxfId="62" dataDxfId="63" headerRowBorderDxfId="73" tableBorderDxfId="74" totalsRowBorderDxfId="72">
  <autoFilter ref="A1:K18" xr:uid="{1E36037E-EFA4-4EB3-8929-990A7A6E80C2}"/>
  <tableColumns count="11">
    <tableColumn id="1" xr3:uid="{7779CDDD-6E10-4F90-A092-15A256C82AAE}" name="Web Name" dataDxfId="71"/>
    <tableColumn id="2" xr3:uid="{E533B79E-9D62-46DE-BF57-55B917CF2003}" name="Position" dataDxfId="70"/>
    <tableColumn id="3" xr3:uid="{A3E78A85-A0CB-4B44-A04C-F9E9A7C43BA1}" name="Team" dataDxfId="69"/>
    <tableColumn id="4" xr3:uid="{7EB67B43-57AF-485F-BE02-64175382A0FE}" name="ARIMAPP" dataDxfId="68"/>
    <tableColumn id="5" xr3:uid="{5495B81A-A421-405F-A596-C332FC36AEA7}" name="LSTMPP" dataDxfId="67"/>
    <tableColumn id="6" xr3:uid="{A3184C42-DA3C-44EA-AAD1-069CA8D7777A}" name="PP" dataDxfId="66">
      <calculatedColumnFormula>Table41[[#This Row],[ARIMAPP]]*$N$5+Table41[[#This Row],[LSTMPP]]*$N$6</calculatedColumnFormula>
    </tableColumn>
    <tableColumn id="9" xr3:uid="{8084D7B0-2151-483F-A4E5-F2A8538093C6}" name="PPG" dataDxfId="2">
      <calculatedColumnFormula>Table41[[#This Row],[PP]]/$N$2</calculatedColumnFormula>
    </tableColumn>
    <tableColumn id="7" xr3:uid="{8528E922-3B83-42AE-9C90-DB1F1423300E}" name="Plays" dataDxfId="65"/>
    <tableColumn id="10" xr3:uid="{A8D8E045-4772-4405-AF79-D72FC5A6214F}" name="Tot" dataDxfId="1">
      <calculatedColumnFormula>Table41[[#This Row],[PPG]]*Table41[[#This Row],[Plays]]</calculatedColumnFormula>
    </tableColumn>
    <tableColumn id="8" xr3:uid="{7D6C0700-73E8-4DCE-B243-61B03FA0A9B3}" name="APP" dataDxfId="64"/>
    <tableColumn id="11" xr3:uid="{1CBAA7D6-98F0-4C8C-866F-CB423B801587}" name="APPG" dataDxfId="0">
      <calculatedColumnFormula>Table41[[#This Row],[APP]]/Table41[[#This Row],[Plays]]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5"/>
  <sheetViews>
    <sheetView topLeftCell="C1" workbookViewId="0">
      <selection activeCell="N462" sqref="N462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844</v>
      </c>
      <c r="G1" t="s">
        <v>845</v>
      </c>
      <c r="H1" t="s">
        <v>842</v>
      </c>
      <c r="I1" t="s">
        <v>841</v>
      </c>
      <c r="J1" t="s">
        <v>843</v>
      </c>
    </row>
    <row r="2" spans="1:10" x14ac:dyDescent="0.3">
      <c r="A2" t="s">
        <v>12</v>
      </c>
      <c r="B2" t="s">
        <v>13</v>
      </c>
      <c r="C2" t="s">
        <v>13</v>
      </c>
      <c r="D2" t="s">
        <v>4</v>
      </c>
      <c r="E2" t="s">
        <v>14</v>
      </c>
      <c r="F2">
        <v>-1.71206558060532</v>
      </c>
      <c r="G2">
        <v>75.052819216665199</v>
      </c>
      <c r="H2">
        <v>44.346865297756999</v>
      </c>
      <c r="I2">
        <v>3</v>
      </c>
      <c r="J2">
        <v>4</v>
      </c>
    </row>
    <row r="3" spans="1:10" x14ac:dyDescent="0.3">
      <c r="A3" t="s">
        <v>15</v>
      </c>
      <c r="B3" t="s">
        <v>16</v>
      </c>
      <c r="C3" t="s">
        <v>16</v>
      </c>
      <c r="D3" t="s">
        <v>7</v>
      </c>
      <c r="E3" t="s">
        <v>14</v>
      </c>
      <c r="F3">
        <v>78.725507956038001</v>
      </c>
      <c r="G3">
        <v>91.435095761103895</v>
      </c>
      <c r="H3">
        <v>86.351260639077495</v>
      </c>
      <c r="I3">
        <v>14</v>
      </c>
      <c r="J3">
        <v>44</v>
      </c>
    </row>
    <row r="4" spans="1:10" x14ac:dyDescent="0.3">
      <c r="A4" t="s">
        <v>17</v>
      </c>
      <c r="B4" t="s">
        <v>18</v>
      </c>
      <c r="C4" t="s">
        <v>17</v>
      </c>
      <c r="D4" t="s">
        <v>5</v>
      </c>
      <c r="E4" t="s">
        <v>14</v>
      </c>
      <c r="F4">
        <v>18.419803166525799</v>
      </c>
      <c r="G4">
        <v>33.726941413086202</v>
      </c>
      <c r="H4">
        <v>27.604086114462099</v>
      </c>
      <c r="I4">
        <v>4</v>
      </c>
      <c r="J4">
        <v>2</v>
      </c>
    </row>
    <row r="5" spans="1:10" x14ac:dyDescent="0.3">
      <c r="A5" t="s">
        <v>19</v>
      </c>
      <c r="B5" t="s">
        <v>20</v>
      </c>
      <c r="C5" t="s">
        <v>20</v>
      </c>
      <c r="D5" t="s">
        <v>7</v>
      </c>
      <c r="E5" t="s">
        <v>14</v>
      </c>
      <c r="F5">
        <v>102.318681318681</v>
      </c>
      <c r="G5">
        <v>68.923773560133597</v>
      </c>
      <c r="H5">
        <v>82.281736663552707</v>
      </c>
      <c r="I5">
        <v>15</v>
      </c>
      <c r="J5">
        <v>46</v>
      </c>
    </row>
    <row r="6" spans="1:10" x14ac:dyDescent="0.3">
      <c r="A6" t="s">
        <v>21</v>
      </c>
      <c r="B6" t="s">
        <v>22</v>
      </c>
      <c r="C6" t="s">
        <v>22</v>
      </c>
      <c r="D6" t="s">
        <v>6</v>
      </c>
      <c r="E6" t="s">
        <v>14</v>
      </c>
      <c r="F6">
        <v>33.063940887535999</v>
      </c>
      <c r="G6">
        <v>44.633027106539302</v>
      </c>
      <c r="H6">
        <v>40.005392618937996</v>
      </c>
      <c r="I6">
        <v>10</v>
      </c>
      <c r="J6">
        <v>18</v>
      </c>
    </row>
    <row r="7" spans="1:10" x14ac:dyDescent="0.3">
      <c r="A7" t="s">
        <v>23</v>
      </c>
      <c r="B7" t="s">
        <v>24</v>
      </c>
      <c r="C7" t="s">
        <v>24</v>
      </c>
      <c r="D7" t="s">
        <v>5</v>
      </c>
      <c r="E7" t="s">
        <v>14</v>
      </c>
      <c r="F7">
        <v>8.1938901125883099</v>
      </c>
      <c r="G7">
        <v>39.756702254585903</v>
      </c>
      <c r="H7">
        <v>27.131577397786899</v>
      </c>
      <c r="I7">
        <v>2</v>
      </c>
      <c r="J7">
        <v>1</v>
      </c>
    </row>
    <row r="8" spans="1:10" x14ac:dyDescent="0.3">
      <c r="A8" t="s">
        <v>25</v>
      </c>
      <c r="B8" t="s">
        <v>26</v>
      </c>
      <c r="C8" t="s">
        <v>26</v>
      </c>
      <c r="D8" t="s">
        <v>5</v>
      </c>
      <c r="E8" t="s">
        <v>14</v>
      </c>
      <c r="F8">
        <v>4.1989671723182198</v>
      </c>
      <c r="G8">
        <v>55.712545427491001</v>
      </c>
      <c r="H8">
        <v>35.107114125421802</v>
      </c>
      <c r="I8">
        <v>2</v>
      </c>
      <c r="J8">
        <v>1</v>
      </c>
    </row>
    <row r="9" spans="1:10" x14ac:dyDescent="0.3">
      <c r="A9" t="s">
        <v>27</v>
      </c>
      <c r="B9" t="s">
        <v>28</v>
      </c>
      <c r="C9" t="s">
        <v>29</v>
      </c>
      <c r="D9" t="s">
        <v>6</v>
      </c>
      <c r="E9" t="s">
        <v>14</v>
      </c>
      <c r="F9">
        <v>101.243189872043</v>
      </c>
      <c r="G9">
        <v>55.883789001368299</v>
      </c>
      <c r="H9">
        <v>74.027549349638406</v>
      </c>
      <c r="I9">
        <v>7</v>
      </c>
      <c r="J9">
        <v>11</v>
      </c>
    </row>
    <row r="10" spans="1:10" x14ac:dyDescent="0.3">
      <c r="A10" t="s">
        <v>30</v>
      </c>
      <c r="B10" t="s">
        <v>31</v>
      </c>
      <c r="C10" t="s">
        <v>31</v>
      </c>
      <c r="D10" t="s">
        <v>5</v>
      </c>
      <c r="E10" t="s">
        <v>14</v>
      </c>
      <c r="F10">
        <v>24.464217101749501</v>
      </c>
      <c r="G10">
        <v>41.196590857814797</v>
      </c>
      <c r="H10">
        <v>34.503641355388702</v>
      </c>
      <c r="I10">
        <v>5</v>
      </c>
      <c r="J10">
        <v>7</v>
      </c>
    </row>
    <row r="11" spans="1:10" x14ac:dyDescent="0.3">
      <c r="A11" t="s">
        <v>32</v>
      </c>
      <c r="B11" t="s">
        <v>33</v>
      </c>
      <c r="C11" t="s">
        <v>33</v>
      </c>
      <c r="D11" t="s">
        <v>6</v>
      </c>
      <c r="E11" t="s">
        <v>14</v>
      </c>
      <c r="F11">
        <v>31.4960063175333</v>
      </c>
      <c r="G11">
        <v>66.954717756740294</v>
      </c>
      <c r="H11">
        <v>52.771233181057497</v>
      </c>
      <c r="I11">
        <v>16</v>
      </c>
      <c r="J11">
        <v>41</v>
      </c>
    </row>
    <row r="12" spans="1:10" x14ac:dyDescent="0.3">
      <c r="A12" t="s">
        <v>34</v>
      </c>
      <c r="B12" t="s">
        <v>35</v>
      </c>
      <c r="C12" t="s">
        <v>35</v>
      </c>
      <c r="D12" t="s">
        <v>5</v>
      </c>
      <c r="E12" t="s">
        <v>14</v>
      </c>
      <c r="F12">
        <v>41.201664698562602</v>
      </c>
      <c r="G12">
        <v>58.896513442904201</v>
      </c>
      <c r="H12">
        <v>51.8185739451676</v>
      </c>
      <c r="I12">
        <v>14</v>
      </c>
      <c r="J12">
        <v>74</v>
      </c>
    </row>
    <row r="13" spans="1:10" x14ac:dyDescent="0.3">
      <c r="A13" t="s">
        <v>36</v>
      </c>
      <c r="B13" t="s">
        <v>37</v>
      </c>
      <c r="C13" t="s">
        <v>37</v>
      </c>
      <c r="D13" t="s">
        <v>6</v>
      </c>
      <c r="E13" t="s">
        <v>14</v>
      </c>
      <c r="F13">
        <v>1.8538461509417501</v>
      </c>
      <c r="G13">
        <v>51.6842623242961</v>
      </c>
      <c r="H13">
        <v>31.752095854954401</v>
      </c>
      <c r="I13">
        <v>9</v>
      </c>
      <c r="J13">
        <v>25</v>
      </c>
    </row>
    <row r="14" spans="1:10" x14ac:dyDescent="0.3">
      <c r="A14" t="s">
        <v>39</v>
      </c>
      <c r="B14" t="s">
        <v>40</v>
      </c>
      <c r="C14" t="s">
        <v>40</v>
      </c>
      <c r="D14" t="s">
        <v>7</v>
      </c>
      <c r="E14" t="s">
        <v>14</v>
      </c>
      <c r="F14">
        <v>12.615808929530401</v>
      </c>
      <c r="G14">
        <v>32.624010830854502</v>
      </c>
      <c r="H14">
        <v>24.6207300703248</v>
      </c>
      <c r="I14">
        <v>3</v>
      </c>
      <c r="J14">
        <v>3</v>
      </c>
    </row>
    <row r="15" spans="1:10" x14ac:dyDescent="0.3">
      <c r="A15" t="s">
        <v>41</v>
      </c>
      <c r="B15" t="s">
        <v>42</v>
      </c>
      <c r="C15" t="s">
        <v>42</v>
      </c>
      <c r="D15" t="s">
        <v>6</v>
      </c>
      <c r="E15" t="s">
        <v>14</v>
      </c>
      <c r="F15">
        <v>68.188219874408702</v>
      </c>
      <c r="G15">
        <v>62.3167146692128</v>
      </c>
      <c r="H15">
        <v>64.665316751291201</v>
      </c>
      <c r="I15">
        <v>18</v>
      </c>
      <c r="J15">
        <v>88</v>
      </c>
    </row>
    <row r="16" spans="1:10" x14ac:dyDescent="0.3">
      <c r="A16" t="s">
        <v>43</v>
      </c>
      <c r="B16" t="s">
        <v>44</v>
      </c>
      <c r="C16" t="s">
        <v>44</v>
      </c>
      <c r="D16" t="s">
        <v>6</v>
      </c>
      <c r="E16" t="s">
        <v>14</v>
      </c>
      <c r="F16">
        <v>58.8628271381708</v>
      </c>
      <c r="G16">
        <v>74.8014776272163</v>
      </c>
      <c r="H16">
        <v>68.426017431598098</v>
      </c>
      <c r="I16">
        <v>20</v>
      </c>
      <c r="J16">
        <v>93</v>
      </c>
    </row>
    <row r="17" spans="1:10" x14ac:dyDescent="0.3">
      <c r="A17" t="s">
        <v>45</v>
      </c>
      <c r="B17" t="s">
        <v>46</v>
      </c>
      <c r="C17" t="s">
        <v>45</v>
      </c>
      <c r="D17" t="s">
        <v>5</v>
      </c>
      <c r="E17" t="s">
        <v>14</v>
      </c>
      <c r="F17">
        <v>49.793934930321797</v>
      </c>
      <c r="G17">
        <v>75.202442709494804</v>
      </c>
      <c r="H17">
        <v>65.039039597825607</v>
      </c>
      <c r="I17">
        <v>17</v>
      </c>
      <c r="J17">
        <v>78</v>
      </c>
    </row>
    <row r="18" spans="1:10" x14ac:dyDescent="0.3">
      <c r="A18" t="s">
        <v>48</v>
      </c>
      <c r="B18" t="s">
        <v>49</v>
      </c>
      <c r="C18" t="s">
        <v>50</v>
      </c>
      <c r="D18" t="s">
        <v>6</v>
      </c>
      <c r="E18" t="s">
        <v>14</v>
      </c>
      <c r="F18">
        <v>27.3557540578405</v>
      </c>
      <c r="G18">
        <v>45.564714583812901</v>
      </c>
      <c r="H18">
        <v>38.281130373423899</v>
      </c>
      <c r="I18">
        <v>13</v>
      </c>
      <c r="J18">
        <v>57</v>
      </c>
    </row>
    <row r="19" spans="1:10" x14ac:dyDescent="0.3">
      <c r="A19" t="s">
        <v>52</v>
      </c>
      <c r="B19" t="s">
        <v>53</v>
      </c>
      <c r="C19" t="s">
        <v>53</v>
      </c>
      <c r="D19" t="s">
        <v>5</v>
      </c>
      <c r="E19" t="s">
        <v>14</v>
      </c>
      <c r="F19">
        <v>101.636363636363</v>
      </c>
      <c r="G19">
        <v>81.246348917673501</v>
      </c>
      <c r="H19">
        <v>89.402354805149599</v>
      </c>
      <c r="I19">
        <v>18</v>
      </c>
      <c r="J19">
        <v>68</v>
      </c>
    </row>
    <row r="20" spans="1:10" x14ac:dyDescent="0.3">
      <c r="A20" t="s">
        <v>54</v>
      </c>
      <c r="B20" t="s">
        <v>55</v>
      </c>
      <c r="C20" t="s">
        <v>56</v>
      </c>
      <c r="D20" t="s">
        <v>5</v>
      </c>
      <c r="E20" t="s">
        <v>14</v>
      </c>
      <c r="F20">
        <v>59.578947368420998</v>
      </c>
      <c r="G20">
        <v>146.86067496220099</v>
      </c>
      <c r="H20">
        <v>111.947983924689</v>
      </c>
      <c r="I20">
        <v>13</v>
      </c>
      <c r="J20">
        <v>31</v>
      </c>
    </row>
    <row r="21" spans="1:10" x14ac:dyDescent="0.3">
      <c r="A21" t="s">
        <v>57</v>
      </c>
      <c r="B21" t="s">
        <v>58</v>
      </c>
      <c r="C21" t="s">
        <v>58</v>
      </c>
      <c r="D21" t="s">
        <v>6</v>
      </c>
      <c r="E21" t="s">
        <v>14</v>
      </c>
      <c r="F21">
        <v>187.70961082711099</v>
      </c>
      <c r="G21">
        <v>135.28569990048001</v>
      </c>
      <c r="H21">
        <v>156.25526427113201</v>
      </c>
      <c r="I21">
        <v>13</v>
      </c>
      <c r="J21">
        <v>23</v>
      </c>
    </row>
    <row r="22" spans="1:10" x14ac:dyDescent="0.3">
      <c r="A22" t="s">
        <v>60</v>
      </c>
      <c r="B22" t="s">
        <v>61</v>
      </c>
      <c r="C22" t="s">
        <v>61</v>
      </c>
      <c r="D22" t="s">
        <v>6</v>
      </c>
      <c r="E22" t="s">
        <v>14</v>
      </c>
      <c r="F22">
        <v>59.055348892506203</v>
      </c>
      <c r="G22">
        <v>111.123410464586</v>
      </c>
      <c r="H22">
        <v>90.296185835754301</v>
      </c>
      <c r="I22">
        <v>19</v>
      </c>
      <c r="J22">
        <v>72</v>
      </c>
    </row>
    <row r="23" spans="1:10" x14ac:dyDescent="0.3">
      <c r="A23" t="s">
        <v>62</v>
      </c>
      <c r="B23" t="s">
        <v>63</v>
      </c>
      <c r="C23" t="s">
        <v>63</v>
      </c>
      <c r="D23" t="s">
        <v>4</v>
      </c>
      <c r="E23" t="s">
        <v>14</v>
      </c>
      <c r="F23">
        <v>4.5936078764877797</v>
      </c>
      <c r="G23">
        <v>25.052314475392699</v>
      </c>
      <c r="H23">
        <v>16.868831835830701</v>
      </c>
      <c r="I23">
        <v>18</v>
      </c>
      <c r="J23">
        <v>84</v>
      </c>
    </row>
    <row r="24" spans="1:10" x14ac:dyDescent="0.3">
      <c r="A24" t="s">
        <v>65</v>
      </c>
      <c r="B24" t="s">
        <v>66</v>
      </c>
      <c r="C24" t="s">
        <v>66</v>
      </c>
      <c r="D24" t="s">
        <v>5</v>
      </c>
      <c r="E24" t="s">
        <v>14</v>
      </c>
      <c r="F24">
        <v>82.6187855156643</v>
      </c>
      <c r="G24">
        <v>150.49011866630201</v>
      </c>
      <c r="H24">
        <v>123.341585406047</v>
      </c>
      <c r="I24">
        <v>19</v>
      </c>
      <c r="J24">
        <v>69</v>
      </c>
    </row>
    <row r="25" spans="1:10" x14ac:dyDescent="0.3">
      <c r="A25" t="s">
        <v>68</v>
      </c>
      <c r="B25" t="s">
        <v>69</v>
      </c>
      <c r="C25" t="s">
        <v>69</v>
      </c>
      <c r="D25" t="s">
        <v>4</v>
      </c>
      <c r="E25" t="s">
        <v>70</v>
      </c>
      <c r="F25">
        <v>0.30943752475148401</v>
      </c>
      <c r="G25">
        <v>24.6634867302167</v>
      </c>
      <c r="H25">
        <v>14.921867048030601</v>
      </c>
      <c r="I25">
        <v>1</v>
      </c>
      <c r="J25">
        <v>1</v>
      </c>
    </row>
    <row r="26" spans="1:10" x14ac:dyDescent="0.3">
      <c r="A26" t="s">
        <v>73</v>
      </c>
      <c r="B26" t="s">
        <v>74</v>
      </c>
      <c r="C26" t="s">
        <v>74</v>
      </c>
      <c r="D26" t="s">
        <v>6</v>
      </c>
      <c r="E26" t="s">
        <v>70</v>
      </c>
      <c r="F26">
        <v>16.2380170799449</v>
      </c>
      <c r="G26">
        <v>72.739062116862897</v>
      </c>
      <c r="H26">
        <v>50.138644102095697</v>
      </c>
      <c r="I26">
        <v>6</v>
      </c>
      <c r="J26">
        <v>10</v>
      </c>
    </row>
    <row r="27" spans="1:10" x14ac:dyDescent="0.3">
      <c r="A27" t="s">
        <v>75</v>
      </c>
      <c r="B27" t="s">
        <v>76</v>
      </c>
      <c r="C27" t="s">
        <v>76</v>
      </c>
      <c r="D27" t="s">
        <v>6</v>
      </c>
      <c r="E27" t="s">
        <v>70</v>
      </c>
      <c r="F27">
        <v>9.1434478254826406</v>
      </c>
      <c r="G27">
        <v>74.680248448200004</v>
      </c>
      <c r="H27">
        <v>48.465528199113002</v>
      </c>
      <c r="I27">
        <v>6</v>
      </c>
      <c r="J27">
        <v>8</v>
      </c>
    </row>
    <row r="28" spans="1:10" x14ac:dyDescent="0.3">
      <c r="A28" t="s">
        <v>77</v>
      </c>
      <c r="B28" t="s">
        <v>78</v>
      </c>
      <c r="C28" t="s">
        <v>78</v>
      </c>
      <c r="D28" t="s">
        <v>6</v>
      </c>
      <c r="E28" t="s">
        <v>70</v>
      </c>
      <c r="F28">
        <v>55.381561259239398</v>
      </c>
      <c r="G28">
        <v>88.137968176903996</v>
      </c>
      <c r="H28">
        <v>75.035405409838106</v>
      </c>
      <c r="I28">
        <v>17</v>
      </c>
      <c r="J28">
        <v>61</v>
      </c>
    </row>
    <row r="29" spans="1:10" x14ac:dyDescent="0.3">
      <c r="A29" t="s">
        <v>79</v>
      </c>
      <c r="B29" t="s">
        <v>80</v>
      </c>
      <c r="C29" t="s">
        <v>80</v>
      </c>
      <c r="D29" t="s">
        <v>5</v>
      </c>
      <c r="E29" t="s">
        <v>70</v>
      </c>
      <c r="F29">
        <v>17.2954115329808</v>
      </c>
      <c r="G29">
        <v>36.564068930795401</v>
      </c>
      <c r="H29">
        <v>28.856605971669602</v>
      </c>
      <c r="I29">
        <v>6</v>
      </c>
      <c r="J29">
        <v>19</v>
      </c>
    </row>
    <row r="30" spans="1:10" x14ac:dyDescent="0.3">
      <c r="A30" t="s">
        <v>81</v>
      </c>
      <c r="B30" t="s">
        <v>82</v>
      </c>
      <c r="C30" t="s">
        <v>83</v>
      </c>
      <c r="D30" t="s">
        <v>6</v>
      </c>
      <c r="E30" t="s">
        <v>70</v>
      </c>
      <c r="F30">
        <v>17.122148333368301</v>
      </c>
      <c r="G30">
        <v>69.094380334105097</v>
      </c>
      <c r="H30">
        <v>48.3054875338103</v>
      </c>
      <c r="I30">
        <v>1</v>
      </c>
      <c r="J30">
        <v>1</v>
      </c>
    </row>
    <row r="31" spans="1:10" x14ac:dyDescent="0.3">
      <c r="A31" t="s">
        <v>84</v>
      </c>
      <c r="B31" t="s">
        <v>85</v>
      </c>
      <c r="C31" t="s">
        <v>85</v>
      </c>
      <c r="D31" t="s">
        <v>5</v>
      </c>
      <c r="E31" t="s">
        <v>70</v>
      </c>
      <c r="F31">
        <v>69.136363636363598</v>
      </c>
      <c r="G31">
        <v>64.459702878309599</v>
      </c>
      <c r="H31">
        <v>66.330367181531201</v>
      </c>
      <c r="I31">
        <v>18</v>
      </c>
      <c r="J31">
        <v>61</v>
      </c>
    </row>
    <row r="32" spans="1:10" x14ac:dyDescent="0.3">
      <c r="A32" t="s">
        <v>86</v>
      </c>
      <c r="B32" t="s">
        <v>87</v>
      </c>
      <c r="C32" t="s">
        <v>87</v>
      </c>
      <c r="D32" t="s">
        <v>5</v>
      </c>
      <c r="E32" t="s">
        <v>70</v>
      </c>
      <c r="F32">
        <v>51.773525566688399</v>
      </c>
      <c r="G32">
        <v>87.765276283089804</v>
      </c>
      <c r="H32">
        <v>73.368575996529202</v>
      </c>
      <c r="I32">
        <v>17</v>
      </c>
      <c r="J32">
        <v>48</v>
      </c>
    </row>
    <row r="33" spans="1:10" x14ac:dyDescent="0.3">
      <c r="A33" t="s">
        <v>88</v>
      </c>
      <c r="B33" t="s">
        <v>89</v>
      </c>
      <c r="C33" t="s">
        <v>89</v>
      </c>
      <c r="D33" t="s">
        <v>7</v>
      </c>
      <c r="E33" t="s">
        <v>70</v>
      </c>
      <c r="F33">
        <v>157.74509792992001</v>
      </c>
      <c r="G33">
        <v>96.751721095749502</v>
      </c>
      <c r="H33">
        <v>121.149071829417</v>
      </c>
      <c r="I33">
        <v>17</v>
      </c>
      <c r="J33">
        <v>65</v>
      </c>
    </row>
    <row r="34" spans="1:10" x14ac:dyDescent="0.3">
      <c r="A34" t="s">
        <v>90</v>
      </c>
      <c r="B34" t="s">
        <v>91</v>
      </c>
      <c r="C34" t="s">
        <v>91</v>
      </c>
      <c r="D34" t="s">
        <v>6</v>
      </c>
      <c r="E34" t="s">
        <v>70</v>
      </c>
      <c r="F34">
        <v>23.0757576686586</v>
      </c>
      <c r="G34">
        <v>36.414242709422098</v>
      </c>
      <c r="H34">
        <v>31.078848693116701</v>
      </c>
      <c r="I34">
        <v>12</v>
      </c>
      <c r="J34">
        <v>16</v>
      </c>
    </row>
    <row r="35" spans="1:10" x14ac:dyDescent="0.3">
      <c r="A35" t="s">
        <v>72</v>
      </c>
      <c r="B35" t="s">
        <v>92</v>
      </c>
      <c r="C35" t="s">
        <v>93</v>
      </c>
      <c r="D35" t="s">
        <v>6</v>
      </c>
      <c r="E35" t="s">
        <v>70</v>
      </c>
      <c r="F35">
        <v>45.314034202214501</v>
      </c>
      <c r="G35">
        <v>165.65764055609901</v>
      </c>
      <c r="H35">
        <v>117.520198014545</v>
      </c>
      <c r="I35">
        <v>18</v>
      </c>
      <c r="J35">
        <v>51</v>
      </c>
    </row>
    <row r="36" spans="1:10" x14ac:dyDescent="0.3">
      <c r="A36" t="s">
        <v>94</v>
      </c>
      <c r="B36" t="s">
        <v>95</v>
      </c>
      <c r="C36" t="s">
        <v>95</v>
      </c>
      <c r="D36" t="s">
        <v>5</v>
      </c>
      <c r="E36" t="s">
        <v>70</v>
      </c>
      <c r="F36">
        <v>120.117647058823</v>
      </c>
      <c r="G36">
        <v>80.176761706446001</v>
      </c>
      <c r="H36">
        <v>96.153115847397004</v>
      </c>
      <c r="I36">
        <v>20</v>
      </c>
      <c r="J36">
        <v>59</v>
      </c>
    </row>
    <row r="37" spans="1:10" x14ac:dyDescent="0.3">
      <c r="A37" t="s">
        <v>96</v>
      </c>
      <c r="B37" t="s">
        <v>97</v>
      </c>
      <c r="C37" t="s">
        <v>98</v>
      </c>
      <c r="D37" t="s">
        <v>5</v>
      </c>
      <c r="E37" t="s">
        <v>70</v>
      </c>
      <c r="F37">
        <v>47.058444244906397</v>
      </c>
      <c r="G37">
        <v>60.698163422473698</v>
      </c>
      <c r="H37">
        <v>55.242275751446797</v>
      </c>
      <c r="I37">
        <v>19</v>
      </c>
      <c r="J37">
        <v>55</v>
      </c>
    </row>
    <row r="38" spans="1:10" x14ac:dyDescent="0.3">
      <c r="A38" t="s">
        <v>99</v>
      </c>
      <c r="B38" t="s">
        <v>100</v>
      </c>
      <c r="C38" t="s">
        <v>99</v>
      </c>
      <c r="D38" t="s">
        <v>6</v>
      </c>
      <c r="E38" t="s">
        <v>70</v>
      </c>
      <c r="F38">
        <v>43.432504077672</v>
      </c>
      <c r="G38">
        <v>78.6737873999665</v>
      </c>
      <c r="H38">
        <v>64.577274071048706</v>
      </c>
      <c r="I38">
        <v>16</v>
      </c>
      <c r="J38">
        <v>43</v>
      </c>
    </row>
    <row r="39" spans="1:10" x14ac:dyDescent="0.3">
      <c r="A39" t="s">
        <v>101</v>
      </c>
      <c r="B39" t="s">
        <v>102</v>
      </c>
      <c r="C39" t="s">
        <v>102</v>
      </c>
      <c r="D39" t="s">
        <v>6</v>
      </c>
      <c r="E39" t="s">
        <v>70</v>
      </c>
      <c r="F39">
        <v>21.100235413173198</v>
      </c>
      <c r="G39">
        <v>64.955895064638895</v>
      </c>
      <c r="H39">
        <v>47.413631204052599</v>
      </c>
      <c r="I39">
        <v>18</v>
      </c>
      <c r="J39">
        <v>55</v>
      </c>
    </row>
    <row r="40" spans="1:10" x14ac:dyDescent="0.3">
      <c r="A40" t="s">
        <v>103</v>
      </c>
      <c r="B40" t="s">
        <v>104</v>
      </c>
      <c r="C40" t="s">
        <v>104</v>
      </c>
      <c r="D40" t="s">
        <v>5</v>
      </c>
      <c r="E40" t="s">
        <v>70</v>
      </c>
      <c r="F40">
        <v>18.673794853790699</v>
      </c>
      <c r="G40">
        <v>53.120246048768401</v>
      </c>
      <c r="H40">
        <v>39.341665570777302</v>
      </c>
      <c r="I40">
        <v>12</v>
      </c>
      <c r="J40">
        <v>30</v>
      </c>
    </row>
    <row r="41" spans="1:10" x14ac:dyDescent="0.3">
      <c r="A41" t="s">
        <v>38</v>
      </c>
      <c r="B41" t="s">
        <v>105</v>
      </c>
      <c r="C41" t="s">
        <v>105</v>
      </c>
      <c r="D41" t="s">
        <v>5</v>
      </c>
      <c r="E41" t="s">
        <v>70</v>
      </c>
      <c r="F41">
        <v>96.909091087992095</v>
      </c>
      <c r="G41">
        <v>83.478125049713</v>
      </c>
      <c r="H41">
        <v>88.850511465024695</v>
      </c>
      <c r="I41">
        <v>15</v>
      </c>
      <c r="J41">
        <v>27</v>
      </c>
    </row>
    <row r="42" spans="1:10" x14ac:dyDescent="0.3">
      <c r="A42" t="s">
        <v>106</v>
      </c>
      <c r="B42" t="s">
        <v>107</v>
      </c>
      <c r="C42" t="s">
        <v>107</v>
      </c>
      <c r="D42" t="s">
        <v>7</v>
      </c>
      <c r="E42" t="s">
        <v>70</v>
      </c>
      <c r="F42">
        <v>80.461294119595394</v>
      </c>
      <c r="G42">
        <v>93.783249762825704</v>
      </c>
      <c r="H42">
        <v>88.4544675055336</v>
      </c>
      <c r="I42">
        <v>15</v>
      </c>
      <c r="J42">
        <v>55</v>
      </c>
    </row>
    <row r="43" spans="1:10" x14ac:dyDescent="0.3">
      <c r="A43" t="s">
        <v>108</v>
      </c>
      <c r="B43" t="s">
        <v>109</v>
      </c>
      <c r="C43" t="s">
        <v>109</v>
      </c>
      <c r="D43" t="s">
        <v>6</v>
      </c>
      <c r="E43" t="s">
        <v>70</v>
      </c>
      <c r="F43">
        <v>126.818418443311</v>
      </c>
      <c r="G43">
        <v>141.455586431889</v>
      </c>
      <c r="H43">
        <v>135.600719236457</v>
      </c>
      <c r="I43">
        <v>9</v>
      </c>
      <c r="J43">
        <v>27</v>
      </c>
    </row>
    <row r="44" spans="1:10" x14ac:dyDescent="0.3">
      <c r="A44" t="s">
        <v>110</v>
      </c>
      <c r="B44" t="s">
        <v>111</v>
      </c>
      <c r="C44" t="s">
        <v>111</v>
      </c>
      <c r="D44" t="s">
        <v>6</v>
      </c>
      <c r="E44" t="s">
        <v>70</v>
      </c>
      <c r="F44">
        <v>3.42857137049617</v>
      </c>
      <c r="G44">
        <v>85.067203669356104</v>
      </c>
      <c r="H44">
        <v>52.4117507498121</v>
      </c>
      <c r="I44">
        <v>1</v>
      </c>
      <c r="J44">
        <v>1</v>
      </c>
    </row>
    <row r="45" spans="1:10" x14ac:dyDescent="0.3">
      <c r="A45" t="s">
        <v>112</v>
      </c>
      <c r="B45" t="s">
        <v>113</v>
      </c>
      <c r="C45" t="s">
        <v>113</v>
      </c>
      <c r="D45" t="s">
        <v>6</v>
      </c>
      <c r="E45" t="s">
        <v>70</v>
      </c>
      <c r="F45">
        <v>3.33010926661788</v>
      </c>
      <c r="G45">
        <v>79.611333132951799</v>
      </c>
      <c r="H45">
        <v>49.098843586418198</v>
      </c>
      <c r="I45">
        <v>6</v>
      </c>
      <c r="J45">
        <v>10</v>
      </c>
    </row>
    <row r="46" spans="1:10" x14ac:dyDescent="0.3">
      <c r="A46" t="s">
        <v>114</v>
      </c>
      <c r="B46" t="s">
        <v>115</v>
      </c>
      <c r="C46" t="s">
        <v>115</v>
      </c>
      <c r="D46" t="s">
        <v>7</v>
      </c>
      <c r="E46" t="s">
        <v>70</v>
      </c>
      <c r="F46">
        <v>5.9341921007674898</v>
      </c>
      <c r="G46">
        <v>109.736617447039</v>
      </c>
      <c r="H46">
        <v>68.215647308530606</v>
      </c>
      <c r="I46">
        <v>3</v>
      </c>
      <c r="J46">
        <v>3</v>
      </c>
    </row>
    <row r="47" spans="1:10" x14ac:dyDescent="0.3">
      <c r="A47" t="s">
        <v>169</v>
      </c>
      <c r="B47" t="s">
        <v>170</v>
      </c>
      <c r="C47" t="s">
        <v>170</v>
      </c>
      <c r="D47" t="s">
        <v>6</v>
      </c>
      <c r="E47" t="s">
        <v>171</v>
      </c>
      <c r="F47">
        <v>25.874419040392201</v>
      </c>
      <c r="G47">
        <v>42.603414198836496</v>
      </c>
      <c r="H47">
        <v>35.9118161354588</v>
      </c>
      <c r="I47">
        <v>17</v>
      </c>
      <c r="J47">
        <v>36</v>
      </c>
    </row>
    <row r="48" spans="1:10" x14ac:dyDescent="0.3">
      <c r="A48" t="s">
        <v>172</v>
      </c>
      <c r="B48" t="s">
        <v>173</v>
      </c>
      <c r="C48" t="s">
        <v>173</v>
      </c>
      <c r="D48" t="s">
        <v>4</v>
      </c>
      <c r="E48" t="s">
        <v>171</v>
      </c>
      <c r="F48">
        <v>0.74074072674769698</v>
      </c>
      <c r="G48">
        <v>44.008864851950797</v>
      </c>
      <c r="H48">
        <v>26.701615201869501</v>
      </c>
      <c r="I48">
        <v>1</v>
      </c>
      <c r="J48">
        <v>2</v>
      </c>
    </row>
    <row r="49" spans="1:10" x14ac:dyDescent="0.3">
      <c r="A49" t="s">
        <v>174</v>
      </c>
      <c r="B49" t="s">
        <v>175</v>
      </c>
      <c r="C49" t="s">
        <v>175</v>
      </c>
      <c r="D49" t="s">
        <v>6</v>
      </c>
      <c r="E49" t="s">
        <v>171</v>
      </c>
      <c r="F49">
        <v>46.196813291588398</v>
      </c>
      <c r="G49">
        <v>78.301419819339301</v>
      </c>
      <c r="H49">
        <v>65.459577208238997</v>
      </c>
      <c r="I49">
        <v>12</v>
      </c>
      <c r="J49">
        <v>32</v>
      </c>
    </row>
    <row r="50" spans="1:10" x14ac:dyDescent="0.3">
      <c r="A50" t="s">
        <v>176</v>
      </c>
      <c r="B50" t="s">
        <v>177</v>
      </c>
      <c r="C50" t="s">
        <v>177</v>
      </c>
      <c r="D50" t="s">
        <v>5</v>
      </c>
      <c r="E50" t="s">
        <v>171</v>
      </c>
      <c r="F50">
        <v>19.919945340770798</v>
      </c>
      <c r="G50">
        <v>36.735526305479702</v>
      </c>
      <c r="H50">
        <v>30.0092939195962</v>
      </c>
      <c r="I50">
        <v>13</v>
      </c>
      <c r="J50">
        <v>46</v>
      </c>
    </row>
    <row r="51" spans="1:10" x14ac:dyDescent="0.3">
      <c r="A51" t="s">
        <v>178</v>
      </c>
      <c r="B51" t="s">
        <v>179</v>
      </c>
      <c r="C51" t="s">
        <v>179</v>
      </c>
      <c r="D51" t="s">
        <v>5</v>
      </c>
      <c r="E51" t="s">
        <v>171</v>
      </c>
      <c r="F51">
        <v>3.22695647422267</v>
      </c>
      <c r="G51">
        <v>24.69601239352</v>
      </c>
      <c r="H51">
        <v>16.108390025801</v>
      </c>
      <c r="I51">
        <v>11</v>
      </c>
      <c r="J51">
        <v>35</v>
      </c>
    </row>
    <row r="52" spans="1:10" x14ac:dyDescent="0.3">
      <c r="A52" t="s">
        <v>180</v>
      </c>
      <c r="B52" t="s">
        <v>181</v>
      </c>
      <c r="C52" t="s">
        <v>181</v>
      </c>
      <c r="D52" t="s">
        <v>5</v>
      </c>
      <c r="E52" t="s">
        <v>171</v>
      </c>
      <c r="F52">
        <v>65.963726026392393</v>
      </c>
      <c r="G52">
        <v>93.862569431043099</v>
      </c>
      <c r="H52">
        <v>82.703032069182797</v>
      </c>
      <c r="I52">
        <v>13</v>
      </c>
      <c r="J52">
        <v>50</v>
      </c>
    </row>
    <row r="53" spans="1:10" x14ac:dyDescent="0.3">
      <c r="A53" t="s">
        <v>182</v>
      </c>
      <c r="B53" t="s">
        <v>183</v>
      </c>
      <c r="C53" t="s">
        <v>183</v>
      </c>
      <c r="D53" t="s">
        <v>6</v>
      </c>
      <c r="E53" t="s">
        <v>171</v>
      </c>
      <c r="F53">
        <v>27.329323059320998</v>
      </c>
      <c r="G53">
        <v>42.9548808945693</v>
      </c>
      <c r="H53">
        <v>36.704657760469999</v>
      </c>
      <c r="I53">
        <v>15</v>
      </c>
      <c r="J53">
        <v>30</v>
      </c>
    </row>
    <row r="54" spans="1:10" x14ac:dyDescent="0.3">
      <c r="A54" t="s">
        <v>169</v>
      </c>
      <c r="B54" t="s">
        <v>184</v>
      </c>
      <c r="C54" t="s">
        <v>184</v>
      </c>
      <c r="D54" t="s">
        <v>5</v>
      </c>
      <c r="E54" t="s">
        <v>171</v>
      </c>
      <c r="F54">
        <v>-72.944135199313493</v>
      </c>
      <c r="G54">
        <v>22.243995514072001</v>
      </c>
      <c r="H54">
        <v>-15.831256771282099</v>
      </c>
      <c r="I54">
        <v>10</v>
      </c>
      <c r="J54">
        <v>24</v>
      </c>
    </row>
    <row r="55" spans="1:10" x14ac:dyDescent="0.3">
      <c r="A55" t="s">
        <v>185</v>
      </c>
      <c r="B55" t="s">
        <v>186</v>
      </c>
      <c r="C55" t="s">
        <v>186</v>
      </c>
      <c r="D55" t="s">
        <v>5</v>
      </c>
      <c r="E55" t="s">
        <v>171</v>
      </c>
      <c r="F55">
        <v>57.7148954358615</v>
      </c>
      <c r="G55">
        <v>75.037930297558006</v>
      </c>
      <c r="H55">
        <v>68.108716352879398</v>
      </c>
      <c r="I55">
        <v>5</v>
      </c>
      <c r="J55">
        <v>41</v>
      </c>
    </row>
    <row r="56" spans="1:10" x14ac:dyDescent="0.3">
      <c r="A56" t="s">
        <v>187</v>
      </c>
      <c r="B56" t="s">
        <v>188</v>
      </c>
      <c r="C56" t="s">
        <v>188</v>
      </c>
      <c r="D56" t="s">
        <v>7</v>
      </c>
      <c r="E56" t="s">
        <v>171</v>
      </c>
      <c r="F56">
        <v>135.304347845162</v>
      </c>
      <c r="G56">
        <v>94.240450467637302</v>
      </c>
      <c r="H56">
        <v>110.66600941864699</v>
      </c>
      <c r="I56">
        <v>17</v>
      </c>
      <c r="J56">
        <v>73</v>
      </c>
    </row>
    <row r="57" spans="1:10" x14ac:dyDescent="0.3">
      <c r="A57" t="s">
        <v>189</v>
      </c>
      <c r="B57" t="s">
        <v>190</v>
      </c>
      <c r="C57" t="s">
        <v>190</v>
      </c>
      <c r="D57" t="s">
        <v>6</v>
      </c>
      <c r="E57" t="s">
        <v>171</v>
      </c>
      <c r="F57">
        <v>65.802314048852693</v>
      </c>
      <c r="G57">
        <v>95.029860962129703</v>
      </c>
      <c r="H57">
        <v>83.338842196818902</v>
      </c>
      <c r="I57">
        <v>18</v>
      </c>
      <c r="J57">
        <v>72</v>
      </c>
    </row>
    <row r="58" spans="1:10" x14ac:dyDescent="0.3">
      <c r="A58" t="s">
        <v>193</v>
      </c>
      <c r="B58" t="s">
        <v>194</v>
      </c>
      <c r="C58" t="s">
        <v>194</v>
      </c>
      <c r="D58" t="s">
        <v>4</v>
      </c>
      <c r="E58" t="s">
        <v>171</v>
      </c>
      <c r="F58">
        <v>69.244046772303093</v>
      </c>
      <c r="G58">
        <v>99.771386742062404</v>
      </c>
      <c r="H58">
        <v>87.560450754158694</v>
      </c>
      <c r="I58">
        <v>18</v>
      </c>
      <c r="J58">
        <v>69</v>
      </c>
    </row>
    <row r="59" spans="1:10" x14ac:dyDescent="0.3">
      <c r="A59" t="s">
        <v>195</v>
      </c>
      <c r="B59" t="s">
        <v>196</v>
      </c>
      <c r="C59" t="s">
        <v>196</v>
      </c>
      <c r="D59" t="s">
        <v>6</v>
      </c>
      <c r="E59" t="s">
        <v>171</v>
      </c>
      <c r="F59">
        <v>29.194445451040799</v>
      </c>
      <c r="G59">
        <v>46.726750946628798</v>
      </c>
      <c r="H59">
        <v>39.713828748393603</v>
      </c>
      <c r="I59">
        <v>13</v>
      </c>
      <c r="J59">
        <v>30</v>
      </c>
    </row>
    <row r="60" spans="1:10" x14ac:dyDescent="0.3">
      <c r="A60" t="s">
        <v>197</v>
      </c>
      <c r="B60" t="s">
        <v>198</v>
      </c>
      <c r="C60" t="s">
        <v>198</v>
      </c>
      <c r="D60" t="s">
        <v>6</v>
      </c>
      <c r="E60" t="s">
        <v>171</v>
      </c>
      <c r="F60">
        <v>696.87058756148599</v>
      </c>
      <c r="G60">
        <v>31.601010120236602</v>
      </c>
      <c r="H60">
        <v>297.70884109673602</v>
      </c>
      <c r="I60">
        <v>4</v>
      </c>
      <c r="J60">
        <v>5</v>
      </c>
    </row>
    <row r="61" spans="1:10" x14ac:dyDescent="0.3">
      <c r="A61" t="s">
        <v>199</v>
      </c>
      <c r="B61" t="s">
        <v>200</v>
      </c>
      <c r="C61" t="s">
        <v>200</v>
      </c>
      <c r="D61" t="s">
        <v>6</v>
      </c>
      <c r="E61" t="s">
        <v>171</v>
      </c>
      <c r="F61">
        <v>53.515151515151501</v>
      </c>
      <c r="G61">
        <v>59.553784072842198</v>
      </c>
      <c r="H61">
        <v>57.138331049765902</v>
      </c>
      <c r="I61">
        <v>14</v>
      </c>
      <c r="J61">
        <v>51</v>
      </c>
    </row>
    <row r="62" spans="1:10" x14ac:dyDescent="0.3">
      <c r="A62" t="s">
        <v>201</v>
      </c>
      <c r="B62" t="s">
        <v>202</v>
      </c>
      <c r="C62" t="s">
        <v>202</v>
      </c>
      <c r="D62" t="s">
        <v>6</v>
      </c>
      <c r="E62" t="s">
        <v>171</v>
      </c>
      <c r="F62">
        <v>30.142375699833</v>
      </c>
      <c r="G62">
        <v>82.973474829964104</v>
      </c>
      <c r="H62">
        <v>61.841035177911699</v>
      </c>
      <c r="I62">
        <v>18</v>
      </c>
      <c r="J62">
        <v>43</v>
      </c>
    </row>
    <row r="63" spans="1:10" x14ac:dyDescent="0.3">
      <c r="A63" t="s">
        <v>106</v>
      </c>
      <c r="B63" t="s">
        <v>203</v>
      </c>
      <c r="C63" t="s">
        <v>203</v>
      </c>
      <c r="D63" t="s">
        <v>7</v>
      </c>
      <c r="E63" t="s">
        <v>171</v>
      </c>
      <c r="F63">
        <v>31.247872973639598</v>
      </c>
      <c r="G63">
        <v>50.1308316166986</v>
      </c>
      <c r="H63">
        <v>42.577648159474997</v>
      </c>
      <c r="I63">
        <v>7</v>
      </c>
      <c r="J63">
        <v>22</v>
      </c>
    </row>
    <row r="64" spans="1:10" x14ac:dyDescent="0.3">
      <c r="A64" t="s">
        <v>204</v>
      </c>
      <c r="B64" t="s">
        <v>205</v>
      </c>
      <c r="C64" t="s">
        <v>205</v>
      </c>
      <c r="D64" t="s">
        <v>6</v>
      </c>
      <c r="E64" t="s">
        <v>171</v>
      </c>
      <c r="F64">
        <v>171.374787208161</v>
      </c>
      <c r="G64">
        <v>148.95491379132099</v>
      </c>
      <c r="H64">
        <v>157.922863158057</v>
      </c>
      <c r="I64">
        <v>11</v>
      </c>
      <c r="J64">
        <v>35</v>
      </c>
    </row>
    <row r="65" spans="1:10" x14ac:dyDescent="0.3">
      <c r="A65" t="s">
        <v>208</v>
      </c>
      <c r="B65" t="s">
        <v>209</v>
      </c>
      <c r="C65" t="s">
        <v>209</v>
      </c>
      <c r="D65" t="s">
        <v>5</v>
      </c>
      <c r="E65" t="s">
        <v>171</v>
      </c>
      <c r="F65">
        <v>149</v>
      </c>
      <c r="G65">
        <v>156.52031768632901</v>
      </c>
      <c r="H65">
        <v>153.512190611797</v>
      </c>
      <c r="I65">
        <v>19</v>
      </c>
      <c r="J65">
        <v>68</v>
      </c>
    </row>
    <row r="66" spans="1:10" x14ac:dyDescent="0.3">
      <c r="A66" t="s">
        <v>210</v>
      </c>
      <c r="B66" t="s">
        <v>211</v>
      </c>
      <c r="C66" t="s">
        <v>211</v>
      </c>
      <c r="D66" t="s">
        <v>6</v>
      </c>
      <c r="E66" t="s">
        <v>171</v>
      </c>
      <c r="F66">
        <v>3.33333315672024</v>
      </c>
      <c r="G66">
        <v>117.133671513832</v>
      </c>
      <c r="H66">
        <v>71.6135361709877</v>
      </c>
      <c r="I66">
        <v>2</v>
      </c>
      <c r="J66">
        <v>2</v>
      </c>
    </row>
    <row r="67" spans="1:10" x14ac:dyDescent="0.3">
      <c r="A67" t="s">
        <v>118</v>
      </c>
      <c r="B67" t="s">
        <v>119</v>
      </c>
      <c r="C67" t="s">
        <v>119</v>
      </c>
      <c r="D67" t="s">
        <v>5</v>
      </c>
      <c r="E67" t="s">
        <v>120</v>
      </c>
      <c r="F67">
        <v>70.243770981229204</v>
      </c>
      <c r="G67">
        <v>172.637237227133</v>
      </c>
      <c r="H67">
        <v>131.67985072877099</v>
      </c>
      <c r="I67">
        <v>21</v>
      </c>
      <c r="J67">
        <v>65</v>
      </c>
    </row>
    <row r="68" spans="1:10" x14ac:dyDescent="0.3">
      <c r="A68" t="s">
        <v>121</v>
      </c>
      <c r="B68" t="s">
        <v>122</v>
      </c>
      <c r="C68" t="s">
        <v>122</v>
      </c>
      <c r="D68" t="s">
        <v>6</v>
      </c>
      <c r="E68" t="s">
        <v>120</v>
      </c>
      <c r="F68">
        <v>36.959203226236703</v>
      </c>
      <c r="G68">
        <v>159.86895431434101</v>
      </c>
      <c r="H68">
        <v>110.705053879099</v>
      </c>
      <c r="I68">
        <v>20</v>
      </c>
      <c r="J68">
        <v>48</v>
      </c>
    </row>
    <row r="69" spans="1:10" x14ac:dyDescent="0.3">
      <c r="A69" t="s">
        <v>123</v>
      </c>
      <c r="B69" t="s">
        <v>124</v>
      </c>
      <c r="C69" t="s">
        <v>124</v>
      </c>
      <c r="D69" t="s">
        <v>7</v>
      </c>
      <c r="E69" t="s">
        <v>120</v>
      </c>
      <c r="F69">
        <v>252.27597530635899</v>
      </c>
      <c r="G69">
        <v>173.28320937391899</v>
      </c>
      <c r="H69">
        <v>204.88031574689501</v>
      </c>
      <c r="I69">
        <v>19</v>
      </c>
      <c r="J69">
        <v>62</v>
      </c>
    </row>
    <row r="70" spans="1:10" x14ac:dyDescent="0.3">
      <c r="A70" t="s">
        <v>125</v>
      </c>
      <c r="B70" t="s">
        <v>126</v>
      </c>
      <c r="C70" t="s">
        <v>127</v>
      </c>
      <c r="D70" t="s">
        <v>4</v>
      </c>
      <c r="E70" t="s">
        <v>120</v>
      </c>
      <c r="F70">
        <v>-12.5420695465411</v>
      </c>
      <c r="G70">
        <v>140.78720615831901</v>
      </c>
      <c r="H70">
        <v>79.455495876374997</v>
      </c>
      <c r="I70">
        <v>9</v>
      </c>
      <c r="J70">
        <v>34</v>
      </c>
    </row>
    <row r="71" spans="1:10" x14ac:dyDescent="0.3">
      <c r="A71" t="s">
        <v>128</v>
      </c>
      <c r="B71" t="s">
        <v>129</v>
      </c>
      <c r="C71" t="s">
        <v>129</v>
      </c>
      <c r="D71" t="s">
        <v>6</v>
      </c>
      <c r="E71" t="s">
        <v>120</v>
      </c>
      <c r="F71">
        <v>63.0209439206197</v>
      </c>
      <c r="G71">
        <v>160.58863941810301</v>
      </c>
      <c r="H71">
        <v>121.56156121911</v>
      </c>
      <c r="I71">
        <v>20</v>
      </c>
      <c r="J71">
        <v>59</v>
      </c>
    </row>
    <row r="72" spans="1:10" x14ac:dyDescent="0.3">
      <c r="A72" t="s">
        <v>130</v>
      </c>
      <c r="B72" t="s">
        <v>131</v>
      </c>
      <c r="C72" t="s">
        <v>131</v>
      </c>
      <c r="D72" t="s">
        <v>5</v>
      </c>
      <c r="E72" t="s">
        <v>120</v>
      </c>
      <c r="F72">
        <v>0</v>
      </c>
      <c r="G72">
        <v>163.711444865017</v>
      </c>
      <c r="H72">
        <v>98.226866919010405</v>
      </c>
      <c r="I72">
        <v>17</v>
      </c>
      <c r="J72">
        <v>55</v>
      </c>
    </row>
    <row r="73" spans="1:10" x14ac:dyDescent="0.3">
      <c r="A73" t="s">
        <v>132</v>
      </c>
      <c r="B73" t="s">
        <v>133</v>
      </c>
      <c r="C73" t="s">
        <v>133</v>
      </c>
      <c r="D73" t="s">
        <v>6</v>
      </c>
      <c r="E73" t="s">
        <v>120</v>
      </c>
      <c r="F73">
        <v>43.710683121536803</v>
      </c>
      <c r="G73">
        <v>153.387246998808</v>
      </c>
      <c r="H73">
        <v>109.51662144789999</v>
      </c>
      <c r="I73">
        <v>16</v>
      </c>
      <c r="J73">
        <v>47</v>
      </c>
    </row>
    <row r="74" spans="1:10" x14ac:dyDescent="0.3">
      <c r="A74" t="s">
        <v>134</v>
      </c>
      <c r="B74" t="s">
        <v>135</v>
      </c>
      <c r="C74" t="s">
        <v>135</v>
      </c>
      <c r="D74" t="s">
        <v>6</v>
      </c>
      <c r="E74" t="s">
        <v>120</v>
      </c>
      <c r="F74">
        <v>63.062105565096203</v>
      </c>
      <c r="G74">
        <v>144.55552437622799</v>
      </c>
      <c r="H74">
        <v>111.958156851775</v>
      </c>
      <c r="I74">
        <v>11</v>
      </c>
      <c r="J74">
        <v>21</v>
      </c>
    </row>
    <row r="75" spans="1:10" x14ac:dyDescent="0.3">
      <c r="A75" t="s">
        <v>136</v>
      </c>
      <c r="B75" t="s">
        <v>137</v>
      </c>
      <c r="C75" t="s">
        <v>137</v>
      </c>
      <c r="D75" t="s">
        <v>6</v>
      </c>
      <c r="E75" t="s">
        <v>120</v>
      </c>
      <c r="F75">
        <v>316.48575698589099</v>
      </c>
      <c r="G75">
        <v>150.87165639017701</v>
      </c>
      <c r="H75">
        <v>217.11729662846301</v>
      </c>
      <c r="I75">
        <v>15</v>
      </c>
      <c r="J75">
        <v>28</v>
      </c>
    </row>
    <row r="76" spans="1:10" x14ac:dyDescent="0.3">
      <c r="A76" t="s">
        <v>67</v>
      </c>
      <c r="B76" t="s">
        <v>138</v>
      </c>
      <c r="C76" t="s">
        <v>138</v>
      </c>
      <c r="D76" t="s">
        <v>5</v>
      </c>
      <c r="E76" t="s">
        <v>120</v>
      </c>
      <c r="F76">
        <v>-3.4596052249790801</v>
      </c>
      <c r="G76">
        <v>95.520845232985295</v>
      </c>
      <c r="H76">
        <v>55.928665049799498</v>
      </c>
      <c r="I76">
        <v>6</v>
      </c>
      <c r="J76">
        <v>10</v>
      </c>
    </row>
    <row r="77" spans="1:10" x14ac:dyDescent="0.3">
      <c r="A77" t="s">
        <v>139</v>
      </c>
      <c r="B77" t="s">
        <v>140</v>
      </c>
      <c r="C77" t="s">
        <v>140</v>
      </c>
      <c r="D77" t="s">
        <v>7</v>
      </c>
      <c r="E77" t="s">
        <v>120</v>
      </c>
      <c r="F77">
        <v>27.571973754578501</v>
      </c>
      <c r="G77">
        <v>131.34504306122801</v>
      </c>
      <c r="H77">
        <v>89.835815338568494</v>
      </c>
      <c r="I77">
        <v>6</v>
      </c>
      <c r="J77">
        <v>10</v>
      </c>
    </row>
    <row r="78" spans="1:10" x14ac:dyDescent="0.3">
      <c r="A78" t="s">
        <v>141</v>
      </c>
      <c r="B78" t="s">
        <v>142</v>
      </c>
      <c r="C78" t="s">
        <v>143</v>
      </c>
      <c r="D78" t="s">
        <v>5</v>
      </c>
      <c r="E78" t="s">
        <v>120</v>
      </c>
      <c r="F78">
        <v>11.3671308159939</v>
      </c>
      <c r="G78">
        <v>141.04988281892099</v>
      </c>
      <c r="H78">
        <v>89.176782017750497</v>
      </c>
      <c r="I78">
        <v>11</v>
      </c>
      <c r="J78">
        <v>25</v>
      </c>
    </row>
    <row r="79" spans="1:10" x14ac:dyDescent="0.3">
      <c r="A79" t="s">
        <v>141</v>
      </c>
      <c r="B79" t="s">
        <v>144</v>
      </c>
      <c r="C79" t="s">
        <v>145</v>
      </c>
      <c r="D79" t="s">
        <v>5</v>
      </c>
      <c r="E79" t="s">
        <v>120</v>
      </c>
      <c r="F79">
        <v>-4.5664251843940598</v>
      </c>
      <c r="G79">
        <v>130.624964772151</v>
      </c>
      <c r="H79">
        <v>76.548408789533198</v>
      </c>
      <c r="I79">
        <v>4</v>
      </c>
      <c r="J79">
        <v>5</v>
      </c>
    </row>
    <row r="80" spans="1:10" x14ac:dyDescent="0.3">
      <c r="A80" t="s">
        <v>146</v>
      </c>
      <c r="B80" t="s">
        <v>147</v>
      </c>
      <c r="C80" t="s">
        <v>147</v>
      </c>
      <c r="D80" t="s">
        <v>5</v>
      </c>
      <c r="E80" t="s">
        <v>120</v>
      </c>
      <c r="F80">
        <v>63.859649492281498</v>
      </c>
      <c r="G80">
        <v>159.25799265059001</v>
      </c>
      <c r="H80">
        <v>121.09865538726601</v>
      </c>
      <c r="I80">
        <v>20</v>
      </c>
      <c r="J80">
        <v>59</v>
      </c>
    </row>
    <row r="81" spans="1:10" x14ac:dyDescent="0.3">
      <c r="A81" t="s">
        <v>149</v>
      </c>
      <c r="B81" t="s">
        <v>150</v>
      </c>
      <c r="C81" t="s">
        <v>150</v>
      </c>
      <c r="D81" t="s">
        <v>6</v>
      </c>
      <c r="E81" t="s">
        <v>120</v>
      </c>
      <c r="F81">
        <v>3.8998740594628298</v>
      </c>
      <c r="G81">
        <v>98.514238743018197</v>
      </c>
      <c r="H81">
        <v>60.668492869596101</v>
      </c>
      <c r="I81">
        <v>18</v>
      </c>
      <c r="J81">
        <v>60</v>
      </c>
    </row>
    <row r="82" spans="1:10" x14ac:dyDescent="0.3">
      <c r="A82" t="s">
        <v>141</v>
      </c>
      <c r="B82" t="s">
        <v>151</v>
      </c>
      <c r="C82" t="s">
        <v>151</v>
      </c>
      <c r="D82" t="s">
        <v>6</v>
      </c>
      <c r="E82" t="s">
        <v>120</v>
      </c>
      <c r="F82">
        <v>4.3107962670494402</v>
      </c>
      <c r="G82">
        <v>131.94123560458399</v>
      </c>
      <c r="H82">
        <v>80.889059869570303</v>
      </c>
      <c r="I82">
        <v>4</v>
      </c>
      <c r="J82">
        <v>4</v>
      </c>
    </row>
    <row r="83" spans="1:10" x14ac:dyDescent="0.3">
      <c r="A83" t="s">
        <v>152</v>
      </c>
      <c r="B83" t="s">
        <v>153</v>
      </c>
      <c r="C83" t="s">
        <v>153</v>
      </c>
      <c r="D83" t="s">
        <v>6</v>
      </c>
      <c r="E83" t="s">
        <v>120</v>
      </c>
      <c r="F83">
        <v>30.599798253020001</v>
      </c>
      <c r="G83">
        <v>113.215973845929</v>
      </c>
      <c r="H83">
        <v>80.169503608765794</v>
      </c>
      <c r="I83">
        <v>17</v>
      </c>
      <c r="J83">
        <v>31</v>
      </c>
    </row>
    <row r="84" spans="1:10" x14ac:dyDescent="0.3">
      <c r="A84" t="s">
        <v>154</v>
      </c>
      <c r="B84" t="s">
        <v>155</v>
      </c>
      <c r="C84" t="s">
        <v>155</v>
      </c>
      <c r="D84" t="s">
        <v>5</v>
      </c>
      <c r="E84" t="s">
        <v>120</v>
      </c>
      <c r="F84">
        <v>-4.7111065137240304</v>
      </c>
      <c r="G84">
        <v>141.53527318164601</v>
      </c>
      <c r="H84">
        <v>83.036721303498496</v>
      </c>
      <c r="I84">
        <v>9</v>
      </c>
      <c r="J84">
        <v>24</v>
      </c>
    </row>
    <row r="85" spans="1:10" x14ac:dyDescent="0.3">
      <c r="A85" t="s">
        <v>156</v>
      </c>
      <c r="B85" t="s">
        <v>157</v>
      </c>
      <c r="C85" t="s">
        <v>157</v>
      </c>
      <c r="D85" t="s">
        <v>5</v>
      </c>
      <c r="E85" t="s">
        <v>120</v>
      </c>
      <c r="F85">
        <v>1.0999960357666201</v>
      </c>
      <c r="G85">
        <v>131.93198318102</v>
      </c>
      <c r="H85">
        <v>79.599188322918593</v>
      </c>
      <c r="I85">
        <v>2</v>
      </c>
      <c r="J85">
        <v>3</v>
      </c>
    </row>
    <row r="86" spans="1:10" x14ac:dyDescent="0.3">
      <c r="A86" t="s">
        <v>158</v>
      </c>
      <c r="B86" t="s">
        <v>159</v>
      </c>
      <c r="C86" t="s">
        <v>159</v>
      </c>
      <c r="D86" t="s">
        <v>6</v>
      </c>
      <c r="E86" t="s">
        <v>120</v>
      </c>
      <c r="F86">
        <v>99.904365464370599</v>
      </c>
      <c r="G86">
        <v>150.615521090079</v>
      </c>
      <c r="H86">
        <v>130.33105883979599</v>
      </c>
      <c r="I86">
        <v>15</v>
      </c>
      <c r="J86">
        <v>28</v>
      </c>
    </row>
    <row r="87" spans="1:10" x14ac:dyDescent="0.3">
      <c r="A87" t="s">
        <v>160</v>
      </c>
      <c r="B87" t="s">
        <v>161</v>
      </c>
      <c r="C87" t="s">
        <v>161</v>
      </c>
      <c r="D87" t="s">
        <v>6</v>
      </c>
      <c r="E87" t="s">
        <v>120</v>
      </c>
      <c r="F87">
        <v>25.627994695008699</v>
      </c>
      <c r="G87">
        <v>142.96927303749101</v>
      </c>
      <c r="H87">
        <v>96.032761700498597</v>
      </c>
      <c r="I87">
        <v>13</v>
      </c>
      <c r="J87">
        <v>34</v>
      </c>
    </row>
    <row r="88" spans="1:10" x14ac:dyDescent="0.3">
      <c r="A88" t="s">
        <v>162</v>
      </c>
      <c r="B88" t="s">
        <v>163</v>
      </c>
      <c r="C88" t="s">
        <v>163</v>
      </c>
      <c r="D88" t="s">
        <v>4</v>
      </c>
      <c r="E88" t="s">
        <v>120</v>
      </c>
      <c r="F88">
        <v>400.90643210360298</v>
      </c>
      <c r="G88">
        <v>114.662272103129</v>
      </c>
      <c r="H88">
        <v>229.15993610331901</v>
      </c>
      <c r="I88">
        <v>13</v>
      </c>
      <c r="J88">
        <v>31</v>
      </c>
    </row>
    <row r="89" spans="1:10" x14ac:dyDescent="0.3">
      <c r="A89" t="s">
        <v>164</v>
      </c>
      <c r="B89" t="s">
        <v>165</v>
      </c>
      <c r="C89" t="s">
        <v>165</v>
      </c>
      <c r="D89" t="s">
        <v>5</v>
      </c>
      <c r="E89" t="s">
        <v>120</v>
      </c>
      <c r="F89">
        <v>1.08535318429827</v>
      </c>
      <c r="G89">
        <v>102.717344795633</v>
      </c>
      <c r="H89">
        <v>62.064548151099501</v>
      </c>
      <c r="I89">
        <v>1</v>
      </c>
      <c r="J89">
        <v>1</v>
      </c>
    </row>
    <row r="90" spans="1:10" x14ac:dyDescent="0.3">
      <c r="A90" t="s">
        <v>136</v>
      </c>
      <c r="B90" t="s">
        <v>166</v>
      </c>
      <c r="C90" t="s">
        <v>167</v>
      </c>
      <c r="D90" t="s">
        <v>5</v>
      </c>
      <c r="E90" t="s">
        <v>120</v>
      </c>
      <c r="F90">
        <v>57.141379669624797</v>
      </c>
      <c r="G90">
        <v>117.136692799304</v>
      </c>
      <c r="H90">
        <v>93.138567547432501</v>
      </c>
      <c r="I90">
        <v>7</v>
      </c>
      <c r="J90">
        <v>12</v>
      </c>
    </row>
    <row r="91" spans="1:10" x14ac:dyDescent="0.3">
      <c r="A91" t="s">
        <v>213</v>
      </c>
      <c r="B91" t="s">
        <v>214</v>
      </c>
      <c r="C91" t="s">
        <v>214</v>
      </c>
      <c r="D91" t="s">
        <v>5</v>
      </c>
      <c r="E91" t="s">
        <v>215</v>
      </c>
      <c r="F91">
        <v>53.2572703171897</v>
      </c>
      <c r="G91">
        <v>54.4810558386216</v>
      </c>
      <c r="H91">
        <v>53.9915416300488</v>
      </c>
      <c r="I91">
        <v>16</v>
      </c>
      <c r="J91">
        <v>39</v>
      </c>
    </row>
    <row r="92" spans="1:10" x14ac:dyDescent="0.3">
      <c r="A92" t="s">
        <v>217</v>
      </c>
      <c r="B92" t="s">
        <v>218</v>
      </c>
      <c r="C92" t="s">
        <v>218</v>
      </c>
      <c r="D92" t="s">
        <v>5</v>
      </c>
      <c r="E92" t="s">
        <v>215</v>
      </c>
      <c r="F92">
        <v>23.962441857339002</v>
      </c>
      <c r="G92">
        <v>32.950722918027999</v>
      </c>
      <c r="H92">
        <v>29.355410493752402</v>
      </c>
      <c r="I92">
        <v>4</v>
      </c>
      <c r="J92">
        <v>4</v>
      </c>
    </row>
    <row r="93" spans="1:10" x14ac:dyDescent="0.3">
      <c r="A93" t="s">
        <v>219</v>
      </c>
      <c r="B93" t="s">
        <v>220</v>
      </c>
      <c r="C93" t="s">
        <v>220</v>
      </c>
      <c r="D93" t="s">
        <v>6</v>
      </c>
      <c r="E93" t="s">
        <v>215</v>
      </c>
      <c r="F93">
        <v>21.267777250815101</v>
      </c>
      <c r="G93">
        <v>32.311144375839802</v>
      </c>
      <c r="H93">
        <v>27.8937975258299</v>
      </c>
      <c r="I93">
        <v>8</v>
      </c>
      <c r="J93">
        <v>16</v>
      </c>
    </row>
    <row r="94" spans="1:10" x14ac:dyDescent="0.3">
      <c r="A94" t="s">
        <v>221</v>
      </c>
      <c r="B94" t="s">
        <v>222</v>
      </c>
      <c r="C94" t="s">
        <v>222</v>
      </c>
      <c r="D94" t="s">
        <v>6</v>
      </c>
      <c r="E94" t="s">
        <v>215</v>
      </c>
      <c r="F94">
        <v>0.91409999548628396</v>
      </c>
      <c r="G94">
        <v>49.212163739146803</v>
      </c>
      <c r="H94">
        <v>29.8929382416826</v>
      </c>
      <c r="I94">
        <v>1</v>
      </c>
      <c r="J94">
        <v>1</v>
      </c>
    </row>
    <row r="95" spans="1:10" x14ac:dyDescent="0.3">
      <c r="A95" t="s">
        <v>225</v>
      </c>
      <c r="B95" t="s">
        <v>226</v>
      </c>
      <c r="C95" t="s">
        <v>226</v>
      </c>
      <c r="D95" t="s">
        <v>7</v>
      </c>
      <c r="E95" t="s">
        <v>215</v>
      </c>
      <c r="F95">
        <v>15.6453902135618</v>
      </c>
      <c r="G95">
        <v>57.742621050904901</v>
      </c>
      <c r="H95">
        <v>40.903728715967702</v>
      </c>
      <c r="I95">
        <v>13</v>
      </c>
      <c r="J95">
        <v>15</v>
      </c>
    </row>
    <row r="96" spans="1:10" x14ac:dyDescent="0.3">
      <c r="A96" t="s">
        <v>103</v>
      </c>
      <c r="B96" t="s">
        <v>227</v>
      </c>
      <c r="C96" t="s">
        <v>227</v>
      </c>
      <c r="D96" t="s">
        <v>7</v>
      </c>
      <c r="E96" t="s">
        <v>215</v>
      </c>
      <c r="F96">
        <v>-3.6849931546007602</v>
      </c>
      <c r="G96">
        <v>32.684478228435601</v>
      </c>
      <c r="H96">
        <v>18.136689675221</v>
      </c>
      <c r="I96">
        <v>8</v>
      </c>
      <c r="J96">
        <v>9</v>
      </c>
    </row>
    <row r="97" spans="1:10" x14ac:dyDescent="0.3">
      <c r="A97" t="s">
        <v>52</v>
      </c>
      <c r="B97" t="s">
        <v>228</v>
      </c>
      <c r="C97" t="s">
        <v>228</v>
      </c>
      <c r="D97" t="s">
        <v>5</v>
      </c>
      <c r="E97" t="s">
        <v>215</v>
      </c>
      <c r="F97">
        <v>44.795592660741796</v>
      </c>
      <c r="G97">
        <v>67.923945786263403</v>
      </c>
      <c r="H97">
        <v>58.672604536054799</v>
      </c>
      <c r="I97">
        <v>13</v>
      </c>
      <c r="J97">
        <v>34</v>
      </c>
    </row>
    <row r="98" spans="1:10" x14ac:dyDescent="0.3">
      <c r="A98" t="s">
        <v>103</v>
      </c>
      <c r="B98" t="s">
        <v>229</v>
      </c>
      <c r="C98" t="s">
        <v>229</v>
      </c>
      <c r="D98" t="s">
        <v>6</v>
      </c>
      <c r="E98" t="s">
        <v>215</v>
      </c>
      <c r="F98">
        <v>2.1122726786344099</v>
      </c>
      <c r="G98">
        <v>21.865761594688699</v>
      </c>
      <c r="H98">
        <v>13.964366028266999</v>
      </c>
      <c r="I98">
        <v>15</v>
      </c>
      <c r="J98">
        <v>41</v>
      </c>
    </row>
    <row r="99" spans="1:10" x14ac:dyDescent="0.3">
      <c r="A99" t="s">
        <v>230</v>
      </c>
      <c r="B99" t="s">
        <v>231</v>
      </c>
      <c r="C99" t="s">
        <v>231</v>
      </c>
      <c r="D99" t="s">
        <v>6</v>
      </c>
      <c r="E99" t="s">
        <v>215</v>
      </c>
      <c r="F99">
        <v>20.115995284211198</v>
      </c>
      <c r="G99">
        <v>58.075470431537099</v>
      </c>
      <c r="H99">
        <v>42.8916803726067</v>
      </c>
      <c r="I99">
        <v>17</v>
      </c>
      <c r="J99">
        <v>32</v>
      </c>
    </row>
    <row r="100" spans="1:10" x14ac:dyDescent="0.3">
      <c r="A100" t="s">
        <v>94</v>
      </c>
      <c r="B100" t="s">
        <v>232</v>
      </c>
      <c r="C100" t="s">
        <v>232</v>
      </c>
      <c r="D100" t="s">
        <v>5</v>
      </c>
      <c r="E100" t="s">
        <v>215</v>
      </c>
      <c r="F100">
        <v>34.801336425418299</v>
      </c>
      <c r="G100">
        <v>48.055779412222897</v>
      </c>
      <c r="H100">
        <v>42.754002217501103</v>
      </c>
      <c r="I100">
        <v>17</v>
      </c>
      <c r="J100">
        <v>55</v>
      </c>
    </row>
    <row r="101" spans="1:10" x14ac:dyDescent="0.3">
      <c r="A101" t="s">
        <v>233</v>
      </c>
      <c r="B101" t="s">
        <v>234</v>
      </c>
      <c r="C101" t="s">
        <v>234</v>
      </c>
      <c r="D101" t="s">
        <v>7</v>
      </c>
      <c r="E101" t="s">
        <v>215</v>
      </c>
      <c r="F101">
        <v>22.198530333323099</v>
      </c>
      <c r="G101">
        <v>36.497347443152997</v>
      </c>
      <c r="H101">
        <v>30.777820599220998</v>
      </c>
      <c r="I101">
        <v>15</v>
      </c>
      <c r="J101">
        <v>25</v>
      </c>
    </row>
    <row r="102" spans="1:10" x14ac:dyDescent="0.3">
      <c r="A102" t="s">
        <v>235</v>
      </c>
      <c r="B102" t="s">
        <v>236</v>
      </c>
      <c r="C102" t="s">
        <v>236</v>
      </c>
      <c r="D102" t="s">
        <v>4</v>
      </c>
      <c r="E102" t="s">
        <v>215</v>
      </c>
      <c r="F102">
        <v>67.114977997574996</v>
      </c>
      <c r="G102">
        <v>82.967444811635801</v>
      </c>
      <c r="H102">
        <v>76.626458086011496</v>
      </c>
      <c r="I102">
        <v>15</v>
      </c>
      <c r="J102">
        <v>47</v>
      </c>
    </row>
    <row r="103" spans="1:10" x14ac:dyDescent="0.3">
      <c r="A103" t="s">
        <v>67</v>
      </c>
      <c r="B103" t="s">
        <v>206</v>
      </c>
      <c r="C103" t="s">
        <v>206</v>
      </c>
      <c r="D103" t="s">
        <v>5</v>
      </c>
      <c r="E103" t="s">
        <v>215</v>
      </c>
      <c r="F103">
        <v>38.727080934594099</v>
      </c>
      <c r="G103">
        <v>48.794891310306703</v>
      </c>
      <c r="H103">
        <v>44.767767160021599</v>
      </c>
      <c r="I103">
        <v>16</v>
      </c>
      <c r="J103">
        <v>45</v>
      </c>
    </row>
    <row r="104" spans="1:10" x14ac:dyDescent="0.3">
      <c r="A104" t="s">
        <v>117</v>
      </c>
      <c r="B104" t="s">
        <v>238</v>
      </c>
      <c r="C104" t="s">
        <v>238</v>
      </c>
      <c r="D104" t="s">
        <v>6</v>
      </c>
      <c r="E104" t="s">
        <v>215</v>
      </c>
      <c r="F104">
        <v>26.999701762109598</v>
      </c>
      <c r="G104">
        <v>47.769620925600698</v>
      </c>
      <c r="H104">
        <v>39.461653260204301</v>
      </c>
      <c r="I104">
        <v>15</v>
      </c>
      <c r="J104">
        <v>26</v>
      </c>
    </row>
    <row r="105" spans="1:10" x14ac:dyDescent="0.3">
      <c r="A105" t="s">
        <v>239</v>
      </c>
      <c r="B105" t="s">
        <v>240</v>
      </c>
      <c r="C105" t="s">
        <v>240</v>
      </c>
      <c r="D105" t="s">
        <v>6</v>
      </c>
      <c r="E105" t="s">
        <v>215</v>
      </c>
      <c r="F105">
        <v>15.0573780498574</v>
      </c>
      <c r="G105">
        <v>22.233013801315099</v>
      </c>
      <c r="H105">
        <v>19.362759500732</v>
      </c>
      <c r="I105">
        <v>17</v>
      </c>
      <c r="J105">
        <v>40</v>
      </c>
    </row>
    <row r="106" spans="1:10" x14ac:dyDescent="0.3">
      <c r="A106" t="s">
        <v>168</v>
      </c>
      <c r="B106" t="s">
        <v>241</v>
      </c>
      <c r="C106" t="s">
        <v>241</v>
      </c>
      <c r="D106" t="s">
        <v>5</v>
      </c>
      <c r="E106" t="s">
        <v>215</v>
      </c>
      <c r="F106">
        <v>17.970684812656899</v>
      </c>
      <c r="G106">
        <v>89.448600520683399</v>
      </c>
      <c r="H106">
        <v>60.857434237472802</v>
      </c>
      <c r="I106">
        <v>5</v>
      </c>
      <c r="J106">
        <v>15</v>
      </c>
    </row>
    <row r="107" spans="1:10" x14ac:dyDescent="0.3">
      <c r="A107" t="s">
        <v>242</v>
      </c>
      <c r="B107" t="s">
        <v>243</v>
      </c>
      <c r="C107" t="s">
        <v>243</v>
      </c>
      <c r="D107" t="s">
        <v>4</v>
      </c>
      <c r="E107" t="s">
        <v>215</v>
      </c>
      <c r="F107">
        <v>2.63701032834601</v>
      </c>
      <c r="G107">
        <v>22.079879528481499</v>
      </c>
      <c r="H107">
        <v>14.3027318484273</v>
      </c>
      <c r="I107">
        <v>2</v>
      </c>
      <c r="J107">
        <v>4</v>
      </c>
    </row>
    <row r="108" spans="1:10" x14ac:dyDescent="0.3">
      <c r="A108" t="s">
        <v>62</v>
      </c>
      <c r="B108" t="s">
        <v>244</v>
      </c>
      <c r="C108" t="s">
        <v>244</v>
      </c>
      <c r="D108" t="s">
        <v>6</v>
      </c>
      <c r="E108" t="s">
        <v>215</v>
      </c>
      <c r="F108">
        <v>9.2745189739752298</v>
      </c>
      <c r="G108">
        <v>42.406859453687098</v>
      </c>
      <c r="H108">
        <v>29.153923261802401</v>
      </c>
      <c r="I108">
        <v>8</v>
      </c>
      <c r="J108">
        <v>14</v>
      </c>
    </row>
    <row r="109" spans="1:10" x14ac:dyDescent="0.3">
      <c r="A109" t="s">
        <v>245</v>
      </c>
      <c r="B109" t="s">
        <v>246</v>
      </c>
      <c r="C109" t="s">
        <v>246</v>
      </c>
      <c r="D109" t="s">
        <v>6</v>
      </c>
      <c r="E109" t="s">
        <v>215</v>
      </c>
      <c r="F109">
        <v>63.8573046332884</v>
      </c>
      <c r="G109">
        <v>140.47755047531601</v>
      </c>
      <c r="H109">
        <v>109.829452138505</v>
      </c>
      <c r="I109">
        <v>13</v>
      </c>
      <c r="J109">
        <v>50</v>
      </c>
    </row>
    <row r="110" spans="1:10" x14ac:dyDescent="0.3">
      <c r="A110" t="s">
        <v>247</v>
      </c>
      <c r="B110" t="s">
        <v>207</v>
      </c>
      <c r="C110" t="s">
        <v>207</v>
      </c>
      <c r="D110" t="s">
        <v>5</v>
      </c>
      <c r="E110" t="s">
        <v>215</v>
      </c>
      <c r="F110">
        <v>1.1143119146184699</v>
      </c>
      <c r="G110">
        <v>96.182098346415103</v>
      </c>
      <c r="H110">
        <v>58.154983773696401</v>
      </c>
      <c r="I110">
        <v>1</v>
      </c>
      <c r="J110">
        <v>1</v>
      </c>
    </row>
    <row r="111" spans="1:10" x14ac:dyDescent="0.3">
      <c r="A111" t="s">
        <v>248</v>
      </c>
      <c r="B111" t="s">
        <v>249</v>
      </c>
      <c r="C111" t="s">
        <v>249</v>
      </c>
      <c r="D111" t="s">
        <v>5</v>
      </c>
      <c r="E111" t="s">
        <v>250</v>
      </c>
      <c r="F111">
        <v>67.128431906127304</v>
      </c>
      <c r="G111">
        <v>96.4272309675152</v>
      </c>
      <c r="H111">
        <v>84.707711342959996</v>
      </c>
      <c r="I111">
        <v>15</v>
      </c>
      <c r="J111">
        <v>59</v>
      </c>
    </row>
    <row r="112" spans="1:10" x14ac:dyDescent="0.3">
      <c r="A112" t="s">
        <v>251</v>
      </c>
      <c r="B112" t="s">
        <v>252</v>
      </c>
      <c r="C112" t="s">
        <v>253</v>
      </c>
      <c r="D112" t="s">
        <v>5</v>
      </c>
      <c r="E112" t="s">
        <v>250</v>
      </c>
      <c r="F112">
        <v>98.485374699737605</v>
      </c>
      <c r="G112">
        <v>183.55011908173199</v>
      </c>
      <c r="H112">
        <v>149.524221328934</v>
      </c>
      <c r="I112">
        <v>18</v>
      </c>
      <c r="J112">
        <v>77</v>
      </c>
    </row>
    <row r="113" spans="1:10" x14ac:dyDescent="0.3">
      <c r="A113" t="s">
        <v>254</v>
      </c>
      <c r="B113" t="s">
        <v>255</v>
      </c>
      <c r="C113" t="s">
        <v>255</v>
      </c>
      <c r="D113" t="s">
        <v>5</v>
      </c>
      <c r="E113" t="s">
        <v>250</v>
      </c>
      <c r="F113">
        <v>52.576443162830799</v>
      </c>
      <c r="G113">
        <v>90.395249244058206</v>
      </c>
      <c r="H113">
        <v>75.267726811567201</v>
      </c>
      <c r="I113">
        <v>16</v>
      </c>
      <c r="J113">
        <v>72</v>
      </c>
    </row>
    <row r="114" spans="1:10" x14ac:dyDescent="0.3">
      <c r="A114" t="s">
        <v>256</v>
      </c>
      <c r="B114" t="s">
        <v>257</v>
      </c>
      <c r="C114" t="s">
        <v>258</v>
      </c>
      <c r="D114" t="s">
        <v>6</v>
      </c>
      <c r="E114" t="s">
        <v>250</v>
      </c>
      <c r="F114">
        <v>127.208791208791</v>
      </c>
      <c r="G114">
        <v>79.930564871507499</v>
      </c>
      <c r="H114">
        <v>98.841855406420905</v>
      </c>
      <c r="I114">
        <v>18</v>
      </c>
      <c r="J114">
        <v>79</v>
      </c>
    </row>
    <row r="115" spans="1:10" x14ac:dyDescent="0.3">
      <c r="A115" t="s">
        <v>259</v>
      </c>
      <c r="B115" t="s">
        <v>260</v>
      </c>
      <c r="C115" t="s">
        <v>260</v>
      </c>
      <c r="D115" t="s">
        <v>6</v>
      </c>
      <c r="E115" t="s">
        <v>250</v>
      </c>
      <c r="F115">
        <v>30.796466322545601</v>
      </c>
      <c r="G115">
        <v>46.030453442515601</v>
      </c>
      <c r="H115">
        <v>39.9368585945276</v>
      </c>
      <c r="I115">
        <v>5</v>
      </c>
      <c r="J115">
        <v>7</v>
      </c>
    </row>
    <row r="116" spans="1:10" x14ac:dyDescent="0.3">
      <c r="A116" t="s">
        <v>261</v>
      </c>
      <c r="B116" t="s">
        <v>262</v>
      </c>
      <c r="C116" t="s">
        <v>262</v>
      </c>
      <c r="D116" t="s">
        <v>6</v>
      </c>
      <c r="E116" t="s">
        <v>250</v>
      </c>
      <c r="F116">
        <v>41.953097684543501</v>
      </c>
      <c r="G116">
        <v>55.902113739581999</v>
      </c>
      <c r="H116">
        <v>50.322507317566597</v>
      </c>
      <c r="I116">
        <v>14</v>
      </c>
      <c r="J116">
        <v>60</v>
      </c>
    </row>
    <row r="117" spans="1:10" x14ac:dyDescent="0.3">
      <c r="A117" t="s">
        <v>263</v>
      </c>
      <c r="B117" t="s">
        <v>264</v>
      </c>
      <c r="C117" t="s">
        <v>264</v>
      </c>
      <c r="D117" t="s">
        <v>5</v>
      </c>
      <c r="E117" t="s">
        <v>250</v>
      </c>
      <c r="F117">
        <v>53.510869209744598</v>
      </c>
      <c r="G117">
        <v>74.868846812722495</v>
      </c>
      <c r="H117">
        <v>66.325655771531402</v>
      </c>
      <c r="I117">
        <v>21</v>
      </c>
      <c r="J117">
        <v>94</v>
      </c>
    </row>
    <row r="118" spans="1:10" x14ac:dyDescent="0.3">
      <c r="A118" t="s">
        <v>265</v>
      </c>
      <c r="B118" t="s">
        <v>266</v>
      </c>
      <c r="C118" t="s">
        <v>266</v>
      </c>
      <c r="D118" t="s">
        <v>4</v>
      </c>
      <c r="E118" t="s">
        <v>250</v>
      </c>
      <c r="F118">
        <v>28.050571647025201</v>
      </c>
      <c r="G118">
        <v>40.411744446936403</v>
      </c>
      <c r="H118">
        <v>35.467275326971901</v>
      </c>
      <c r="I118">
        <v>2</v>
      </c>
      <c r="J118">
        <v>9</v>
      </c>
    </row>
    <row r="119" spans="1:10" x14ac:dyDescent="0.3">
      <c r="A119" t="s">
        <v>267</v>
      </c>
      <c r="B119" t="s">
        <v>268</v>
      </c>
      <c r="C119" t="s">
        <v>268</v>
      </c>
      <c r="D119" t="s">
        <v>6</v>
      </c>
      <c r="E119" t="s">
        <v>250</v>
      </c>
      <c r="F119">
        <v>76.505494505494397</v>
      </c>
      <c r="G119">
        <v>74.340948608661193</v>
      </c>
      <c r="H119">
        <v>75.206766967394501</v>
      </c>
      <c r="I119">
        <v>13</v>
      </c>
      <c r="J119">
        <v>39</v>
      </c>
    </row>
    <row r="120" spans="1:10" x14ac:dyDescent="0.3">
      <c r="A120" t="s">
        <v>269</v>
      </c>
      <c r="B120" t="s">
        <v>270</v>
      </c>
      <c r="C120" t="s">
        <v>270</v>
      </c>
      <c r="D120" t="s">
        <v>6</v>
      </c>
      <c r="E120" t="s">
        <v>250</v>
      </c>
      <c r="F120">
        <v>31.382255217460301</v>
      </c>
      <c r="G120">
        <v>68.213251751370507</v>
      </c>
      <c r="H120">
        <v>53.480853137806399</v>
      </c>
      <c r="I120">
        <v>11</v>
      </c>
      <c r="J120">
        <v>32</v>
      </c>
    </row>
    <row r="121" spans="1:10" x14ac:dyDescent="0.3">
      <c r="A121" t="s">
        <v>271</v>
      </c>
      <c r="B121" t="s">
        <v>272</v>
      </c>
      <c r="C121" t="s">
        <v>272</v>
      </c>
      <c r="D121" t="s">
        <v>6</v>
      </c>
      <c r="E121" t="s">
        <v>250</v>
      </c>
      <c r="F121">
        <v>8.4161652058531597</v>
      </c>
      <c r="G121">
        <v>71.324907832590299</v>
      </c>
      <c r="H121">
        <v>46.161410781895398</v>
      </c>
      <c r="I121">
        <v>12</v>
      </c>
      <c r="J121">
        <v>30</v>
      </c>
    </row>
    <row r="122" spans="1:10" x14ac:dyDescent="0.3">
      <c r="A122" t="s">
        <v>273</v>
      </c>
      <c r="B122" t="s">
        <v>274</v>
      </c>
      <c r="C122" t="s">
        <v>274</v>
      </c>
      <c r="D122" t="s">
        <v>5</v>
      </c>
      <c r="E122" t="s">
        <v>250</v>
      </c>
      <c r="F122">
        <v>19.9059432058366</v>
      </c>
      <c r="G122">
        <v>49.569834518421303</v>
      </c>
      <c r="H122">
        <v>37.7042779933874</v>
      </c>
      <c r="I122">
        <v>13</v>
      </c>
      <c r="J122">
        <v>41</v>
      </c>
    </row>
    <row r="123" spans="1:10" x14ac:dyDescent="0.3">
      <c r="A123" t="s">
        <v>275</v>
      </c>
      <c r="B123" t="s">
        <v>276</v>
      </c>
      <c r="C123" t="s">
        <v>276</v>
      </c>
      <c r="D123" t="s">
        <v>7</v>
      </c>
      <c r="E123" t="s">
        <v>250</v>
      </c>
      <c r="F123">
        <v>56.593779196458598</v>
      </c>
      <c r="G123">
        <v>77.080076200693199</v>
      </c>
      <c r="H123">
        <v>68.885557398999396</v>
      </c>
      <c r="I123">
        <v>13</v>
      </c>
      <c r="J123">
        <v>23</v>
      </c>
    </row>
    <row r="124" spans="1:10" x14ac:dyDescent="0.3">
      <c r="A124" t="s">
        <v>277</v>
      </c>
      <c r="B124" t="s">
        <v>278</v>
      </c>
      <c r="C124" t="s">
        <v>278</v>
      </c>
      <c r="D124" t="s">
        <v>5</v>
      </c>
      <c r="E124" t="s">
        <v>250</v>
      </c>
      <c r="F124">
        <v>68.072031629073905</v>
      </c>
      <c r="G124">
        <v>97.625985847397004</v>
      </c>
      <c r="H124">
        <v>85.804404160067804</v>
      </c>
      <c r="I124">
        <v>6</v>
      </c>
      <c r="J124">
        <v>54</v>
      </c>
    </row>
    <row r="125" spans="1:10" x14ac:dyDescent="0.3">
      <c r="A125" t="s">
        <v>121</v>
      </c>
      <c r="B125" t="s">
        <v>279</v>
      </c>
      <c r="C125" t="s">
        <v>279</v>
      </c>
      <c r="D125" t="s">
        <v>6</v>
      </c>
      <c r="E125" t="s">
        <v>250</v>
      </c>
      <c r="F125">
        <v>57.156801020450096</v>
      </c>
      <c r="G125">
        <v>83.6564133069121</v>
      </c>
      <c r="H125">
        <v>73.056568392327307</v>
      </c>
      <c r="I125">
        <v>12</v>
      </c>
      <c r="J125">
        <v>37</v>
      </c>
    </row>
    <row r="126" spans="1:10" x14ac:dyDescent="0.3">
      <c r="A126" t="s">
        <v>280</v>
      </c>
      <c r="B126" t="s">
        <v>281</v>
      </c>
      <c r="C126" t="s">
        <v>281</v>
      </c>
      <c r="D126" t="s">
        <v>6</v>
      </c>
      <c r="E126" t="s">
        <v>250</v>
      </c>
      <c r="F126">
        <v>127.58241758179</v>
      </c>
      <c r="G126">
        <v>117.340475067402</v>
      </c>
      <c r="H126">
        <v>121.437252073157</v>
      </c>
      <c r="I126">
        <v>19</v>
      </c>
      <c r="J126">
        <v>96</v>
      </c>
    </row>
    <row r="127" spans="1:10" x14ac:dyDescent="0.3">
      <c r="A127" t="s">
        <v>283</v>
      </c>
      <c r="B127" t="s">
        <v>284</v>
      </c>
      <c r="C127" t="s">
        <v>284</v>
      </c>
      <c r="D127" t="s">
        <v>6</v>
      </c>
      <c r="E127" t="s">
        <v>250</v>
      </c>
      <c r="F127">
        <v>93.867924528301899</v>
      </c>
      <c r="G127">
        <v>82.961248243786699</v>
      </c>
      <c r="H127">
        <v>87.323918757592693</v>
      </c>
      <c r="I127">
        <v>15</v>
      </c>
      <c r="J127">
        <v>49</v>
      </c>
    </row>
    <row r="128" spans="1:10" x14ac:dyDescent="0.3">
      <c r="A128" t="s">
        <v>285</v>
      </c>
      <c r="B128" t="s">
        <v>213</v>
      </c>
      <c r="C128" t="s">
        <v>213</v>
      </c>
      <c r="D128" t="s">
        <v>5</v>
      </c>
      <c r="E128" t="s">
        <v>250</v>
      </c>
      <c r="F128">
        <v>59.298561690268002</v>
      </c>
      <c r="G128">
        <v>76.828469115498606</v>
      </c>
      <c r="H128">
        <v>69.816506145406393</v>
      </c>
      <c r="I128">
        <v>16</v>
      </c>
      <c r="J128">
        <v>91</v>
      </c>
    </row>
    <row r="129" spans="1:10" x14ac:dyDescent="0.3">
      <c r="A129" t="s">
        <v>286</v>
      </c>
      <c r="B129" t="s">
        <v>287</v>
      </c>
      <c r="C129" t="s">
        <v>287</v>
      </c>
      <c r="D129" t="s">
        <v>4</v>
      </c>
      <c r="E129" t="s">
        <v>250</v>
      </c>
      <c r="F129">
        <v>153.254901960784</v>
      </c>
      <c r="G129">
        <v>109.19465151175601</v>
      </c>
      <c r="H129">
        <v>126.818751691367</v>
      </c>
      <c r="I129">
        <v>20</v>
      </c>
      <c r="J129">
        <v>83</v>
      </c>
    </row>
    <row r="130" spans="1:10" x14ac:dyDescent="0.3">
      <c r="A130" t="s">
        <v>288</v>
      </c>
      <c r="B130" t="s">
        <v>289</v>
      </c>
      <c r="C130" t="s">
        <v>289</v>
      </c>
      <c r="D130" t="s">
        <v>5</v>
      </c>
      <c r="E130" t="s">
        <v>250</v>
      </c>
      <c r="F130">
        <v>11.8086710750294</v>
      </c>
      <c r="G130">
        <v>127.52135010066</v>
      </c>
      <c r="H130">
        <v>81.236278490408097</v>
      </c>
      <c r="I130">
        <v>2</v>
      </c>
      <c r="J130">
        <v>10</v>
      </c>
    </row>
    <row r="131" spans="1:10" x14ac:dyDescent="0.3">
      <c r="A131" t="s">
        <v>290</v>
      </c>
      <c r="B131" t="s">
        <v>291</v>
      </c>
      <c r="C131" t="s">
        <v>291</v>
      </c>
      <c r="D131" t="s">
        <v>5</v>
      </c>
      <c r="E131" t="s">
        <v>250</v>
      </c>
      <c r="F131">
        <v>61.642940719111699</v>
      </c>
      <c r="G131">
        <v>153.14863841250499</v>
      </c>
      <c r="H131">
        <v>116.546359335147</v>
      </c>
      <c r="I131">
        <v>14</v>
      </c>
      <c r="J131">
        <v>57</v>
      </c>
    </row>
    <row r="132" spans="1:10" x14ac:dyDescent="0.3">
      <c r="A132" t="s">
        <v>292</v>
      </c>
      <c r="B132" t="s">
        <v>293</v>
      </c>
      <c r="C132" t="s">
        <v>293</v>
      </c>
      <c r="D132" t="s">
        <v>7</v>
      </c>
      <c r="E132" t="s">
        <v>250</v>
      </c>
      <c r="F132">
        <v>18.908088202570799</v>
      </c>
      <c r="G132">
        <v>59.954480308565103</v>
      </c>
      <c r="H132">
        <v>43.535923466167397</v>
      </c>
      <c r="I132">
        <v>14</v>
      </c>
      <c r="J132">
        <v>55</v>
      </c>
    </row>
    <row r="133" spans="1:10" x14ac:dyDescent="0.3">
      <c r="A133" t="s">
        <v>294</v>
      </c>
      <c r="B133" t="s">
        <v>295</v>
      </c>
      <c r="C133" t="s">
        <v>294</v>
      </c>
      <c r="D133" t="s">
        <v>6</v>
      </c>
      <c r="E133" t="s">
        <v>250</v>
      </c>
      <c r="F133">
        <v>3.54093212664969</v>
      </c>
      <c r="G133">
        <v>106.095660357348</v>
      </c>
      <c r="H133">
        <v>65.0737690650692</v>
      </c>
      <c r="I133">
        <v>5</v>
      </c>
      <c r="J133">
        <v>4</v>
      </c>
    </row>
    <row r="134" spans="1:10" x14ac:dyDescent="0.3">
      <c r="A134" t="s">
        <v>71</v>
      </c>
      <c r="B134" t="s">
        <v>297</v>
      </c>
      <c r="C134" t="s">
        <v>297</v>
      </c>
      <c r="D134" t="s">
        <v>6</v>
      </c>
      <c r="E134" t="s">
        <v>298</v>
      </c>
      <c r="F134">
        <v>60.751668190455803</v>
      </c>
      <c r="G134">
        <v>96.2538547294685</v>
      </c>
      <c r="H134">
        <v>82.052980113863399</v>
      </c>
      <c r="I134">
        <v>18</v>
      </c>
      <c r="J134">
        <v>100</v>
      </c>
    </row>
    <row r="135" spans="1:10" x14ac:dyDescent="0.3">
      <c r="A135" t="s">
        <v>299</v>
      </c>
      <c r="B135" t="s">
        <v>300</v>
      </c>
      <c r="C135" t="s">
        <v>300</v>
      </c>
      <c r="D135" t="s">
        <v>4</v>
      </c>
      <c r="E135" t="s">
        <v>298</v>
      </c>
      <c r="F135">
        <v>68.909637628316005</v>
      </c>
      <c r="G135">
        <v>94.367914543363298</v>
      </c>
      <c r="H135">
        <v>84.184603777344407</v>
      </c>
      <c r="I135">
        <v>18</v>
      </c>
      <c r="J135">
        <v>61</v>
      </c>
    </row>
    <row r="136" spans="1:10" x14ac:dyDescent="0.3">
      <c r="A136" t="s">
        <v>213</v>
      </c>
      <c r="B136" t="s">
        <v>301</v>
      </c>
      <c r="C136" t="s">
        <v>301</v>
      </c>
      <c r="D136" t="s">
        <v>5</v>
      </c>
      <c r="E136" t="s">
        <v>298</v>
      </c>
      <c r="F136">
        <v>17.7523436818656</v>
      </c>
      <c r="G136">
        <v>36.061202234261103</v>
      </c>
      <c r="H136">
        <v>28.7376588133029</v>
      </c>
      <c r="I136">
        <v>8</v>
      </c>
      <c r="J136">
        <v>17</v>
      </c>
    </row>
    <row r="137" spans="1:10" x14ac:dyDescent="0.3">
      <c r="A137" t="s">
        <v>213</v>
      </c>
      <c r="B137" t="s">
        <v>302</v>
      </c>
      <c r="C137" t="s">
        <v>302</v>
      </c>
      <c r="D137" t="s">
        <v>6</v>
      </c>
      <c r="E137" t="s">
        <v>298</v>
      </c>
      <c r="F137">
        <v>37.891341230364802</v>
      </c>
      <c r="G137">
        <v>47.826537824115199</v>
      </c>
      <c r="H137">
        <v>43.8524591866151</v>
      </c>
      <c r="I137">
        <v>11</v>
      </c>
      <c r="J137">
        <v>33</v>
      </c>
    </row>
    <row r="138" spans="1:10" x14ac:dyDescent="0.3">
      <c r="A138" t="s">
        <v>121</v>
      </c>
      <c r="B138" t="s">
        <v>303</v>
      </c>
      <c r="C138" t="s">
        <v>303</v>
      </c>
      <c r="D138" t="s">
        <v>7</v>
      </c>
      <c r="E138" t="s">
        <v>298</v>
      </c>
      <c r="F138">
        <v>41.203296855547201</v>
      </c>
      <c r="G138">
        <v>58.183887462666803</v>
      </c>
      <c r="H138">
        <v>51.391651219818897</v>
      </c>
      <c r="I138">
        <v>20</v>
      </c>
      <c r="J138">
        <v>53</v>
      </c>
    </row>
    <row r="139" spans="1:10" x14ac:dyDescent="0.3">
      <c r="A139" t="s">
        <v>304</v>
      </c>
      <c r="B139" t="s">
        <v>305</v>
      </c>
      <c r="C139" t="s">
        <v>305</v>
      </c>
      <c r="D139" t="s">
        <v>5</v>
      </c>
      <c r="E139" t="s">
        <v>298</v>
      </c>
      <c r="F139">
        <v>48.461538726327198</v>
      </c>
      <c r="G139">
        <v>84.152510234032704</v>
      </c>
      <c r="H139">
        <v>69.876121630950493</v>
      </c>
      <c r="I139">
        <v>17</v>
      </c>
      <c r="J139">
        <v>53</v>
      </c>
    </row>
    <row r="140" spans="1:10" x14ac:dyDescent="0.3">
      <c r="A140" t="s">
        <v>306</v>
      </c>
      <c r="B140" t="s">
        <v>307</v>
      </c>
      <c r="C140" t="s">
        <v>307</v>
      </c>
      <c r="D140" t="s">
        <v>6</v>
      </c>
      <c r="E140" t="s">
        <v>298</v>
      </c>
      <c r="F140">
        <v>35.183110216580999</v>
      </c>
      <c r="G140">
        <v>45.205145095494998</v>
      </c>
      <c r="H140">
        <v>41.196331143929399</v>
      </c>
      <c r="I140">
        <v>10</v>
      </c>
      <c r="J140">
        <v>15</v>
      </c>
    </row>
    <row r="141" spans="1:10" x14ac:dyDescent="0.3">
      <c r="A141" t="s">
        <v>308</v>
      </c>
      <c r="B141" t="s">
        <v>309</v>
      </c>
      <c r="C141" t="s">
        <v>309</v>
      </c>
      <c r="D141" t="s">
        <v>7</v>
      </c>
      <c r="E141" t="s">
        <v>298</v>
      </c>
      <c r="F141">
        <v>53.972377151090697</v>
      </c>
      <c r="G141">
        <v>83.494665608386001</v>
      </c>
      <c r="H141">
        <v>71.685750225467899</v>
      </c>
      <c r="I141">
        <v>19</v>
      </c>
      <c r="J141">
        <v>46</v>
      </c>
    </row>
    <row r="142" spans="1:10" x14ac:dyDescent="0.3">
      <c r="A142" t="s">
        <v>310</v>
      </c>
      <c r="B142" t="s">
        <v>311</v>
      </c>
      <c r="C142" t="s">
        <v>311</v>
      </c>
      <c r="D142" t="s">
        <v>6</v>
      </c>
      <c r="E142" t="s">
        <v>298</v>
      </c>
      <c r="F142">
        <v>104.153846153846</v>
      </c>
      <c r="G142">
        <v>72.989696611372594</v>
      </c>
      <c r="H142">
        <v>85.455356428361995</v>
      </c>
      <c r="I142">
        <v>17</v>
      </c>
      <c r="J142">
        <v>61</v>
      </c>
    </row>
    <row r="143" spans="1:10" x14ac:dyDescent="0.3">
      <c r="A143" t="s">
        <v>312</v>
      </c>
      <c r="B143" t="s">
        <v>313</v>
      </c>
      <c r="C143" t="s">
        <v>313</v>
      </c>
      <c r="D143" t="s">
        <v>6</v>
      </c>
      <c r="E143" t="s">
        <v>298</v>
      </c>
      <c r="F143">
        <v>32.939575710223799</v>
      </c>
      <c r="G143">
        <v>73.560371617692894</v>
      </c>
      <c r="H143">
        <v>57.312053254705297</v>
      </c>
      <c r="I143">
        <v>16</v>
      </c>
      <c r="J143">
        <v>38</v>
      </c>
    </row>
    <row r="144" spans="1:10" x14ac:dyDescent="0.3">
      <c r="A144" t="s">
        <v>219</v>
      </c>
      <c r="B144" t="s">
        <v>314</v>
      </c>
      <c r="C144" t="s">
        <v>314</v>
      </c>
      <c r="D144" t="s">
        <v>4</v>
      </c>
      <c r="E144" t="s">
        <v>298</v>
      </c>
      <c r="F144">
        <v>0.78209924656710506</v>
      </c>
      <c r="G144">
        <v>50.417948281995599</v>
      </c>
      <c r="H144">
        <v>30.563608667824202</v>
      </c>
      <c r="I144">
        <v>3</v>
      </c>
      <c r="J144">
        <v>14</v>
      </c>
    </row>
    <row r="145" spans="1:10" x14ac:dyDescent="0.3">
      <c r="A145" t="s">
        <v>315</v>
      </c>
      <c r="B145" t="s">
        <v>316</v>
      </c>
      <c r="C145" t="s">
        <v>316</v>
      </c>
      <c r="D145" t="s">
        <v>6</v>
      </c>
      <c r="E145" t="s">
        <v>298</v>
      </c>
      <c r="F145">
        <v>19.9350583602134</v>
      </c>
      <c r="G145">
        <v>39.065060518249403</v>
      </c>
      <c r="H145">
        <v>31.413059655034999</v>
      </c>
      <c r="I145">
        <v>3</v>
      </c>
      <c r="J145">
        <v>4</v>
      </c>
    </row>
    <row r="146" spans="1:10" x14ac:dyDescent="0.3">
      <c r="A146" t="s">
        <v>317</v>
      </c>
      <c r="B146" t="s">
        <v>318</v>
      </c>
      <c r="C146" t="s">
        <v>318</v>
      </c>
      <c r="D146" t="s">
        <v>7</v>
      </c>
      <c r="E146" t="s">
        <v>298</v>
      </c>
      <c r="F146">
        <v>29.8235290988403</v>
      </c>
      <c r="G146">
        <v>84.790401213400102</v>
      </c>
      <c r="H146">
        <v>62.803652367576198</v>
      </c>
      <c r="I146">
        <v>6</v>
      </c>
      <c r="J146">
        <v>11</v>
      </c>
    </row>
    <row r="147" spans="1:10" x14ac:dyDescent="0.3">
      <c r="A147" t="s">
        <v>319</v>
      </c>
      <c r="B147" t="s">
        <v>320</v>
      </c>
      <c r="C147" t="s">
        <v>320</v>
      </c>
      <c r="D147" t="s">
        <v>6</v>
      </c>
      <c r="E147" t="s">
        <v>298</v>
      </c>
      <c r="F147">
        <v>40.826591341058801</v>
      </c>
      <c r="G147">
        <v>67.674727839331197</v>
      </c>
      <c r="H147">
        <v>56.935473240022297</v>
      </c>
      <c r="I147">
        <v>3</v>
      </c>
      <c r="J147">
        <v>4</v>
      </c>
    </row>
    <row r="148" spans="1:10" x14ac:dyDescent="0.3">
      <c r="A148" t="s">
        <v>168</v>
      </c>
      <c r="B148" t="s">
        <v>212</v>
      </c>
      <c r="C148" t="s">
        <v>212</v>
      </c>
      <c r="D148" t="s">
        <v>5</v>
      </c>
      <c r="E148" t="s">
        <v>298</v>
      </c>
      <c r="F148">
        <v>0.396226386520244</v>
      </c>
      <c r="G148">
        <v>46.732049478794401</v>
      </c>
      <c r="H148">
        <v>28.197720241884699</v>
      </c>
      <c r="I148">
        <v>1</v>
      </c>
      <c r="J148">
        <v>1</v>
      </c>
    </row>
    <row r="149" spans="1:10" x14ac:dyDescent="0.3">
      <c r="A149" t="s">
        <v>321</v>
      </c>
      <c r="B149" t="s">
        <v>322</v>
      </c>
      <c r="C149" t="s">
        <v>322</v>
      </c>
      <c r="D149" t="s">
        <v>5</v>
      </c>
      <c r="E149" t="s">
        <v>298</v>
      </c>
      <c r="F149">
        <v>29.539311594247799</v>
      </c>
      <c r="G149">
        <v>56.446211446335603</v>
      </c>
      <c r="H149">
        <v>45.6834515055005</v>
      </c>
      <c r="I149">
        <v>21</v>
      </c>
      <c r="J149">
        <v>59</v>
      </c>
    </row>
    <row r="150" spans="1:10" x14ac:dyDescent="0.3">
      <c r="A150" t="s">
        <v>237</v>
      </c>
      <c r="B150" t="s">
        <v>323</v>
      </c>
      <c r="C150" t="s">
        <v>323</v>
      </c>
      <c r="D150" t="s">
        <v>6</v>
      </c>
      <c r="E150" t="s">
        <v>298</v>
      </c>
      <c r="F150">
        <v>30.267163670898299</v>
      </c>
      <c r="G150">
        <v>56.468430263659897</v>
      </c>
      <c r="H150">
        <v>45.987923626555201</v>
      </c>
      <c r="I150">
        <v>7</v>
      </c>
      <c r="J150">
        <v>21</v>
      </c>
    </row>
    <row r="151" spans="1:10" x14ac:dyDescent="0.3">
      <c r="A151" t="s">
        <v>324</v>
      </c>
      <c r="B151" t="s">
        <v>325</v>
      </c>
      <c r="C151" t="s">
        <v>325</v>
      </c>
      <c r="D151" t="s">
        <v>6</v>
      </c>
      <c r="E151" t="s">
        <v>298</v>
      </c>
      <c r="F151">
        <v>33.463010456550897</v>
      </c>
      <c r="G151">
        <v>156.85494245973101</v>
      </c>
      <c r="H151">
        <v>107.49816965845901</v>
      </c>
      <c r="I151">
        <v>14</v>
      </c>
      <c r="J151">
        <v>38</v>
      </c>
    </row>
    <row r="152" spans="1:10" x14ac:dyDescent="0.3">
      <c r="A152" t="s">
        <v>326</v>
      </c>
      <c r="B152" t="s">
        <v>327</v>
      </c>
      <c r="C152" t="s">
        <v>327</v>
      </c>
      <c r="D152" t="s">
        <v>5</v>
      </c>
      <c r="E152" t="s">
        <v>298</v>
      </c>
      <c r="F152">
        <v>40.149068967086897</v>
      </c>
      <c r="G152">
        <v>51.800384561299602</v>
      </c>
      <c r="H152">
        <v>47.139858323614497</v>
      </c>
      <c r="I152">
        <v>20</v>
      </c>
      <c r="J152">
        <v>47</v>
      </c>
    </row>
    <row r="153" spans="1:10" x14ac:dyDescent="0.3">
      <c r="A153" t="s">
        <v>208</v>
      </c>
      <c r="B153" t="s">
        <v>328</v>
      </c>
      <c r="C153" t="s">
        <v>328</v>
      </c>
      <c r="D153" t="s">
        <v>5</v>
      </c>
      <c r="E153" t="s">
        <v>298</v>
      </c>
      <c r="F153">
        <v>67.900456374868597</v>
      </c>
      <c r="G153">
        <v>169.81775867988901</v>
      </c>
      <c r="H153">
        <v>129.050837757881</v>
      </c>
      <c r="I153">
        <v>20</v>
      </c>
      <c r="J153">
        <v>63</v>
      </c>
    </row>
    <row r="154" spans="1:10" x14ac:dyDescent="0.3">
      <c r="A154" t="s">
        <v>329</v>
      </c>
      <c r="B154" t="s">
        <v>330</v>
      </c>
      <c r="C154" t="s">
        <v>330</v>
      </c>
      <c r="D154" t="s">
        <v>5</v>
      </c>
      <c r="E154" t="s">
        <v>298</v>
      </c>
      <c r="F154">
        <v>114.125</v>
      </c>
      <c r="G154">
        <v>85.9862402402821</v>
      </c>
      <c r="H154">
        <v>97.241744144169303</v>
      </c>
      <c r="I154">
        <v>17</v>
      </c>
      <c r="J154">
        <v>49</v>
      </c>
    </row>
    <row r="155" spans="1:10" x14ac:dyDescent="0.3">
      <c r="A155" t="s">
        <v>331</v>
      </c>
      <c r="B155" t="s">
        <v>332</v>
      </c>
      <c r="C155" t="s">
        <v>332</v>
      </c>
      <c r="D155" t="s">
        <v>5</v>
      </c>
      <c r="E155" t="s">
        <v>298</v>
      </c>
      <c r="F155">
        <v>12.229796034369301</v>
      </c>
      <c r="G155">
        <v>58.031071580458097</v>
      </c>
      <c r="H155">
        <v>39.710561362022602</v>
      </c>
      <c r="I155">
        <v>2</v>
      </c>
      <c r="J155">
        <v>2</v>
      </c>
    </row>
    <row r="156" spans="1:10" x14ac:dyDescent="0.3">
      <c r="A156" t="s">
        <v>333</v>
      </c>
      <c r="B156" t="s">
        <v>334</v>
      </c>
      <c r="C156" t="s">
        <v>334</v>
      </c>
      <c r="D156" t="s">
        <v>6</v>
      </c>
      <c r="E156" t="s">
        <v>298</v>
      </c>
      <c r="F156">
        <v>0.87499982510664398</v>
      </c>
      <c r="G156">
        <v>99.502765714749103</v>
      </c>
      <c r="H156">
        <v>60.051659358892103</v>
      </c>
      <c r="I156">
        <v>1</v>
      </c>
      <c r="J156">
        <v>1</v>
      </c>
    </row>
    <row r="157" spans="1:10" x14ac:dyDescent="0.3">
      <c r="A157" t="s">
        <v>336</v>
      </c>
      <c r="B157" t="s">
        <v>286</v>
      </c>
      <c r="C157" t="s">
        <v>286</v>
      </c>
      <c r="D157" t="s">
        <v>7</v>
      </c>
      <c r="E157" t="s">
        <v>298</v>
      </c>
      <c r="F157">
        <v>78.544787838885696</v>
      </c>
      <c r="G157">
        <v>182.80132987707901</v>
      </c>
      <c r="H157">
        <v>141.09871306180099</v>
      </c>
      <c r="I157">
        <v>21</v>
      </c>
      <c r="J157">
        <v>69</v>
      </c>
    </row>
    <row r="158" spans="1:10" x14ac:dyDescent="0.3">
      <c r="A158" t="s">
        <v>337</v>
      </c>
      <c r="B158" t="s">
        <v>338</v>
      </c>
      <c r="C158" t="s">
        <v>338</v>
      </c>
      <c r="D158" t="s">
        <v>6</v>
      </c>
      <c r="E158" t="s">
        <v>339</v>
      </c>
      <c r="F158">
        <v>7.3345616499122999</v>
      </c>
      <c r="G158">
        <v>28.004455824937001</v>
      </c>
      <c r="H158">
        <v>19.736498154927101</v>
      </c>
      <c r="I158">
        <v>6</v>
      </c>
      <c r="J158">
        <v>6</v>
      </c>
    </row>
    <row r="159" spans="1:10" x14ac:dyDescent="0.3">
      <c r="A159" t="s">
        <v>340</v>
      </c>
      <c r="B159" t="s">
        <v>341</v>
      </c>
      <c r="C159" t="s">
        <v>341</v>
      </c>
      <c r="D159" t="s">
        <v>5</v>
      </c>
      <c r="E159" t="s">
        <v>339</v>
      </c>
      <c r="F159">
        <v>32.8442970827154</v>
      </c>
      <c r="G159">
        <v>47.056503716257602</v>
      </c>
      <c r="H159">
        <v>41.371621062840703</v>
      </c>
      <c r="I159">
        <v>15</v>
      </c>
      <c r="J159">
        <v>29</v>
      </c>
    </row>
    <row r="160" spans="1:10" x14ac:dyDescent="0.3">
      <c r="A160" t="s">
        <v>324</v>
      </c>
      <c r="B160" t="s">
        <v>342</v>
      </c>
      <c r="C160" t="s">
        <v>342</v>
      </c>
      <c r="D160" t="s">
        <v>5</v>
      </c>
      <c r="E160" t="s">
        <v>339</v>
      </c>
      <c r="F160">
        <v>62.977272727272698</v>
      </c>
      <c r="G160">
        <v>62.710838329595198</v>
      </c>
      <c r="H160">
        <v>62.817412088666202</v>
      </c>
      <c r="I160">
        <v>19</v>
      </c>
      <c r="J160">
        <v>54</v>
      </c>
    </row>
    <row r="161" spans="1:10" x14ac:dyDescent="0.3">
      <c r="A161" t="s">
        <v>308</v>
      </c>
      <c r="B161" t="s">
        <v>343</v>
      </c>
      <c r="C161" t="s">
        <v>343</v>
      </c>
      <c r="D161" t="s">
        <v>4</v>
      </c>
      <c r="E161" t="s">
        <v>339</v>
      </c>
      <c r="F161">
        <v>58.563663585103697</v>
      </c>
      <c r="G161">
        <v>82.108173620069195</v>
      </c>
      <c r="H161">
        <v>72.690369606082996</v>
      </c>
      <c r="I161">
        <v>18</v>
      </c>
      <c r="J161">
        <v>52</v>
      </c>
    </row>
    <row r="162" spans="1:10" x14ac:dyDescent="0.3">
      <c r="A162" t="s">
        <v>344</v>
      </c>
      <c r="B162" t="s">
        <v>345</v>
      </c>
      <c r="C162" t="s">
        <v>344</v>
      </c>
      <c r="D162" t="s">
        <v>6</v>
      </c>
      <c r="E162" t="s">
        <v>339</v>
      </c>
      <c r="F162">
        <v>44.961880530649701</v>
      </c>
      <c r="G162">
        <v>66.076470234960297</v>
      </c>
      <c r="H162">
        <v>57.630634353236097</v>
      </c>
      <c r="I162">
        <v>16</v>
      </c>
      <c r="J162">
        <v>44</v>
      </c>
    </row>
    <row r="163" spans="1:10" x14ac:dyDescent="0.3">
      <c r="A163" t="s">
        <v>346</v>
      </c>
      <c r="B163" t="s">
        <v>347</v>
      </c>
      <c r="C163" t="s">
        <v>348</v>
      </c>
      <c r="D163" t="s">
        <v>6</v>
      </c>
      <c r="E163" t="s">
        <v>339</v>
      </c>
      <c r="F163">
        <v>19.621096015842902</v>
      </c>
      <c r="G163">
        <v>35.511355084050798</v>
      </c>
      <c r="H163">
        <v>29.155251456767601</v>
      </c>
      <c r="I163">
        <v>8</v>
      </c>
      <c r="J163">
        <v>13</v>
      </c>
    </row>
    <row r="164" spans="1:10" x14ac:dyDescent="0.3">
      <c r="A164" t="s">
        <v>349</v>
      </c>
      <c r="B164" t="s">
        <v>350</v>
      </c>
      <c r="C164" t="s">
        <v>350</v>
      </c>
      <c r="D164" t="s">
        <v>6</v>
      </c>
      <c r="E164" t="s">
        <v>339</v>
      </c>
      <c r="F164">
        <v>51.653388722525897</v>
      </c>
      <c r="G164">
        <v>58.795705479861397</v>
      </c>
      <c r="H164">
        <v>55.938778776927201</v>
      </c>
      <c r="I164">
        <v>15</v>
      </c>
      <c r="J164">
        <v>61</v>
      </c>
    </row>
    <row r="165" spans="1:10" x14ac:dyDescent="0.3">
      <c r="A165" t="s">
        <v>351</v>
      </c>
      <c r="B165" t="s">
        <v>352</v>
      </c>
      <c r="C165" t="s">
        <v>352</v>
      </c>
      <c r="D165" t="s">
        <v>6</v>
      </c>
      <c r="E165" t="s">
        <v>339</v>
      </c>
      <c r="F165">
        <v>69.090909090909093</v>
      </c>
      <c r="G165">
        <v>43.122773489215</v>
      </c>
      <c r="H165">
        <v>53.510027729892599</v>
      </c>
      <c r="I165">
        <v>13</v>
      </c>
      <c r="J165">
        <v>32</v>
      </c>
    </row>
    <row r="166" spans="1:10" x14ac:dyDescent="0.3">
      <c r="A166" t="s">
        <v>353</v>
      </c>
      <c r="B166" t="s">
        <v>354</v>
      </c>
      <c r="C166" t="s">
        <v>354</v>
      </c>
      <c r="D166" t="s">
        <v>5</v>
      </c>
      <c r="E166" t="s">
        <v>339</v>
      </c>
      <c r="F166">
        <v>35.1380654973456</v>
      </c>
      <c r="G166">
        <v>67.161065831881501</v>
      </c>
      <c r="H166">
        <v>54.351865698067201</v>
      </c>
      <c r="I166">
        <v>8</v>
      </c>
      <c r="J166">
        <v>14</v>
      </c>
    </row>
    <row r="167" spans="1:10" x14ac:dyDescent="0.3">
      <c r="A167" t="s">
        <v>355</v>
      </c>
      <c r="B167" t="s">
        <v>356</v>
      </c>
      <c r="C167" t="s">
        <v>356</v>
      </c>
      <c r="D167" t="s">
        <v>6</v>
      </c>
      <c r="E167" t="s">
        <v>339</v>
      </c>
      <c r="F167">
        <v>39.965909090909101</v>
      </c>
      <c r="G167">
        <v>37.706631871735603</v>
      </c>
      <c r="H167">
        <v>38.610342759405</v>
      </c>
      <c r="I167">
        <v>5</v>
      </c>
      <c r="J167">
        <v>11</v>
      </c>
    </row>
    <row r="168" spans="1:10" x14ac:dyDescent="0.3">
      <c r="A168" t="s">
        <v>156</v>
      </c>
      <c r="B168" t="s">
        <v>357</v>
      </c>
      <c r="C168" t="s">
        <v>357</v>
      </c>
      <c r="D168" t="s">
        <v>7</v>
      </c>
      <c r="E168" t="s">
        <v>339</v>
      </c>
      <c r="F168">
        <v>63.784462742543298</v>
      </c>
      <c r="G168">
        <v>64.581662636044697</v>
      </c>
      <c r="H168">
        <v>64.262782678644101</v>
      </c>
      <c r="I168">
        <v>5</v>
      </c>
      <c r="J168">
        <v>25</v>
      </c>
    </row>
    <row r="169" spans="1:10" x14ac:dyDescent="0.3">
      <c r="A169" t="s">
        <v>280</v>
      </c>
      <c r="B169" t="s">
        <v>358</v>
      </c>
      <c r="C169" t="s">
        <v>358</v>
      </c>
      <c r="D169" t="s">
        <v>5</v>
      </c>
      <c r="E169" t="s">
        <v>339</v>
      </c>
      <c r="F169">
        <v>31.360527473525401</v>
      </c>
      <c r="G169">
        <v>44.696916577752098</v>
      </c>
      <c r="H169">
        <v>39.3623609360614</v>
      </c>
      <c r="I169">
        <v>8</v>
      </c>
      <c r="J169">
        <v>11</v>
      </c>
    </row>
    <row r="170" spans="1:10" x14ac:dyDescent="0.3">
      <c r="A170" t="s">
        <v>52</v>
      </c>
      <c r="B170" t="s">
        <v>359</v>
      </c>
      <c r="C170" t="s">
        <v>359</v>
      </c>
      <c r="D170" t="s">
        <v>5</v>
      </c>
      <c r="E170" t="s">
        <v>339</v>
      </c>
      <c r="F170">
        <v>30.814666296895801</v>
      </c>
      <c r="G170">
        <v>48.570848985582302</v>
      </c>
      <c r="H170">
        <v>41.468375910107703</v>
      </c>
      <c r="I170">
        <v>16</v>
      </c>
      <c r="J170">
        <v>28</v>
      </c>
    </row>
    <row r="171" spans="1:10" x14ac:dyDescent="0.3">
      <c r="A171" t="s">
        <v>360</v>
      </c>
      <c r="B171" t="s">
        <v>361</v>
      </c>
      <c r="C171" t="s">
        <v>360</v>
      </c>
      <c r="D171" t="s">
        <v>7</v>
      </c>
      <c r="E171" t="s">
        <v>339</v>
      </c>
      <c r="F171">
        <v>66.6881068925954</v>
      </c>
      <c r="G171">
        <v>88.446736205171206</v>
      </c>
      <c r="H171">
        <v>79.7432844801409</v>
      </c>
      <c r="I171">
        <v>12</v>
      </c>
      <c r="J171">
        <v>46</v>
      </c>
    </row>
    <row r="172" spans="1:10" x14ac:dyDescent="0.3">
      <c r="A172" t="s">
        <v>362</v>
      </c>
      <c r="B172" t="s">
        <v>363</v>
      </c>
      <c r="C172" t="s">
        <v>363</v>
      </c>
      <c r="D172" t="s">
        <v>4</v>
      </c>
      <c r="E172" t="s">
        <v>339</v>
      </c>
      <c r="F172">
        <v>2.1176470180084199</v>
      </c>
      <c r="G172">
        <v>93.283737200635898</v>
      </c>
      <c r="H172">
        <v>56.817301127584898</v>
      </c>
      <c r="I172">
        <v>1</v>
      </c>
      <c r="J172">
        <v>1</v>
      </c>
    </row>
    <row r="173" spans="1:10" x14ac:dyDescent="0.3">
      <c r="A173" t="s">
        <v>364</v>
      </c>
      <c r="B173" t="s">
        <v>365</v>
      </c>
      <c r="C173" t="s">
        <v>365</v>
      </c>
      <c r="D173" t="s">
        <v>6</v>
      </c>
      <c r="E173" t="s">
        <v>339</v>
      </c>
      <c r="F173">
        <v>39.990242679135797</v>
      </c>
      <c r="G173">
        <v>56.733044031894501</v>
      </c>
      <c r="H173">
        <v>50.035923490790999</v>
      </c>
      <c r="I173">
        <v>16</v>
      </c>
      <c r="J173">
        <v>60</v>
      </c>
    </row>
    <row r="174" spans="1:10" x14ac:dyDescent="0.3">
      <c r="A174" t="s">
        <v>366</v>
      </c>
      <c r="B174" t="s">
        <v>367</v>
      </c>
      <c r="C174" t="s">
        <v>367</v>
      </c>
      <c r="D174" t="s">
        <v>6</v>
      </c>
      <c r="E174" t="s">
        <v>339</v>
      </c>
      <c r="F174">
        <v>24.670398445641801</v>
      </c>
      <c r="G174">
        <v>43.567670127906098</v>
      </c>
      <c r="H174">
        <v>36.008761455000403</v>
      </c>
      <c r="I174">
        <v>18</v>
      </c>
      <c r="J174">
        <v>70</v>
      </c>
    </row>
    <row r="175" spans="1:10" x14ac:dyDescent="0.3">
      <c r="A175" t="s">
        <v>368</v>
      </c>
      <c r="B175" t="s">
        <v>369</v>
      </c>
      <c r="C175" t="s">
        <v>369</v>
      </c>
      <c r="D175" t="s">
        <v>5</v>
      </c>
      <c r="E175" t="s">
        <v>339</v>
      </c>
      <c r="F175">
        <v>8.4199999923557005</v>
      </c>
      <c r="G175">
        <v>45.012600278928701</v>
      </c>
      <c r="H175">
        <v>30.3755601642995</v>
      </c>
      <c r="I175">
        <v>3</v>
      </c>
      <c r="J175">
        <v>6</v>
      </c>
    </row>
    <row r="176" spans="1:10" x14ac:dyDescent="0.3">
      <c r="A176" t="s">
        <v>370</v>
      </c>
      <c r="B176" t="s">
        <v>371</v>
      </c>
      <c r="C176" t="s">
        <v>371</v>
      </c>
      <c r="D176" t="s">
        <v>6</v>
      </c>
      <c r="E176" t="s">
        <v>339</v>
      </c>
      <c r="F176">
        <v>158.01304750674001</v>
      </c>
      <c r="G176">
        <v>37.954815361128396</v>
      </c>
      <c r="H176">
        <v>85.978108219373198</v>
      </c>
      <c r="I176">
        <v>16</v>
      </c>
      <c r="J176">
        <v>39</v>
      </c>
    </row>
    <row r="177" spans="1:10" x14ac:dyDescent="0.3">
      <c r="A177" t="s">
        <v>317</v>
      </c>
      <c r="B177" t="s">
        <v>372</v>
      </c>
      <c r="C177" t="s">
        <v>372</v>
      </c>
      <c r="D177" t="s">
        <v>6</v>
      </c>
      <c r="E177" t="s">
        <v>339</v>
      </c>
      <c r="F177">
        <v>4.7418293857031898E-4</v>
      </c>
      <c r="G177">
        <v>25.2526172055037</v>
      </c>
      <c r="H177">
        <v>15.151759996477599</v>
      </c>
      <c r="I177">
        <v>3</v>
      </c>
      <c r="J177">
        <v>3</v>
      </c>
    </row>
    <row r="178" spans="1:10" x14ac:dyDescent="0.3">
      <c r="A178" t="s">
        <v>373</v>
      </c>
      <c r="B178" t="s">
        <v>374</v>
      </c>
      <c r="C178" t="s">
        <v>374</v>
      </c>
      <c r="D178" t="s">
        <v>7</v>
      </c>
      <c r="E178" t="s">
        <v>339</v>
      </c>
      <c r="F178">
        <v>68.840519859601997</v>
      </c>
      <c r="G178">
        <v>126.19693169457</v>
      </c>
      <c r="H178">
        <v>103.254366960582</v>
      </c>
      <c r="I178">
        <v>16</v>
      </c>
      <c r="J178">
        <v>23</v>
      </c>
    </row>
    <row r="179" spans="1:10" x14ac:dyDescent="0.3">
      <c r="A179" t="s">
        <v>180</v>
      </c>
      <c r="B179" t="s">
        <v>375</v>
      </c>
      <c r="C179" t="s">
        <v>375</v>
      </c>
      <c r="D179" t="s">
        <v>7</v>
      </c>
      <c r="E179" t="s">
        <v>339</v>
      </c>
      <c r="F179">
        <v>-3.7308843187654902E-6</v>
      </c>
      <c r="G179">
        <v>129.51502567135799</v>
      </c>
      <c r="H179">
        <v>77.709013910461294</v>
      </c>
      <c r="I179">
        <v>3</v>
      </c>
      <c r="J179">
        <v>2</v>
      </c>
    </row>
    <row r="180" spans="1:10" x14ac:dyDescent="0.3">
      <c r="A180" t="s">
        <v>377</v>
      </c>
      <c r="B180" t="s">
        <v>378</v>
      </c>
      <c r="C180" t="s">
        <v>378</v>
      </c>
      <c r="D180" t="s">
        <v>7</v>
      </c>
      <c r="E180" t="s">
        <v>339</v>
      </c>
      <c r="F180">
        <v>6.8499926359081798</v>
      </c>
      <c r="G180">
        <v>30.524956960697601</v>
      </c>
      <c r="H180">
        <v>21.054971230781799</v>
      </c>
      <c r="I180">
        <v>1</v>
      </c>
      <c r="J180">
        <v>1</v>
      </c>
    </row>
    <row r="181" spans="1:10" x14ac:dyDescent="0.3">
      <c r="A181" t="s">
        <v>379</v>
      </c>
      <c r="B181" t="s">
        <v>380</v>
      </c>
      <c r="C181" t="s">
        <v>380</v>
      </c>
      <c r="D181" t="s">
        <v>6</v>
      </c>
      <c r="E181" t="s">
        <v>339</v>
      </c>
      <c r="F181">
        <v>-1.22740570542593</v>
      </c>
      <c r="G181">
        <v>108.490301545311</v>
      </c>
      <c r="H181">
        <v>64.603218645016796</v>
      </c>
      <c r="I181">
        <v>2</v>
      </c>
      <c r="J181">
        <v>2</v>
      </c>
    </row>
    <row r="182" spans="1:10" x14ac:dyDescent="0.3">
      <c r="A182" t="s">
        <v>425</v>
      </c>
      <c r="B182" t="s">
        <v>426</v>
      </c>
      <c r="C182" t="s">
        <v>426</v>
      </c>
      <c r="D182" t="s">
        <v>5</v>
      </c>
      <c r="E182" t="s">
        <v>423</v>
      </c>
      <c r="F182">
        <v>63.603773747743098</v>
      </c>
      <c r="G182">
        <v>65.661772258409798</v>
      </c>
      <c r="H182">
        <v>64.838572854143095</v>
      </c>
      <c r="I182">
        <v>15</v>
      </c>
      <c r="J182">
        <v>41</v>
      </c>
    </row>
    <row r="183" spans="1:10" x14ac:dyDescent="0.3">
      <c r="A183" t="s">
        <v>410</v>
      </c>
      <c r="B183" t="s">
        <v>427</v>
      </c>
      <c r="C183" t="s">
        <v>427</v>
      </c>
      <c r="D183" t="s">
        <v>5</v>
      </c>
      <c r="E183" t="s">
        <v>423</v>
      </c>
      <c r="F183">
        <v>43.773730560928399</v>
      </c>
      <c r="G183">
        <v>70.009115167510998</v>
      </c>
      <c r="H183">
        <v>59.514961324877902</v>
      </c>
      <c r="I183">
        <v>11</v>
      </c>
      <c r="J183">
        <v>25</v>
      </c>
    </row>
    <row r="184" spans="1:10" x14ac:dyDescent="0.3">
      <c r="A184" t="s">
        <v>428</v>
      </c>
      <c r="B184" t="s">
        <v>429</v>
      </c>
      <c r="C184" t="s">
        <v>429</v>
      </c>
      <c r="D184" t="s">
        <v>6</v>
      </c>
      <c r="E184" t="s">
        <v>423</v>
      </c>
      <c r="F184">
        <v>47.8145254738955</v>
      </c>
      <c r="G184">
        <v>68.021784150648401</v>
      </c>
      <c r="H184">
        <v>59.938880679947196</v>
      </c>
      <c r="I184">
        <v>15</v>
      </c>
      <c r="J184">
        <v>38</v>
      </c>
    </row>
    <row r="185" spans="1:10" x14ac:dyDescent="0.3">
      <c r="A185" t="s">
        <v>430</v>
      </c>
      <c r="B185" t="s">
        <v>431</v>
      </c>
      <c r="C185" t="s">
        <v>430</v>
      </c>
      <c r="D185" t="s">
        <v>7</v>
      </c>
      <c r="E185" t="s">
        <v>423</v>
      </c>
      <c r="F185">
        <v>38.264787520782498</v>
      </c>
      <c r="G185">
        <v>63.7046574485937</v>
      </c>
      <c r="H185">
        <v>53.528709477469199</v>
      </c>
      <c r="I185">
        <v>13</v>
      </c>
      <c r="J185">
        <v>30</v>
      </c>
    </row>
    <row r="186" spans="1:10" x14ac:dyDescent="0.3">
      <c r="A186" t="s">
        <v>432</v>
      </c>
      <c r="B186" t="s">
        <v>433</v>
      </c>
      <c r="C186" t="s">
        <v>433</v>
      </c>
      <c r="D186" t="s">
        <v>6</v>
      </c>
      <c r="E186" t="s">
        <v>423</v>
      </c>
      <c r="F186">
        <v>77.0927942728337</v>
      </c>
      <c r="G186">
        <v>94.829810122228807</v>
      </c>
      <c r="H186">
        <v>87.735003782470699</v>
      </c>
      <c r="I186">
        <v>20</v>
      </c>
      <c r="J186">
        <v>55</v>
      </c>
    </row>
    <row r="187" spans="1:10" x14ac:dyDescent="0.3">
      <c r="A187" t="s">
        <v>434</v>
      </c>
      <c r="B187" t="s">
        <v>435</v>
      </c>
      <c r="C187" t="s">
        <v>435</v>
      </c>
      <c r="D187" t="s">
        <v>7</v>
      </c>
      <c r="E187" t="s">
        <v>423</v>
      </c>
      <c r="F187">
        <v>70.518441258923403</v>
      </c>
      <c r="G187">
        <v>77.793600403973898</v>
      </c>
      <c r="H187">
        <v>74.883536745953705</v>
      </c>
      <c r="I187">
        <v>6</v>
      </c>
      <c r="J187">
        <v>25</v>
      </c>
    </row>
    <row r="188" spans="1:10" x14ac:dyDescent="0.3">
      <c r="A188" t="s">
        <v>436</v>
      </c>
      <c r="B188" t="s">
        <v>437</v>
      </c>
      <c r="C188" t="s">
        <v>437</v>
      </c>
      <c r="D188" t="s">
        <v>5</v>
      </c>
      <c r="E188" t="s">
        <v>423</v>
      </c>
      <c r="F188">
        <v>31.9297846411583</v>
      </c>
      <c r="G188">
        <v>72.760470438105699</v>
      </c>
      <c r="H188">
        <v>56.428196119326799</v>
      </c>
      <c r="I188">
        <v>14</v>
      </c>
      <c r="J188">
        <v>38</v>
      </c>
    </row>
    <row r="189" spans="1:10" x14ac:dyDescent="0.3">
      <c r="A189" t="s">
        <v>438</v>
      </c>
      <c r="B189" t="s">
        <v>439</v>
      </c>
      <c r="C189" t="s">
        <v>439</v>
      </c>
      <c r="D189" t="s">
        <v>6</v>
      </c>
      <c r="E189" t="s">
        <v>423</v>
      </c>
      <c r="F189">
        <v>31.922326653617699</v>
      </c>
      <c r="G189">
        <v>61.241282283933202</v>
      </c>
      <c r="H189">
        <v>49.513700031806998</v>
      </c>
      <c r="I189">
        <v>12</v>
      </c>
      <c r="J189">
        <v>25</v>
      </c>
    </row>
    <row r="190" spans="1:10" x14ac:dyDescent="0.3">
      <c r="A190" t="s">
        <v>379</v>
      </c>
      <c r="B190" t="s">
        <v>207</v>
      </c>
      <c r="C190" t="s">
        <v>207</v>
      </c>
      <c r="D190" t="s">
        <v>6</v>
      </c>
      <c r="E190" t="s">
        <v>423</v>
      </c>
      <c r="F190">
        <v>32.463290345605301</v>
      </c>
      <c r="G190">
        <v>63.254279149213097</v>
      </c>
      <c r="H190">
        <v>50.937883627769999</v>
      </c>
      <c r="I190">
        <v>19</v>
      </c>
      <c r="J190">
        <v>30</v>
      </c>
    </row>
    <row r="191" spans="1:10" x14ac:dyDescent="0.3">
      <c r="A191" t="s">
        <v>440</v>
      </c>
      <c r="B191" t="s">
        <v>441</v>
      </c>
      <c r="C191" t="s">
        <v>441</v>
      </c>
      <c r="D191" t="s">
        <v>5</v>
      </c>
      <c r="E191" t="s">
        <v>423</v>
      </c>
      <c r="F191">
        <v>6.9684098046229401</v>
      </c>
      <c r="G191">
        <v>49.277472628232204</v>
      </c>
      <c r="H191">
        <v>32.353847498788497</v>
      </c>
      <c r="I191">
        <v>4</v>
      </c>
      <c r="J191">
        <v>1</v>
      </c>
    </row>
    <row r="192" spans="1:10" x14ac:dyDescent="0.3">
      <c r="A192" t="s">
        <v>442</v>
      </c>
      <c r="B192" t="s">
        <v>443</v>
      </c>
      <c r="C192" t="s">
        <v>444</v>
      </c>
      <c r="D192" t="s">
        <v>6</v>
      </c>
      <c r="E192" t="s">
        <v>423</v>
      </c>
      <c r="F192">
        <v>77.822487123410696</v>
      </c>
      <c r="G192">
        <v>106.772316846373</v>
      </c>
      <c r="H192">
        <v>95.192384957188494</v>
      </c>
      <c r="I192">
        <v>18</v>
      </c>
      <c r="J192">
        <v>90</v>
      </c>
    </row>
    <row r="193" spans="1:10" x14ac:dyDescent="0.3">
      <c r="A193" t="s">
        <v>387</v>
      </c>
      <c r="B193" t="s">
        <v>445</v>
      </c>
      <c r="C193" t="s">
        <v>445</v>
      </c>
      <c r="D193" t="s">
        <v>6</v>
      </c>
      <c r="E193" t="s">
        <v>423</v>
      </c>
      <c r="F193">
        <v>11.197166439259901</v>
      </c>
      <c r="G193">
        <v>49.008180714471301</v>
      </c>
      <c r="H193">
        <v>33.883775004386798</v>
      </c>
      <c r="I193">
        <v>11</v>
      </c>
      <c r="J193">
        <v>16</v>
      </c>
    </row>
    <row r="194" spans="1:10" x14ac:dyDescent="0.3">
      <c r="A194" t="s">
        <v>174</v>
      </c>
      <c r="B194" t="s">
        <v>446</v>
      </c>
      <c r="C194" t="s">
        <v>446</v>
      </c>
      <c r="D194" t="s">
        <v>5</v>
      </c>
      <c r="E194" t="s">
        <v>423</v>
      </c>
      <c r="F194">
        <v>26.8784754902935</v>
      </c>
      <c r="G194">
        <v>62.1200507129955</v>
      </c>
      <c r="H194">
        <v>48.023420623914703</v>
      </c>
      <c r="I194">
        <v>13</v>
      </c>
      <c r="J194">
        <v>10</v>
      </c>
    </row>
    <row r="195" spans="1:10" x14ac:dyDescent="0.3">
      <c r="A195" t="s">
        <v>447</v>
      </c>
      <c r="B195" t="s">
        <v>448</v>
      </c>
      <c r="C195" t="s">
        <v>448</v>
      </c>
      <c r="D195" t="s">
        <v>4</v>
      </c>
      <c r="E195" t="s">
        <v>423</v>
      </c>
      <c r="F195">
        <v>140.981131941489</v>
      </c>
      <c r="G195">
        <v>95.303598787013797</v>
      </c>
      <c r="H195">
        <v>113.574612048804</v>
      </c>
      <c r="I195">
        <v>20</v>
      </c>
      <c r="J195">
        <v>56</v>
      </c>
    </row>
    <row r="196" spans="1:10" x14ac:dyDescent="0.3">
      <c r="A196" t="s">
        <v>219</v>
      </c>
      <c r="B196" t="s">
        <v>449</v>
      </c>
      <c r="C196" t="s">
        <v>449</v>
      </c>
      <c r="D196" t="s">
        <v>6</v>
      </c>
      <c r="E196" t="s">
        <v>423</v>
      </c>
      <c r="F196">
        <v>71.562341194017307</v>
      </c>
      <c r="G196">
        <v>86.826653083711705</v>
      </c>
      <c r="H196">
        <v>80.720928327834002</v>
      </c>
      <c r="I196">
        <v>17</v>
      </c>
      <c r="J196">
        <v>58</v>
      </c>
    </row>
    <row r="197" spans="1:10" x14ac:dyDescent="0.3">
      <c r="A197" t="s">
        <v>393</v>
      </c>
      <c r="B197" t="s">
        <v>213</v>
      </c>
      <c r="C197" t="s">
        <v>213</v>
      </c>
      <c r="D197" t="s">
        <v>6</v>
      </c>
      <c r="E197" t="s">
        <v>423</v>
      </c>
      <c r="F197">
        <v>67.775269416446093</v>
      </c>
      <c r="G197">
        <v>74.691956587246807</v>
      </c>
      <c r="H197">
        <v>71.925281718926499</v>
      </c>
      <c r="I197">
        <v>18</v>
      </c>
      <c r="J197">
        <v>50</v>
      </c>
    </row>
    <row r="198" spans="1:10" x14ac:dyDescent="0.3">
      <c r="A198" t="s">
        <v>450</v>
      </c>
      <c r="B198" t="s">
        <v>451</v>
      </c>
      <c r="C198" t="s">
        <v>452</v>
      </c>
      <c r="D198" t="s">
        <v>5</v>
      </c>
      <c r="E198" t="s">
        <v>423</v>
      </c>
      <c r="F198">
        <v>15.268649360625901</v>
      </c>
      <c r="G198">
        <v>139.06300062065799</v>
      </c>
      <c r="H198">
        <v>89.545260116645196</v>
      </c>
      <c r="I198">
        <v>14</v>
      </c>
      <c r="J198">
        <v>12</v>
      </c>
    </row>
    <row r="199" spans="1:10" x14ac:dyDescent="0.3">
      <c r="A199" t="s">
        <v>453</v>
      </c>
      <c r="B199" t="s">
        <v>454</v>
      </c>
      <c r="C199" t="s">
        <v>454</v>
      </c>
      <c r="D199" t="s">
        <v>7</v>
      </c>
      <c r="E199" t="s">
        <v>423</v>
      </c>
      <c r="F199">
        <v>-1.59210760199644</v>
      </c>
      <c r="G199">
        <v>106.180657301756</v>
      </c>
      <c r="H199">
        <v>63.071551340255198</v>
      </c>
      <c r="I199">
        <v>1</v>
      </c>
      <c r="J199">
        <v>1</v>
      </c>
    </row>
    <row r="200" spans="1:10" x14ac:dyDescent="0.3">
      <c r="A200" t="s">
        <v>455</v>
      </c>
      <c r="B200" t="s">
        <v>456</v>
      </c>
      <c r="C200" t="s">
        <v>456</v>
      </c>
      <c r="D200" t="s">
        <v>6</v>
      </c>
      <c r="E200" t="s">
        <v>423</v>
      </c>
      <c r="F200">
        <v>5.0787483148042503</v>
      </c>
      <c r="G200">
        <v>109.633358510783</v>
      </c>
      <c r="H200">
        <v>67.811514432392002</v>
      </c>
      <c r="I200">
        <v>5</v>
      </c>
      <c r="J200">
        <v>5</v>
      </c>
    </row>
    <row r="201" spans="1:10" x14ac:dyDescent="0.3">
      <c r="A201" t="s">
        <v>169</v>
      </c>
      <c r="B201" t="s">
        <v>457</v>
      </c>
      <c r="C201" t="s">
        <v>457</v>
      </c>
      <c r="D201" t="s">
        <v>6</v>
      </c>
      <c r="E201" t="s">
        <v>423</v>
      </c>
      <c r="F201">
        <v>40.738101607237603</v>
      </c>
      <c r="G201">
        <v>47.876959685811102</v>
      </c>
      <c r="H201">
        <v>45.021416454381701</v>
      </c>
      <c r="I201">
        <v>12</v>
      </c>
      <c r="J201">
        <v>24</v>
      </c>
    </row>
    <row r="202" spans="1:10" x14ac:dyDescent="0.3">
      <c r="A202" t="s">
        <v>67</v>
      </c>
      <c r="B202" t="s">
        <v>458</v>
      </c>
      <c r="C202" t="s">
        <v>458</v>
      </c>
      <c r="D202" t="s">
        <v>5</v>
      </c>
      <c r="E202" t="s">
        <v>423</v>
      </c>
      <c r="F202">
        <v>6.5447235907040504</v>
      </c>
      <c r="G202">
        <v>68.260335037881504</v>
      </c>
      <c r="H202">
        <v>43.574090459010499</v>
      </c>
      <c r="I202">
        <v>4</v>
      </c>
      <c r="J202">
        <v>4</v>
      </c>
    </row>
    <row r="203" spans="1:10" x14ac:dyDescent="0.3">
      <c r="A203" t="s">
        <v>425</v>
      </c>
      <c r="B203" t="s">
        <v>459</v>
      </c>
      <c r="C203" t="s">
        <v>459</v>
      </c>
      <c r="D203" t="s">
        <v>6</v>
      </c>
      <c r="E203" t="s">
        <v>423</v>
      </c>
      <c r="F203">
        <v>-0.52258782899781897</v>
      </c>
      <c r="G203">
        <v>103.085706928577</v>
      </c>
      <c r="H203">
        <v>61.642389025547502</v>
      </c>
      <c r="I203">
        <v>1</v>
      </c>
      <c r="J203">
        <v>1</v>
      </c>
    </row>
    <row r="204" spans="1:10" x14ac:dyDescent="0.3">
      <c r="A204" t="s">
        <v>460</v>
      </c>
      <c r="B204" t="s">
        <v>461</v>
      </c>
      <c r="C204" t="s">
        <v>461</v>
      </c>
      <c r="D204" t="s">
        <v>7</v>
      </c>
      <c r="E204" t="s">
        <v>423</v>
      </c>
      <c r="F204">
        <v>14.574726797848401</v>
      </c>
      <c r="G204">
        <v>97.977483262942997</v>
      </c>
      <c r="H204">
        <v>64.616380676905194</v>
      </c>
      <c r="I204">
        <v>7</v>
      </c>
      <c r="J204">
        <v>22</v>
      </c>
    </row>
    <row r="205" spans="1:10" x14ac:dyDescent="0.3">
      <c r="A205" t="s">
        <v>432</v>
      </c>
      <c r="B205" t="s">
        <v>462</v>
      </c>
      <c r="C205" t="s">
        <v>462</v>
      </c>
      <c r="D205" t="s">
        <v>6</v>
      </c>
      <c r="E205" t="s">
        <v>423</v>
      </c>
      <c r="F205">
        <v>1.8640340839579299</v>
      </c>
      <c r="G205">
        <v>111.564741516637</v>
      </c>
      <c r="H205">
        <v>67.684458543565398</v>
      </c>
      <c r="I205">
        <v>1</v>
      </c>
      <c r="J205">
        <v>1</v>
      </c>
    </row>
    <row r="206" spans="1:10" x14ac:dyDescent="0.3">
      <c r="A206" t="s">
        <v>381</v>
      </c>
      <c r="B206" t="s">
        <v>382</v>
      </c>
      <c r="C206" t="s">
        <v>382</v>
      </c>
      <c r="D206" t="s">
        <v>4</v>
      </c>
      <c r="E206" t="s">
        <v>383</v>
      </c>
      <c r="F206">
        <v>64.856280251889601</v>
      </c>
      <c r="G206">
        <v>69.826633008403505</v>
      </c>
      <c r="H206">
        <v>67.838491905797895</v>
      </c>
      <c r="I206">
        <v>18</v>
      </c>
      <c r="J206">
        <v>58</v>
      </c>
    </row>
    <row r="207" spans="1:10" x14ac:dyDescent="0.3">
      <c r="A207" t="s">
        <v>384</v>
      </c>
      <c r="B207" t="s">
        <v>385</v>
      </c>
      <c r="C207" t="s">
        <v>385</v>
      </c>
      <c r="D207" t="s">
        <v>5</v>
      </c>
      <c r="E207" t="s">
        <v>383</v>
      </c>
      <c r="F207">
        <v>51.157303208102299</v>
      </c>
      <c r="G207">
        <v>72.9165537035325</v>
      </c>
      <c r="H207">
        <v>64.212853505360499</v>
      </c>
      <c r="I207">
        <v>10</v>
      </c>
      <c r="J207">
        <v>19</v>
      </c>
    </row>
    <row r="208" spans="1:10" x14ac:dyDescent="0.3">
      <c r="A208" t="s">
        <v>208</v>
      </c>
      <c r="B208" t="s">
        <v>386</v>
      </c>
      <c r="C208" t="s">
        <v>386</v>
      </c>
      <c r="D208" t="s">
        <v>6</v>
      </c>
      <c r="E208" t="s">
        <v>383</v>
      </c>
      <c r="F208">
        <v>22.663813267552399</v>
      </c>
      <c r="G208">
        <v>59.3108699218607</v>
      </c>
      <c r="H208">
        <v>44.652047260137401</v>
      </c>
      <c r="I208">
        <v>8</v>
      </c>
      <c r="J208">
        <v>17</v>
      </c>
    </row>
    <row r="209" spans="1:10" x14ac:dyDescent="0.3">
      <c r="A209" t="s">
        <v>387</v>
      </c>
      <c r="B209" t="s">
        <v>388</v>
      </c>
      <c r="C209" t="s">
        <v>388</v>
      </c>
      <c r="D209" t="s">
        <v>7</v>
      </c>
      <c r="E209" t="s">
        <v>383</v>
      </c>
      <c r="F209">
        <v>221.415730337078</v>
      </c>
      <c r="G209">
        <v>97.566600135204098</v>
      </c>
      <c r="H209">
        <v>147.10625221595299</v>
      </c>
      <c r="I209">
        <v>16</v>
      </c>
      <c r="J209">
        <v>79</v>
      </c>
    </row>
    <row r="210" spans="1:10" x14ac:dyDescent="0.3">
      <c r="A210" t="s">
        <v>390</v>
      </c>
      <c r="B210" t="s">
        <v>391</v>
      </c>
      <c r="C210" t="s">
        <v>392</v>
      </c>
      <c r="D210" t="s">
        <v>5</v>
      </c>
      <c r="E210" t="s">
        <v>383</v>
      </c>
      <c r="F210">
        <v>4.0316601940067702</v>
      </c>
      <c r="G210">
        <v>56.745806816519398</v>
      </c>
      <c r="H210">
        <v>35.660148167514301</v>
      </c>
      <c r="I210">
        <v>8</v>
      </c>
      <c r="J210">
        <v>21</v>
      </c>
    </row>
    <row r="211" spans="1:10" x14ac:dyDescent="0.3">
      <c r="A211" t="s">
        <v>393</v>
      </c>
      <c r="B211" t="s">
        <v>394</v>
      </c>
      <c r="C211" t="s">
        <v>394</v>
      </c>
      <c r="D211" t="s">
        <v>5</v>
      </c>
      <c r="E211" t="s">
        <v>383</v>
      </c>
      <c r="F211">
        <v>7.3611022255516101</v>
      </c>
      <c r="G211">
        <v>27.906352196471801</v>
      </c>
      <c r="H211">
        <v>19.688252208103702</v>
      </c>
      <c r="I211">
        <v>10</v>
      </c>
      <c r="J211">
        <v>19</v>
      </c>
    </row>
    <row r="212" spans="1:10" x14ac:dyDescent="0.3">
      <c r="A212" t="s">
        <v>395</v>
      </c>
      <c r="B212" t="s">
        <v>396</v>
      </c>
      <c r="C212" t="s">
        <v>396</v>
      </c>
      <c r="D212" t="s">
        <v>5</v>
      </c>
      <c r="E212" t="s">
        <v>383</v>
      </c>
      <c r="F212">
        <v>48.110221635039899</v>
      </c>
      <c r="G212">
        <v>63.348960495420897</v>
      </c>
      <c r="H212">
        <v>57.253464951268498</v>
      </c>
      <c r="I212">
        <v>16</v>
      </c>
      <c r="J212">
        <v>29</v>
      </c>
    </row>
    <row r="213" spans="1:10" x14ac:dyDescent="0.3">
      <c r="A213" t="s">
        <v>397</v>
      </c>
      <c r="B213" t="s">
        <v>398</v>
      </c>
      <c r="C213" t="s">
        <v>398</v>
      </c>
      <c r="D213" t="s">
        <v>6</v>
      </c>
      <c r="E213" t="s">
        <v>383</v>
      </c>
      <c r="F213">
        <v>123.25842696629201</v>
      </c>
      <c r="G213">
        <v>87.397904139770006</v>
      </c>
      <c r="H213">
        <v>101.742113270378</v>
      </c>
      <c r="I213">
        <v>14</v>
      </c>
      <c r="J213">
        <v>70</v>
      </c>
    </row>
    <row r="214" spans="1:10" x14ac:dyDescent="0.3">
      <c r="A214" t="s">
        <v>399</v>
      </c>
      <c r="B214" t="s">
        <v>400</v>
      </c>
      <c r="C214" t="s">
        <v>400</v>
      </c>
      <c r="D214" t="s">
        <v>6</v>
      </c>
      <c r="E214" t="s">
        <v>383</v>
      </c>
      <c r="F214">
        <v>37.760143805864601</v>
      </c>
      <c r="G214">
        <v>61.840541981717202</v>
      </c>
      <c r="H214">
        <v>52.208382711376203</v>
      </c>
      <c r="I214">
        <v>7</v>
      </c>
      <c r="J214">
        <v>12</v>
      </c>
    </row>
    <row r="215" spans="1:10" x14ac:dyDescent="0.3">
      <c r="A215" t="s">
        <v>213</v>
      </c>
      <c r="B215" t="s">
        <v>401</v>
      </c>
      <c r="C215" t="s">
        <v>401</v>
      </c>
      <c r="D215" t="s">
        <v>6</v>
      </c>
      <c r="E215" t="s">
        <v>383</v>
      </c>
      <c r="F215">
        <v>65.484728057357003</v>
      </c>
      <c r="G215">
        <v>73.525760236945302</v>
      </c>
      <c r="H215">
        <v>70.30934736511</v>
      </c>
      <c r="I215">
        <v>18</v>
      </c>
      <c r="J215">
        <v>82</v>
      </c>
    </row>
    <row r="216" spans="1:10" x14ac:dyDescent="0.3">
      <c r="A216" t="s">
        <v>402</v>
      </c>
      <c r="B216" t="s">
        <v>403</v>
      </c>
      <c r="C216" t="s">
        <v>403</v>
      </c>
      <c r="D216" t="s">
        <v>7</v>
      </c>
      <c r="E216" t="s">
        <v>383</v>
      </c>
      <c r="F216">
        <v>44.024602460044498</v>
      </c>
      <c r="G216">
        <v>55.930858584446099</v>
      </c>
      <c r="H216">
        <v>51.168356134685403</v>
      </c>
      <c r="I216">
        <v>14</v>
      </c>
      <c r="J216">
        <v>44</v>
      </c>
    </row>
    <row r="217" spans="1:10" x14ac:dyDescent="0.3">
      <c r="A217" t="s">
        <v>404</v>
      </c>
      <c r="B217" t="s">
        <v>405</v>
      </c>
      <c r="C217" t="s">
        <v>405</v>
      </c>
      <c r="D217" t="s">
        <v>6</v>
      </c>
      <c r="E217" t="s">
        <v>383</v>
      </c>
      <c r="F217">
        <v>10.666594018431899</v>
      </c>
      <c r="G217">
        <v>27.284551052603</v>
      </c>
      <c r="H217">
        <v>20.637368238934599</v>
      </c>
      <c r="I217">
        <v>3</v>
      </c>
      <c r="J217">
        <v>3</v>
      </c>
    </row>
    <row r="218" spans="1:10" x14ac:dyDescent="0.3">
      <c r="A218" t="s">
        <v>296</v>
      </c>
      <c r="B218" t="s">
        <v>227</v>
      </c>
      <c r="C218" t="s">
        <v>227</v>
      </c>
      <c r="D218" t="s">
        <v>6</v>
      </c>
      <c r="E218" t="s">
        <v>383</v>
      </c>
      <c r="F218">
        <v>59.551055356585699</v>
      </c>
      <c r="G218">
        <v>82.142496236284799</v>
      </c>
      <c r="H218">
        <v>73.105919884405196</v>
      </c>
      <c r="I218">
        <v>14</v>
      </c>
      <c r="J218">
        <v>49</v>
      </c>
    </row>
    <row r="219" spans="1:10" x14ac:dyDescent="0.3">
      <c r="A219" t="s">
        <v>406</v>
      </c>
      <c r="B219" t="s">
        <v>407</v>
      </c>
      <c r="C219" t="s">
        <v>407</v>
      </c>
      <c r="D219" t="s">
        <v>6</v>
      </c>
      <c r="E219" t="s">
        <v>383</v>
      </c>
      <c r="F219">
        <v>36.9103717420479</v>
      </c>
      <c r="G219">
        <v>47.447938551625498</v>
      </c>
      <c r="H219">
        <v>43.232911827794503</v>
      </c>
      <c r="I219">
        <v>13</v>
      </c>
      <c r="J219">
        <v>29</v>
      </c>
    </row>
    <row r="220" spans="1:10" x14ac:dyDescent="0.3">
      <c r="A220" t="s">
        <v>408</v>
      </c>
      <c r="B220" t="s">
        <v>409</v>
      </c>
      <c r="C220" t="s">
        <v>409</v>
      </c>
      <c r="D220" t="s">
        <v>5</v>
      </c>
      <c r="E220" t="s">
        <v>383</v>
      </c>
      <c r="F220">
        <v>27.151928913008099</v>
      </c>
      <c r="G220">
        <v>65.345560739808306</v>
      </c>
      <c r="H220">
        <v>50.068108009088299</v>
      </c>
      <c r="I220">
        <v>16</v>
      </c>
      <c r="J220">
        <v>32</v>
      </c>
    </row>
    <row r="221" spans="1:10" x14ac:dyDescent="0.3">
      <c r="A221" t="s">
        <v>410</v>
      </c>
      <c r="B221" t="s">
        <v>32</v>
      </c>
      <c r="C221" t="s">
        <v>32</v>
      </c>
      <c r="D221" t="s">
        <v>5</v>
      </c>
      <c r="E221" t="s">
        <v>383</v>
      </c>
      <c r="F221">
        <v>23.684633610353401</v>
      </c>
      <c r="G221">
        <v>51.824403729837698</v>
      </c>
      <c r="H221">
        <v>40.568495682044002</v>
      </c>
      <c r="I221">
        <v>10</v>
      </c>
      <c r="J221">
        <v>27</v>
      </c>
    </row>
    <row r="222" spans="1:10" x14ac:dyDescent="0.3">
      <c r="A222" t="s">
        <v>411</v>
      </c>
      <c r="B222" t="s">
        <v>412</v>
      </c>
      <c r="C222" t="s">
        <v>412</v>
      </c>
      <c r="D222" t="s">
        <v>5</v>
      </c>
      <c r="E222" t="s">
        <v>383</v>
      </c>
      <c r="F222">
        <v>24.7233285809988</v>
      </c>
      <c r="G222">
        <v>38.142748276522198</v>
      </c>
      <c r="H222">
        <v>32.774980398312898</v>
      </c>
      <c r="I222">
        <v>8</v>
      </c>
      <c r="J222">
        <v>9</v>
      </c>
    </row>
    <row r="223" spans="1:10" x14ac:dyDescent="0.3">
      <c r="A223" t="s">
        <v>413</v>
      </c>
      <c r="B223" t="s">
        <v>414</v>
      </c>
      <c r="C223" t="s">
        <v>414</v>
      </c>
      <c r="D223" t="s">
        <v>7</v>
      </c>
      <c r="E223" t="s">
        <v>383</v>
      </c>
      <c r="F223">
        <v>159.69221223648401</v>
      </c>
      <c r="G223">
        <v>103.02347688563999</v>
      </c>
      <c r="H223">
        <v>125.69097102597701</v>
      </c>
      <c r="I223">
        <v>7</v>
      </c>
      <c r="J223">
        <v>28</v>
      </c>
    </row>
    <row r="224" spans="1:10" x14ac:dyDescent="0.3">
      <c r="A224" t="s">
        <v>415</v>
      </c>
      <c r="B224" t="s">
        <v>416</v>
      </c>
      <c r="C224" t="s">
        <v>416</v>
      </c>
      <c r="D224" t="s">
        <v>6</v>
      </c>
      <c r="E224" t="s">
        <v>383</v>
      </c>
      <c r="F224">
        <v>62.359813609760302</v>
      </c>
      <c r="G224">
        <v>139.877708571939</v>
      </c>
      <c r="H224">
        <v>108.870550587068</v>
      </c>
      <c r="I224">
        <v>14</v>
      </c>
      <c r="J224">
        <v>30</v>
      </c>
    </row>
    <row r="225" spans="1:10" x14ac:dyDescent="0.3">
      <c r="A225" t="s">
        <v>191</v>
      </c>
      <c r="B225" t="s">
        <v>73</v>
      </c>
      <c r="C225" t="s">
        <v>73</v>
      </c>
      <c r="D225" t="s">
        <v>5</v>
      </c>
      <c r="E225" t="s">
        <v>383</v>
      </c>
      <c r="F225">
        <v>2.4548409590792999</v>
      </c>
      <c r="G225">
        <v>39.397570124626299</v>
      </c>
      <c r="H225">
        <v>24.620478458407501</v>
      </c>
      <c r="I225">
        <v>4</v>
      </c>
      <c r="J225">
        <v>4</v>
      </c>
    </row>
    <row r="226" spans="1:10" x14ac:dyDescent="0.3">
      <c r="A226" t="s">
        <v>417</v>
      </c>
      <c r="B226" t="s">
        <v>418</v>
      </c>
      <c r="C226" t="s">
        <v>418</v>
      </c>
      <c r="D226" t="s">
        <v>6</v>
      </c>
      <c r="E226" t="s">
        <v>383</v>
      </c>
      <c r="F226">
        <v>172.41176470588201</v>
      </c>
      <c r="G226">
        <v>130.542543769323</v>
      </c>
      <c r="H226">
        <v>147.29023214394601</v>
      </c>
      <c r="I226">
        <v>9</v>
      </c>
      <c r="J226">
        <v>18</v>
      </c>
    </row>
    <row r="227" spans="1:10" x14ac:dyDescent="0.3">
      <c r="A227" t="s">
        <v>419</v>
      </c>
      <c r="B227" t="s">
        <v>420</v>
      </c>
      <c r="C227" t="s">
        <v>420</v>
      </c>
      <c r="D227" t="s">
        <v>6</v>
      </c>
      <c r="E227" t="s">
        <v>383</v>
      </c>
      <c r="F227">
        <v>60.672184720221502</v>
      </c>
      <c r="G227">
        <v>45.9613206174377</v>
      </c>
      <c r="H227">
        <v>51.845666258551198</v>
      </c>
      <c r="I227">
        <v>15</v>
      </c>
      <c r="J227">
        <v>34</v>
      </c>
    </row>
    <row r="228" spans="1:10" x14ac:dyDescent="0.3">
      <c r="A228" t="s">
        <v>421</v>
      </c>
      <c r="B228" t="s">
        <v>422</v>
      </c>
      <c r="C228" t="s">
        <v>422</v>
      </c>
      <c r="D228" t="s">
        <v>6</v>
      </c>
      <c r="E228" t="s">
        <v>383</v>
      </c>
      <c r="F228">
        <v>0</v>
      </c>
      <c r="G228">
        <v>140.62020839751801</v>
      </c>
      <c r="H228">
        <v>84.372125038510802</v>
      </c>
      <c r="I228">
        <v>1</v>
      </c>
      <c r="J228">
        <v>1</v>
      </c>
    </row>
    <row r="229" spans="1:10" x14ac:dyDescent="0.3">
      <c r="A229" t="s">
        <v>213</v>
      </c>
      <c r="B229" t="s">
        <v>463</v>
      </c>
      <c r="C229" t="s">
        <v>463</v>
      </c>
      <c r="D229" t="s">
        <v>6</v>
      </c>
      <c r="E229" t="s">
        <v>464</v>
      </c>
      <c r="F229">
        <v>60.898876270223901</v>
      </c>
      <c r="G229">
        <v>43.472298331744703</v>
      </c>
      <c r="H229">
        <v>50.442929507136398</v>
      </c>
      <c r="I229">
        <v>14</v>
      </c>
      <c r="J229">
        <v>25</v>
      </c>
    </row>
    <row r="230" spans="1:10" x14ac:dyDescent="0.3">
      <c r="A230" t="s">
        <v>308</v>
      </c>
      <c r="B230" t="s">
        <v>465</v>
      </c>
      <c r="C230" t="s">
        <v>465</v>
      </c>
      <c r="D230" t="s">
        <v>6</v>
      </c>
      <c r="E230" t="s">
        <v>464</v>
      </c>
      <c r="F230">
        <v>52.025947900684102</v>
      </c>
      <c r="G230">
        <v>62.239958705095297</v>
      </c>
      <c r="H230">
        <v>58.154354383330798</v>
      </c>
      <c r="I230">
        <v>19</v>
      </c>
      <c r="J230">
        <v>69</v>
      </c>
    </row>
    <row r="231" spans="1:10" x14ac:dyDescent="0.3">
      <c r="A231" t="s">
        <v>326</v>
      </c>
      <c r="B231" t="s">
        <v>466</v>
      </c>
      <c r="C231" t="s">
        <v>466</v>
      </c>
      <c r="D231" t="s">
        <v>5</v>
      </c>
      <c r="E231" t="s">
        <v>464</v>
      </c>
      <c r="F231">
        <v>29.768475831307601</v>
      </c>
      <c r="G231">
        <v>48.907981546097801</v>
      </c>
      <c r="H231">
        <v>41.252179260181698</v>
      </c>
      <c r="I231">
        <v>16</v>
      </c>
      <c r="J231">
        <v>61</v>
      </c>
    </row>
    <row r="232" spans="1:10" x14ac:dyDescent="0.3">
      <c r="A232" t="s">
        <v>251</v>
      </c>
      <c r="B232" t="s">
        <v>467</v>
      </c>
      <c r="C232" t="s">
        <v>251</v>
      </c>
      <c r="D232" t="s">
        <v>6</v>
      </c>
      <c r="E232" t="s">
        <v>464</v>
      </c>
      <c r="F232">
        <v>25.241279195138802</v>
      </c>
      <c r="G232">
        <v>67.4735842848782</v>
      </c>
      <c r="H232">
        <v>50.580662248982499</v>
      </c>
      <c r="I232">
        <v>11</v>
      </c>
      <c r="J232">
        <v>31</v>
      </c>
    </row>
    <row r="233" spans="1:10" x14ac:dyDescent="0.3">
      <c r="A233" t="s">
        <v>351</v>
      </c>
      <c r="B233" t="s">
        <v>468</v>
      </c>
      <c r="C233" t="s">
        <v>469</v>
      </c>
      <c r="D233" t="s">
        <v>6</v>
      </c>
      <c r="E233" t="s">
        <v>464</v>
      </c>
      <c r="F233">
        <v>27.365015615495199</v>
      </c>
      <c r="G233">
        <v>67.5676639647901</v>
      </c>
      <c r="H233">
        <v>51.486604625072097</v>
      </c>
      <c r="I233">
        <v>6</v>
      </c>
      <c r="J233">
        <v>34</v>
      </c>
    </row>
    <row r="234" spans="1:10" x14ac:dyDescent="0.3">
      <c r="A234" t="s">
        <v>470</v>
      </c>
      <c r="B234" t="s">
        <v>471</v>
      </c>
      <c r="C234" t="s">
        <v>471</v>
      </c>
      <c r="D234" t="s">
        <v>7</v>
      </c>
      <c r="E234" t="s">
        <v>464</v>
      </c>
      <c r="F234">
        <v>68.971246419519503</v>
      </c>
      <c r="G234">
        <v>92.781725337602794</v>
      </c>
      <c r="H234">
        <v>83.257533770369506</v>
      </c>
      <c r="I234">
        <v>12</v>
      </c>
      <c r="J234">
        <v>46</v>
      </c>
    </row>
    <row r="235" spans="1:10" x14ac:dyDescent="0.3">
      <c r="A235" t="s">
        <v>472</v>
      </c>
      <c r="B235" t="s">
        <v>473</v>
      </c>
      <c r="C235" t="s">
        <v>473</v>
      </c>
      <c r="D235" t="s">
        <v>5</v>
      </c>
      <c r="E235" t="s">
        <v>464</v>
      </c>
      <c r="F235">
        <v>67.686504050867001</v>
      </c>
      <c r="G235">
        <v>90.297048104421194</v>
      </c>
      <c r="H235">
        <v>81.252830482999599</v>
      </c>
      <c r="I235">
        <v>19</v>
      </c>
      <c r="J235">
        <v>92</v>
      </c>
    </row>
    <row r="236" spans="1:10" x14ac:dyDescent="0.3">
      <c r="A236" t="s">
        <v>474</v>
      </c>
      <c r="B236" t="s">
        <v>475</v>
      </c>
      <c r="C236" t="s">
        <v>475</v>
      </c>
      <c r="D236" t="s">
        <v>6</v>
      </c>
      <c r="E236" t="s">
        <v>464</v>
      </c>
      <c r="F236">
        <v>105.956217788186</v>
      </c>
      <c r="G236">
        <v>120.343875637137</v>
      </c>
      <c r="H236">
        <v>114.588812497557</v>
      </c>
      <c r="I236">
        <v>20</v>
      </c>
      <c r="J236">
        <v>97</v>
      </c>
    </row>
    <row r="237" spans="1:10" x14ac:dyDescent="0.3">
      <c r="A237" t="s">
        <v>476</v>
      </c>
      <c r="B237" t="s">
        <v>477</v>
      </c>
      <c r="C237" t="s">
        <v>476</v>
      </c>
      <c r="D237" t="s">
        <v>4</v>
      </c>
      <c r="E237" t="s">
        <v>464</v>
      </c>
      <c r="F237">
        <v>67.501113540574295</v>
      </c>
      <c r="G237">
        <v>103.709375493397</v>
      </c>
      <c r="H237">
        <v>89.226070712268495</v>
      </c>
      <c r="I237">
        <v>19</v>
      </c>
      <c r="J237">
        <v>84</v>
      </c>
    </row>
    <row r="238" spans="1:10" x14ac:dyDescent="0.3">
      <c r="A238" t="s">
        <v>478</v>
      </c>
      <c r="B238" t="s">
        <v>479</v>
      </c>
      <c r="C238" t="s">
        <v>479</v>
      </c>
      <c r="D238" t="s">
        <v>6</v>
      </c>
      <c r="E238" t="s">
        <v>464</v>
      </c>
      <c r="F238">
        <v>160.98876398947701</v>
      </c>
      <c r="G238">
        <v>165.770998405131</v>
      </c>
      <c r="H238">
        <v>163.85810463887</v>
      </c>
      <c r="I238">
        <v>20</v>
      </c>
      <c r="J238">
        <v>177</v>
      </c>
    </row>
    <row r="239" spans="1:10" x14ac:dyDescent="0.3">
      <c r="A239" t="s">
        <v>480</v>
      </c>
      <c r="B239" t="s">
        <v>481</v>
      </c>
      <c r="C239" t="s">
        <v>481</v>
      </c>
      <c r="D239" t="s">
        <v>5</v>
      </c>
      <c r="E239" t="s">
        <v>464</v>
      </c>
      <c r="F239">
        <v>187.66292122922701</v>
      </c>
      <c r="G239">
        <v>107.86266949725901</v>
      </c>
      <c r="H239">
        <v>139.78277019004599</v>
      </c>
      <c r="I239">
        <v>15</v>
      </c>
      <c r="J239">
        <v>81</v>
      </c>
    </row>
    <row r="240" spans="1:10" x14ac:dyDescent="0.3">
      <c r="A240" t="s">
        <v>482</v>
      </c>
      <c r="B240" t="s">
        <v>483</v>
      </c>
      <c r="C240" t="s">
        <v>483</v>
      </c>
      <c r="D240" t="s">
        <v>7</v>
      </c>
      <c r="E240" t="s">
        <v>464</v>
      </c>
      <c r="F240">
        <v>20.078958061654799</v>
      </c>
      <c r="G240">
        <v>34.2646848821405</v>
      </c>
      <c r="H240">
        <v>28.5903941539462</v>
      </c>
      <c r="I240">
        <v>3</v>
      </c>
      <c r="J240">
        <v>14</v>
      </c>
    </row>
    <row r="241" spans="1:10" x14ac:dyDescent="0.3">
      <c r="A241" t="s">
        <v>484</v>
      </c>
      <c r="B241" t="s">
        <v>485</v>
      </c>
      <c r="C241" t="s">
        <v>485</v>
      </c>
      <c r="D241" t="s">
        <v>6</v>
      </c>
      <c r="E241" t="s">
        <v>464</v>
      </c>
      <c r="F241">
        <v>18.283110124580201</v>
      </c>
      <c r="G241">
        <v>42.151050486427799</v>
      </c>
      <c r="H241">
        <v>32.603874341688801</v>
      </c>
      <c r="I241">
        <v>7</v>
      </c>
      <c r="J241">
        <v>16</v>
      </c>
    </row>
    <row r="242" spans="1:10" x14ac:dyDescent="0.3">
      <c r="A242" t="s">
        <v>486</v>
      </c>
      <c r="B242" t="s">
        <v>487</v>
      </c>
      <c r="C242" t="s">
        <v>487</v>
      </c>
      <c r="D242" t="s">
        <v>5</v>
      </c>
      <c r="E242" t="s">
        <v>464</v>
      </c>
      <c r="F242">
        <v>104.67504135674299</v>
      </c>
      <c r="G242">
        <v>133.009522705248</v>
      </c>
      <c r="H242">
        <v>121.67573016584601</v>
      </c>
      <c r="I242">
        <v>19</v>
      </c>
      <c r="J242">
        <v>142</v>
      </c>
    </row>
    <row r="243" spans="1:10" x14ac:dyDescent="0.3">
      <c r="A243" t="s">
        <v>488</v>
      </c>
      <c r="B243" t="s">
        <v>489</v>
      </c>
      <c r="C243" t="s">
        <v>489</v>
      </c>
      <c r="D243" t="s">
        <v>5</v>
      </c>
      <c r="E243" t="s">
        <v>464</v>
      </c>
      <c r="F243">
        <v>16.463338581668602</v>
      </c>
      <c r="G243">
        <v>36.219570723439098</v>
      </c>
      <c r="H243">
        <v>28.317077866730902</v>
      </c>
      <c r="I243">
        <v>3</v>
      </c>
      <c r="J243">
        <v>3</v>
      </c>
    </row>
    <row r="244" spans="1:10" x14ac:dyDescent="0.3">
      <c r="A244" t="s">
        <v>490</v>
      </c>
      <c r="B244" t="s">
        <v>491</v>
      </c>
      <c r="C244" t="s">
        <v>491</v>
      </c>
      <c r="D244" t="s">
        <v>6</v>
      </c>
      <c r="E244" t="s">
        <v>464</v>
      </c>
      <c r="F244">
        <v>0.69844709277530803</v>
      </c>
      <c r="G244">
        <v>27.2827969447249</v>
      </c>
      <c r="H244">
        <v>16.649057003945099</v>
      </c>
      <c r="I244">
        <v>11</v>
      </c>
      <c r="J244">
        <v>34</v>
      </c>
    </row>
    <row r="245" spans="1:10" x14ac:dyDescent="0.3">
      <c r="A245" t="s">
        <v>492</v>
      </c>
      <c r="B245" t="s">
        <v>493</v>
      </c>
      <c r="C245" t="s">
        <v>493</v>
      </c>
      <c r="D245" t="s">
        <v>6</v>
      </c>
      <c r="E245" t="s">
        <v>464</v>
      </c>
      <c r="F245">
        <v>65.297974079914596</v>
      </c>
      <c r="G245">
        <v>76.715587931142693</v>
      </c>
      <c r="H245">
        <v>72.1485423906515</v>
      </c>
      <c r="I245">
        <v>20</v>
      </c>
      <c r="J245">
        <v>104</v>
      </c>
    </row>
    <row r="246" spans="1:10" x14ac:dyDescent="0.3">
      <c r="A246" t="s">
        <v>494</v>
      </c>
      <c r="B246" t="s">
        <v>495</v>
      </c>
      <c r="C246" t="s">
        <v>495</v>
      </c>
      <c r="D246" t="s">
        <v>4</v>
      </c>
      <c r="E246" t="s">
        <v>464</v>
      </c>
      <c r="F246">
        <v>3.96840716044604</v>
      </c>
      <c r="G246">
        <v>30.425993121437301</v>
      </c>
      <c r="H246">
        <v>19.842958737040799</v>
      </c>
      <c r="I246">
        <v>19</v>
      </c>
      <c r="J246">
        <v>8</v>
      </c>
    </row>
    <row r="247" spans="1:10" x14ac:dyDescent="0.3">
      <c r="A247" t="s">
        <v>496</v>
      </c>
      <c r="B247" t="s">
        <v>497</v>
      </c>
      <c r="C247" t="s">
        <v>497</v>
      </c>
      <c r="D247" t="s">
        <v>5</v>
      </c>
      <c r="E247" t="s">
        <v>464</v>
      </c>
      <c r="F247">
        <v>27.692576033631902</v>
      </c>
      <c r="G247">
        <v>141.67515743802801</v>
      </c>
      <c r="H247">
        <v>96.082124876269901</v>
      </c>
      <c r="I247">
        <v>14</v>
      </c>
      <c r="J247">
        <v>21</v>
      </c>
    </row>
    <row r="248" spans="1:10" x14ac:dyDescent="0.3">
      <c r="A248" t="s">
        <v>498</v>
      </c>
      <c r="B248" t="s">
        <v>499</v>
      </c>
      <c r="C248" t="s">
        <v>499</v>
      </c>
      <c r="D248" t="s">
        <v>6</v>
      </c>
      <c r="E248" t="s">
        <v>464</v>
      </c>
      <c r="F248">
        <v>20.171981146959698</v>
      </c>
      <c r="G248">
        <v>44.153301372763899</v>
      </c>
      <c r="H248">
        <v>34.560773282442199</v>
      </c>
      <c r="I248">
        <v>7</v>
      </c>
      <c r="J248">
        <v>25</v>
      </c>
    </row>
    <row r="249" spans="1:10" x14ac:dyDescent="0.3">
      <c r="A249" t="s">
        <v>47</v>
      </c>
      <c r="B249" t="s">
        <v>500</v>
      </c>
      <c r="C249" t="s">
        <v>500</v>
      </c>
      <c r="D249" t="s">
        <v>5</v>
      </c>
      <c r="E249" t="s">
        <v>464</v>
      </c>
      <c r="F249">
        <v>13.8588941011326</v>
      </c>
      <c r="G249">
        <v>60.467800011622998</v>
      </c>
      <c r="H249">
        <v>41.824237647426799</v>
      </c>
      <c r="I249">
        <v>9</v>
      </c>
      <c r="J249">
        <v>33</v>
      </c>
    </row>
    <row r="250" spans="1:10" x14ac:dyDescent="0.3">
      <c r="A250" t="s">
        <v>501</v>
      </c>
      <c r="B250" t="s">
        <v>502</v>
      </c>
      <c r="C250" t="s">
        <v>503</v>
      </c>
      <c r="D250" t="s">
        <v>5</v>
      </c>
      <c r="E250" t="s">
        <v>464</v>
      </c>
      <c r="F250">
        <v>-3.9436907511777899</v>
      </c>
      <c r="G250">
        <v>38.832403002264201</v>
      </c>
      <c r="H250">
        <v>21.7219655008874</v>
      </c>
      <c r="I250">
        <v>1</v>
      </c>
      <c r="J250">
        <v>4</v>
      </c>
    </row>
    <row r="251" spans="1:10" x14ac:dyDescent="0.3">
      <c r="A251" t="s">
        <v>296</v>
      </c>
      <c r="B251" t="s">
        <v>504</v>
      </c>
      <c r="C251" t="s">
        <v>504</v>
      </c>
      <c r="D251" t="s">
        <v>6</v>
      </c>
      <c r="E251" t="s">
        <v>464</v>
      </c>
      <c r="F251">
        <v>7.14411894853723E-2</v>
      </c>
      <c r="G251">
        <v>29.524240766858401</v>
      </c>
      <c r="H251">
        <v>17.7431209359092</v>
      </c>
      <c r="I251">
        <v>4</v>
      </c>
      <c r="J251">
        <v>9</v>
      </c>
    </row>
    <row r="252" spans="1:10" x14ac:dyDescent="0.3">
      <c r="A252" t="s">
        <v>379</v>
      </c>
      <c r="B252" t="s">
        <v>505</v>
      </c>
      <c r="C252" t="s">
        <v>505</v>
      </c>
      <c r="D252" t="s">
        <v>6</v>
      </c>
      <c r="E252" t="s">
        <v>464</v>
      </c>
      <c r="F252">
        <v>0.792055236343153</v>
      </c>
      <c r="G252">
        <v>135.254040013245</v>
      </c>
      <c r="H252">
        <v>81.469246102484803</v>
      </c>
      <c r="I252">
        <v>2</v>
      </c>
      <c r="J252">
        <v>1</v>
      </c>
    </row>
    <row r="253" spans="1:10" x14ac:dyDescent="0.3">
      <c r="A253" t="s">
        <v>219</v>
      </c>
      <c r="B253" t="s">
        <v>506</v>
      </c>
      <c r="C253" t="s">
        <v>506</v>
      </c>
      <c r="D253" t="s">
        <v>6</v>
      </c>
      <c r="E253" t="s">
        <v>507</v>
      </c>
      <c r="F253">
        <v>69.414727966413096</v>
      </c>
      <c r="G253">
        <v>92.734642536948499</v>
      </c>
      <c r="H253">
        <v>83.406676708734295</v>
      </c>
      <c r="I253">
        <v>22</v>
      </c>
      <c r="J253">
        <v>55</v>
      </c>
    </row>
    <row r="254" spans="1:10" x14ac:dyDescent="0.3">
      <c r="A254" t="s">
        <v>508</v>
      </c>
      <c r="B254" t="s">
        <v>509</v>
      </c>
      <c r="C254" t="s">
        <v>509</v>
      </c>
      <c r="D254" t="s">
        <v>5</v>
      </c>
      <c r="E254" t="s">
        <v>507</v>
      </c>
      <c r="F254">
        <v>102.089887608442</v>
      </c>
      <c r="G254">
        <v>64.058128580614607</v>
      </c>
      <c r="H254">
        <v>79.270832191745896</v>
      </c>
      <c r="I254">
        <v>13</v>
      </c>
      <c r="J254">
        <v>57</v>
      </c>
    </row>
    <row r="255" spans="1:10" x14ac:dyDescent="0.3">
      <c r="A255" t="s">
        <v>510</v>
      </c>
      <c r="B255" t="s">
        <v>511</v>
      </c>
      <c r="C255" t="s">
        <v>511</v>
      </c>
      <c r="D255" t="s">
        <v>6</v>
      </c>
      <c r="E255" t="s">
        <v>507</v>
      </c>
      <c r="F255">
        <v>57.966690408568198</v>
      </c>
      <c r="G255">
        <v>76.1458651506899</v>
      </c>
      <c r="H255">
        <v>68.874195253841194</v>
      </c>
      <c r="I255">
        <v>15</v>
      </c>
      <c r="J255">
        <v>71</v>
      </c>
    </row>
    <row r="256" spans="1:10" x14ac:dyDescent="0.3">
      <c r="A256" t="s">
        <v>223</v>
      </c>
      <c r="B256" t="s">
        <v>512</v>
      </c>
      <c r="C256" t="s">
        <v>512</v>
      </c>
      <c r="D256" t="s">
        <v>6</v>
      </c>
      <c r="E256" t="s">
        <v>507</v>
      </c>
      <c r="F256">
        <v>95.205368004627999</v>
      </c>
      <c r="G256">
        <v>105.102267351168</v>
      </c>
      <c r="H256">
        <v>101.143507612552</v>
      </c>
      <c r="I256">
        <v>16</v>
      </c>
      <c r="J256">
        <v>78</v>
      </c>
    </row>
    <row r="257" spans="1:10" x14ac:dyDescent="0.3">
      <c r="A257" t="s">
        <v>77</v>
      </c>
      <c r="B257" t="s">
        <v>513</v>
      </c>
      <c r="C257" t="s">
        <v>513</v>
      </c>
      <c r="D257" t="s">
        <v>5</v>
      </c>
      <c r="E257" t="s">
        <v>507</v>
      </c>
      <c r="F257">
        <v>30.986014617859102</v>
      </c>
      <c r="G257">
        <v>51.042726612591302</v>
      </c>
      <c r="H257">
        <v>43.020041814698402</v>
      </c>
      <c r="I257">
        <v>7</v>
      </c>
      <c r="J257">
        <v>39</v>
      </c>
    </row>
    <row r="258" spans="1:10" x14ac:dyDescent="0.3">
      <c r="A258" t="s">
        <v>277</v>
      </c>
      <c r="B258" t="s">
        <v>287</v>
      </c>
      <c r="C258" t="s">
        <v>287</v>
      </c>
      <c r="D258" t="s">
        <v>5</v>
      </c>
      <c r="E258" t="s">
        <v>507</v>
      </c>
      <c r="F258">
        <v>32.141085137725398</v>
      </c>
      <c r="G258">
        <v>46.916207199834098</v>
      </c>
      <c r="H258">
        <v>41.006158374990598</v>
      </c>
      <c r="I258">
        <v>1</v>
      </c>
      <c r="J258">
        <v>3</v>
      </c>
    </row>
    <row r="259" spans="1:10" x14ac:dyDescent="0.3">
      <c r="A259" t="s">
        <v>514</v>
      </c>
      <c r="B259" t="s">
        <v>515</v>
      </c>
      <c r="C259" t="s">
        <v>515</v>
      </c>
      <c r="D259" t="s">
        <v>6</v>
      </c>
      <c r="E259" t="s">
        <v>507</v>
      </c>
      <c r="F259">
        <v>89.636694246461403</v>
      </c>
      <c r="G259">
        <v>91.075632302041001</v>
      </c>
      <c r="H259">
        <v>90.500057079809196</v>
      </c>
      <c r="I259">
        <v>16</v>
      </c>
      <c r="J259">
        <v>77</v>
      </c>
    </row>
    <row r="260" spans="1:10" x14ac:dyDescent="0.3">
      <c r="A260" t="s">
        <v>516</v>
      </c>
      <c r="B260" t="s">
        <v>517</v>
      </c>
      <c r="C260" t="s">
        <v>517</v>
      </c>
      <c r="D260" t="s">
        <v>6</v>
      </c>
      <c r="E260" t="s">
        <v>507</v>
      </c>
      <c r="F260">
        <v>99.587759036831201</v>
      </c>
      <c r="G260">
        <v>96.290181693508899</v>
      </c>
      <c r="H260">
        <v>97.609212630837902</v>
      </c>
      <c r="I260">
        <v>18</v>
      </c>
      <c r="J260">
        <v>80</v>
      </c>
    </row>
    <row r="261" spans="1:10" x14ac:dyDescent="0.3">
      <c r="A261" t="s">
        <v>518</v>
      </c>
      <c r="B261" t="s">
        <v>519</v>
      </c>
      <c r="C261" t="s">
        <v>519</v>
      </c>
      <c r="D261" t="s">
        <v>5</v>
      </c>
      <c r="E261" t="s">
        <v>507</v>
      </c>
      <c r="F261">
        <v>69.299203013906606</v>
      </c>
      <c r="G261">
        <v>97.089138299294802</v>
      </c>
      <c r="H261">
        <v>85.973164185139495</v>
      </c>
      <c r="I261">
        <v>21</v>
      </c>
      <c r="J261">
        <v>132</v>
      </c>
    </row>
    <row r="262" spans="1:10" x14ac:dyDescent="0.3">
      <c r="A262" t="s">
        <v>520</v>
      </c>
      <c r="B262" t="s">
        <v>521</v>
      </c>
      <c r="C262" t="s">
        <v>520</v>
      </c>
      <c r="D262" t="s">
        <v>4</v>
      </c>
      <c r="E262" t="s">
        <v>507</v>
      </c>
      <c r="F262">
        <v>3.8477204189735899</v>
      </c>
      <c r="G262">
        <v>58.264093998312603</v>
      </c>
      <c r="H262">
        <v>36.497544566576998</v>
      </c>
      <c r="I262">
        <v>21</v>
      </c>
      <c r="J262">
        <v>94</v>
      </c>
    </row>
    <row r="263" spans="1:10" x14ac:dyDescent="0.3">
      <c r="A263" t="s">
        <v>168</v>
      </c>
      <c r="B263" t="s">
        <v>522</v>
      </c>
      <c r="C263" t="s">
        <v>522</v>
      </c>
      <c r="D263" t="s">
        <v>5</v>
      </c>
      <c r="E263" t="s">
        <v>507</v>
      </c>
      <c r="F263">
        <v>32.045297246860002</v>
      </c>
      <c r="G263">
        <v>43.7722320595783</v>
      </c>
      <c r="H263">
        <v>39.081458134491001</v>
      </c>
      <c r="I263">
        <v>8</v>
      </c>
      <c r="J263">
        <v>32</v>
      </c>
    </row>
    <row r="264" spans="1:10" x14ac:dyDescent="0.3">
      <c r="A264" t="s">
        <v>523</v>
      </c>
      <c r="B264" t="s">
        <v>524</v>
      </c>
      <c r="C264" t="s">
        <v>524</v>
      </c>
      <c r="D264" t="s">
        <v>5</v>
      </c>
      <c r="E264" t="s">
        <v>507</v>
      </c>
      <c r="F264">
        <v>44.522726404278004</v>
      </c>
      <c r="G264">
        <v>64.963405281932495</v>
      </c>
      <c r="H264">
        <v>56.7871337308707</v>
      </c>
      <c r="I264">
        <v>18</v>
      </c>
      <c r="J264">
        <v>91</v>
      </c>
    </row>
    <row r="265" spans="1:10" x14ac:dyDescent="0.3">
      <c r="A265" t="s">
        <v>525</v>
      </c>
      <c r="B265" t="s">
        <v>526</v>
      </c>
      <c r="C265" t="s">
        <v>526</v>
      </c>
      <c r="D265" t="s">
        <v>4</v>
      </c>
      <c r="E265" t="s">
        <v>507</v>
      </c>
      <c r="F265">
        <v>3.2542461012616699</v>
      </c>
      <c r="G265">
        <v>49.787748615166002</v>
      </c>
      <c r="H265">
        <v>31.174347609604201</v>
      </c>
      <c r="I265">
        <v>1</v>
      </c>
      <c r="J265">
        <v>7</v>
      </c>
    </row>
    <row r="266" spans="1:10" x14ac:dyDescent="0.3">
      <c r="A266" t="s">
        <v>527</v>
      </c>
      <c r="B266" t="s">
        <v>528</v>
      </c>
      <c r="C266" t="s">
        <v>192</v>
      </c>
      <c r="D266" t="s">
        <v>6</v>
      </c>
      <c r="E266" t="s">
        <v>507</v>
      </c>
      <c r="F266">
        <v>74.4102811178754</v>
      </c>
      <c r="G266">
        <v>116.518581162297</v>
      </c>
      <c r="H266">
        <v>99.675261144528804</v>
      </c>
      <c r="I266">
        <v>21</v>
      </c>
      <c r="J266">
        <v>106</v>
      </c>
    </row>
    <row r="267" spans="1:10" x14ac:dyDescent="0.3">
      <c r="A267" t="s">
        <v>529</v>
      </c>
      <c r="B267" t="s">
        <v>530</v>
      </c>
      <c r="C267" t="s">
        <v>531</v>
      </c>
      <c r="D267" t="s">
        <v>5</v>
      </c>
      <c r="E267" t="s">
        <v>507</v>
      </c>
      <c r="F267">
        <v>179.200000070285</v>
      </c>
      <c r="G267">
        <v>114.161052226545</v>
      </c>
      <c r="H267">
        <v>140.17663136404099</v>
      </c>
      <c r="I267">
        <v>20</v>
      </c>
      <c r="J267">
        <v>96</v>
      </c>
    </row>
    <row r="268" spans="1:10" x14ac:dyDescent="0.3">
      <c r="A268" t="s">
        <v>532</v>
      </c>
      <c r="B268" t="s">
        <v>533</v>
      </c>
      <c r="C268" t="s">
        <v>534</v>
      </c>
      <c r="D268" t="s">
        <v>7</v>
      </c>
      <c r="E268" t="s">
        <v>507</v>
      </c>
      <c r="F268">
        <v>88.717977467388593</v>
      </c>
      <c r="G268">
        <v>105.130879604667</v>
      </c>
      <c r="H268">
        <v>98.565718749756002</v>
      </c>
      <c r="I268">
        <v>18</v>
      </c>
      <c r="J268">
        <v>70</v>
      </c>
    </row>
    <row r="269" spans="1:10" x14ac:dyDescent="0.3">
      <c r="A269" t="s">
        <v>535</v>
      </c>
      <c r="B269" t="s">
        <v>536</v>
      </c>
      <c r="C269" t="s">
        <v>536</v>
      </c>
      <c r="D269" t="s">
        <v>5</v>
      </c>
      <c r="E269" t="s">
        <v>507</v>
      </c>
      <c r="F269">
        <v>28.629569452201899</v>
      </c>
      <c r="G269">
        <v>44.695324501190697</v>
      </c>
      <c r="H269">
        <v>38.269022481595201</v>
      </c>
      <c r="I269">
        <v>7</v>
      </c>
      <c r="J269">
        <v>28</v>
      </c>
    </row>
    <row r="270" spans="1:10" x14ac:dyDescent="0.3">
      <c r="A270" t="s">
        <v>216</v>
      </c>
      <c r="B270" t="s">
        <v>537</v>
      </c>
      <c r="C270" t="s">
        <v>537</v>
      </c>
      <c r="D270" t="s">
        <v>6</v>
      </c>
      <c r="E270" t="s">
        <v>507</v>
      </c>
      <c r="F270">
        <v>58.655641516392997</v>
      </c>
      <c r="G270">
        <v>75.699556230905102</v>
      </c>
      <c r="H270">
        <v>68.881990345100206</v>
      </c>
      <c r="I270">
        <v>14</v>
      </c>
      <c r="J270">
        <v>76</v>
      </c>
    </row>
    <row r="271" spans="1:10" x14ac:dyDescent="0.3">
      <c r="A271" t="s">
        <v>430</v>
      </c>
      <c r="B271" t="s">
        <v>538</v>
      </c>
      <c r="C271" t="s">
        <v>430</v>
      </c>
      <c r="D271" t="s">
        <v>6</v>
      </c>
      <c r="E271" t="s">
        <v>507</v>
      </c>
      <c r="F271">
        <v>54.615184051588997</v>
      </c>
      <c r="G271">
        <v>66.358947893938605</v>
      </c>
      <c r="H271">
        <v>61.661442356998798</v>
      </c>
      <c r="I271">
        <v>18</v>
      </c>
      <c r="J271">
        <v>63</v>
      </c>
    </row>
    <row r="272" spans="1:10" x14ac:dyDescent="0.3">
      <c r="A272" t="s">
        <v>539</v>
      </c>
      <c r="B272" t="s">
        <v>540</v>
      </c>
      <c r="C272" t="s">
        <v>541</v>
      </c>
      <c r="D272" t="s">
        <v>6</v>
      </c>
      <c r="E272" t="s">
        <v>507</v>
      </c>
      <c r="F272">
        <v>30.7501952260092</v>
      </c>
      <c r="G272">
        <v>48.346076764980701</v>
      </c>
      <c r="H272">
        <v>41.307724149392101</v>
      </c>
      <c r="I272">
        <v>12</v>
      </c>
      <c r="J272">
        <v>28</v>
      </c>
    </row>
    <row r="273" spans="1:10" x14ac:dyDescent="0.3">
      <c r="A273" t="s">
        <v>542</v>
      </c>
      <c r="B273" t="s">
        <v>543</v>
      </c>
      <c r="C273" t="s">
        <v>543</v>
      </c>
      <c r="D273" t="s">
        <v>6</v>
      </c>
      <c r="E273" t="s">
        <v>507</v>
      </c>
      <c r="F273">
        <v>3.35593220338983</v>
      </c>
      <c r="G273">
        <v>44.133845461648001</v>
      </c>
      <c r="H273">
        <v>27.822680158344699</v>
      </c>
      <c r="I273">
        <v>4</v>
      </c>
      <c r="J273">
        <v>9</v>
      </c>
    </row>
    <row r="274" spans="1:10" x14ac:dyDescent="0.3">
      <c r="A274" t="s">
        <v>213</v>
      </c>
      <c r="B274" t="s">
        <v>545</v>
      </c>
      <c r="C274" t="s">
        <v>545</v>
      </c>
      <c r="D274" t="s">
        <v>6</v>
      </c>
      <c r="E274" t="s">
        <v>507</v>
      </c>
      <c r="F274">
        <v>0</v>
      </c>
      <c r="G274">
        <v>145.3632505535</v>
      </c>
      <c r="H274">
        <v>87.217950332100401</v>
      </c>
      <c r="I274">
        <v>1</v>
      </c>
      <c r="J274">
        <v>1</v>
      </c>
    </row>
    <row r="275" spans="1:10" x14ac:dyDescent="0.3">
      <c r="A275" t="s">
        <v>546</v>
      </c>
      <c r="B275" t="s">
        <v>547</v>
      </c>
      <c r="C275" t="s">
        <v>547</v>
      </c>
      <c r="D275" t="s">
        <v>7</v>
      </c>
      <c r="E275" t="s">
        <v>548</v>
      </c>
      <c r="F275">
        <v>44.999823175262797</v>
      </c>
      <c r="G275">
        <v>75.599365336943407</v>
      </c>
      <c r="H275">
        <v>63.3595484722712</v>
      </c>
      <c r="I275">
        <v>12</v>
      </c>
      <c r="J275">
        <v>23</v>
      </c>
    </row>
    <row r="276" spans="1:10" x14ac:dyDescent="0.3">
      <c r="A276" t="s">
        <v>125</v>
      </c>
      <c r="B276" t="s">
        <v>549</v>
      </c>
      <c r="C276" t="s">
        <v>549</v>
      </c>
      <c r="D276" t="s">
        <v>4</v>
      </c>
      <c r="E276" t="s">
        <v>548</v>
      </c>
      <c r="F276">
        <v>65.802674844890703</v>
      </c>
      <c r="G276">
        <v>93.795263256586395</v>
      </c>
      <c r="H276">
        <v>82.598227891908095</v>
      </c>
      <c r="I276">
        <v>20</v>
      </c>
      <c r="J276">
        <v>80</v>
      </c>
    </row>
    <row r="277" spans="1:10" x14ac:dyDescent="0.3">
      <c r="A277" t="s">
        <v>550</v>
      </c>
      <c r="B277" t="s">
        <v>551</v>
      </c>
      <c r="C277" t="s">
        <v>551</v>
      </c>
      <c r="D277" t="s">
        <v>6</v>
      </c>
      <c r="E277" t="s">
        <v>548</v>
      </c>
      <c r="F277">
        <v>23.034357065901698</v>
      </c>
      <c r="G277">
        <v>39.568663144206397</v>
      </c>
      <c r="H277">
        <v>32.9549407128846</v>
      </c>
      <c r="I277">
        <v>12</v>
      </c>
      <c r="J277">
        <v>24</v>
      </c>
    </row>
    <row r="278" spans="1:10" x14ac:dyDescent="0.3">
      <c r="A278" t="s">
        <v>552</v>
      </c>
      <c r="B278" t="s">
        <v>553</v>
      </c>
      <c r="C278" t="s">
        <v>553</v>
      </c>
      <c r="D278" t="s">
        <v>6</v>
      </c>
      <c r="E278" t="s">
        <v>548</v>
      </c>
      <c r="F278">
        <v>36.413658357404202</v>
      </c>
      <c r="G278">
        <v>50.904403599261997</v>
      </c>
      <c r="H278">
        <v>45.108105502518903</v>
      </c>
      <c r="I278">
        <v>9</v>
      </c>
      <c r="J278">
        <v>35</v>
      </c>
    </row>
    <row r="279" spans="1:10" x14ac:dyDescent="0.3">
      <c r="A279" t="s">
        <v>376</v>
      </c>
      <c r="B279" t="s">
        <v>554</v>
      </c>
      <c r="C279" t="s">
        <v>554</v>
      </c>
      <c r="D279" t="s">
        <v>5</v>
      </c>
      <c r="E279" t="s">
        <v>548</v>
      </c>
      <c r="F279">
        <v>77.573033707865093</v>
      </c>
      <c r="G279">
        <v>67.240812888959894</v>
      </c>
      <c r="H279">
        <v>71.373701216521994</v>
      </c>
      <c r="I279">
        <v>16</v>
      </c>
      <c r="J279">
        <v>40</v>
      </c>
    </row>
    <row r="280" spans="1:10" x14ac:dyDescent="0.3">
      <c r="A280" t="s">
        <v>555</v>
      </c>
      <c r="B280" t="s">
        <v>556</v>
      </c>
      <c r="C280" t="s">
        <v>557</v>
      </c>
      <c r="D280" t="s">
        <v>6</v>
      </c>
      <c r="E280" t="s">
        <v>548</v>
      </c>
      <c r="F280">
        <v>33.741630110076201</v>
      </c>
      <c r="G280">
        <v>51.667684892925003</v>
      </c>
      <c r="H280">
        <v>44.497262979785503</v>
      </c>
      <c r="I280">
        <v>16</v>
      </c>
      <c r="J280">
        <v>51</v>
      </c>
    </row>
    <row r="281" spans="1:10" x14ac:dyDescent="0.3">
      <c r="A281" t="s">
        <v>410</v>
      </c>
      <c r="B281" t="s">
        <v>558</v>
      </c>
      <c r="C281" t="s">
        <v>558</v>
      </c>
      <c r="D281" t="s">
        <v>5</v>
      </c>
      <c r="E281" t="s">
        <v>548</v>
      </c>
      <c r="F281">
        <v>45.658285314051597</v>
      </c>
      <c r="G281">
        <v>57.169946674249701</v>
      </c>
      <c r="H281">
        <v>52.565282130170402</v>
      </c>
      <c r="I281">
        <v>14</v>
      </c>
      <c r="J281">
        <v>29</v>
      </c>
    </row>
    <row r="282" spans="1:10" x14ac:dyDescent="0.3">
      <c r="A282" t="s">
        <v>559</v>
      </c>
      <c r="B282" t="s">
        <v>560</v>
      </c>
      <c r="C282" t="s">
        <v>560</v>
      </c>
      <c r="D282" t="s">
        <v>6</v>
      </c>
      <c r="E282" t="s">
        <v>548</v>
      </c>
      <c r="F282">
        <v>2.3536508284928201</v>
      </c>
      <c r="G282">
        <v>48.0629938155367</v>
      </c>
      <c r="H282">
        <v>29.779256620719199</v>
      </c>
      <c r="I282">
        <v>9</v>
      </c>
      <c r="J282">
        <v>20</v>
      </c>
    </row>
    <row r="283" spans="1:10" x14ac:dyDescent="0.3">
      <c r="A283" t="s">
        <v>561</v>
      </c>
      <c r="B283" t="s">
        <v>562</v>
      </c>
      <c r="C283" t="s">
        <v>563</v>
      </c>
      <c r="D283" t="s">
        <v>6</v>
      </c>
      <c r="E283" t="s">
        <v>548</v>
      </c>
      <c r="F283">
        <v>19.378200712278598</v>
      </c>
      <c r="G283">
        <v>135.88103119764401</v>
      </c>
      <c r="H283">
        <v>89.279899003498102</v>
      </c>
      <c r="I283">
        <v>19</v>
      </c>
      <c r="J283">
        <v>86</v>
      </c>
    </row>
    <row r="284" spans="1:10" x14ac:dyDescent="0.3">
      <c r="A284" t="s">
        <v>370</v>
      </c>
      <c r="B284" t="s">
        <v>564</v>
      </c>
      <c r="C284" t="s">
        <v>564</v>
      </c>
      <c r="D284" t="s">
        <v>7</v>
      </c>
      <c r="E284" t="s">
        <v>548</v>
      </c>
      <c r="F284">
        <v>2.8567422955019701</v>
      </c>
      <c r="G284">
        <v>60.187296236373001</v>
      </c>
      <c r="H284">
        <v>37.255074660024597</v>
      </c>
      <c r="I284">
        <v>7</v>
      </c>
      <c r="J284">
        <v>13</v>
      </c>
    </row>
    <row r="285" spans="1:10" x14ac:dyDescent="0.3">
      <c r="A285" t="s">
        <v>565</v>
      </c>
      <c r="B285" t="s">
        <v>566</v>
      </c>
      <c r="C285" t="s">
        <v>566</v>
      </c>
      <c r="D285" t="s">
        <v>5</v>
      </c>
      <c r="E285" t="s">
        <v>548</v>
      </c>
      <c r="F285">
        <v>38.6666662196318</v>
      </c>
      <c r="G285">
        <v>60.1143408075826</v>
      </c>
      <c r="H285">
        <v>51.535270972402301</v>
      </c>
      <c r="I285">
        <v>7</v>
      </c>
      <c r="J285">
        <v>22</v>
      </c>
    </row>
    <row r="286" spans="1:10" x14ac:dyDescent="0.3">
      <c r="A286" t="s">
        <v>139</v>
      </c>
      <c r="B286" t="s">
        <v>567</v>
      </c>
      <c r="C286" t="s">
        <v>567</v>
      </c>
      <c r="D286" t="s">
        <v>6</v>
      </c>
      <c r="E286" t="s">
        <v>548</v>
      </c>
      <c r="F286">
        <v>80.267449731699799</v>
      </c>
      <c r="G286">
        <v>94.742539057594598</v>
      </c>
      <c r="H286">
        <v>88.952503327236599</v>
      </c>
      <c r="I286">
        <v>11</v>
      </c>
      <c r="J286">
        <v>31</v>
      </c>
    </row>
    <row r="287" spans="1:10" x14ac:dyDescent="0.3">
      <c r="A287" t="s">
        <v>568</v>
      </c>
      <c r="B287" t="s">
        <v>569</v>
      </c>
      <c r="C287" t="s">
        <v>569</v>
      </c>
      <c r="D287" t="s">
        <v>6</v>
      </c>
      <c r="E287" t="s">
        <v>548</v>
      </c>
      <c r="F287">
        <v>15.061159204834301</v>
      </c>
      <c r="G287">
        <v>53.289057722916198</v>
      </c>
      <c r="H287">
        <v>37.9978983156834</v>
      </c>
      <c r="I287">
        <v>8</v>
      </c>
      <c r="J287">
        <v>14</v>
      </c>
    </row>
    <row r="288" spans="1:10" x14ac:dyDescent="0.3">
      <c r="A288" t="s">
        <v>570</v>
      </c>
      <c r="B288" t="s">
        <v>571</v>
      </c>
      <c r="C288" t="s">
        <v>571</v>
      </c>
      <c r="D288" t="s">
        <v>5</v>
      </c>
      <c r="E288" t="s">
        <v>548</v>
      </c>
      <c r="F288">
        <v>55.4831457330787</v>
      </c>
      <c r="G288">
        <v>81.571726263444305</v>
      </c>
      <c r="H288">
        <v>71.136294051298094</v>
      </c>
      <c r="I288">
        <v>14</v>
      </c>
      <c r="J288">
        <v>35</v>
      </c>
    </row>
    <row r="289" spans="1:10" x14ac:dyDescent="0.3">
      <c r="A289" t="s">
        <v>335</v>
      </c>
      <c r="B289" t="s">
        <v>572</v>
      </c>
      <c r="C289" t="s">
        <v>572</v>
      </c>
      <c r="D289" t="s">
        <v>6</v>
      </c>
      <c r="E289" t="s">
        <v>548</v>
      </c>
      <c r="F289">
        <v>92.044943820224702</v>
      </c>
      <c r="G289">
        <v>54.625724993131399</v>
      </c>
      <c r="H289">
        <v>69.593412523968695</v>
      </c>
      <c r="I289">
        <v>17</v>
      </c>
      <c r="J289">
        <v>40</v>
      </c>
    </row>
    <row r="290" spans="1:10" x14ac:dyDescent="0.3">
      <c r="A290" t="s">
        <v>573</v>
      </c>
      <c r="B290" t="s">
        <v>574</v>
      </c>
      <c r="C290" t="s">
        <v>574</v>
      </c>
      <c r="D290" t="s">
        <v>5</v>
      </c>
      <c r="E290" t="s">
        <v>548</v>
      </c>
      <c r="F290">
        <v>9.5001144473397794</v>
      </c>
      <c r="G290">
        <v>31.492179461130899</v>
      </c>
      <c r="H290">
        <v>22.695353455614399</v>
      </c>
      <c r="I290">
        <v>4</v>
      </c>
      <c r="J290">
        <v>2</v>
      </c>
    </row>
    <row r="291" spans="1:10" x14ac:dyDescent="0.3">
      <c r="A291" t="s">
        <v>62</v>
      </c>
      <c r="B291" t="s">
        <v>575</v>
      </c>
      <c r="C291" t="s">
        <v>575</v>
      </c>
      <c r="D291" t="s">
        <v>5</v>
      </c>
      <c r="E291" t="s">
        <v>548</v>
      </c>
      <c r="F291">
        <v>63.563176174461603</v>
      </c>
      <c r="G291">
        <v>88.467025760233497</v>
      </c>
      <c r="H291">
        <v>78.505485925924702</v>
      </c>
      <c r="I291">
        <v>15</v>
      </c>
      <c r="J291">
        <v>32</v>
      </c>
    </row>
    <row r="292" spans="1:10" x14ac:dyDescent="0.3">
      <c r="A292" t="s">
        <v>280</v>
      </c>
      <c r="B292" t="s">
        <v>454</v>
      </c>
      <c r="C292" t="s">
        <v>454</v>
      </c>
      <c r="D292" t="s">
        <v>6</v>
      </c>
      <c r="E292" t="s">
        <v>548</v>
      </c>
      <c r="F292">
        <v>53.1859178202198</v>
      </c>
      <c r="G292">
        <v>89.040668876072203</v>
      </c>
      <c r="H292">
        <v>74.698768453731304</v>
      </c>
      <c r="I292">
        <v>16</v>
      </c>
      <c r="J292">
        <v>57</v>
      </c>
    </row>
    <row r="293" spans="1:10" x14ac:dyDescent="0.3">
      <c r="A293" t="s">
        <v>576</v>
      </c>
      <c r="B293" t="s">
        <v>577</v>
      </c>
      <c r="C293" t="s">
        <v>577</v>
      </c>
      <c r="D293" t="s">
        <v>6</v>
      </c>
      <c r="E293" t="s">
        <v>548</v>
      </c>
      <c r="F293">
        <v>43.992252590820101</v>
      </c>
      <c r="G293">
        <v>152.152991796534</v>
      </c>
      <c r="H293">
        <v>108.888696114249</v>
      </c>
      <c r="I293">
        <v>17</v>
      </c>
      <c r="J293">
        <v>42</v>
      </c>
    </row>
    <row r="294" spans="1:10" x14ac:dyDescent="0.3">
      <c r="A294" t="s">
        <v>578</v>
      </c>
      <c r="B294" t="s">
        <v>579</v>
      </c>
      <c r="C294" t="s">
        <v>580</v>
      </c>
      <c r="D294" t="s">
        <v>5</v>
      </c>
      <c r="E294" t="s">
        <v>548</v>
      </c>
      <c r="F294">
        <v>-0.22801608224655001</v>
      </c>
      <c r="G294">
        <v>28.322945715852601</v>
      </c>
      <c r="H294">
        <v>16.902560996612898</v>
      </c>
      <c r="I294">
        <v>10</v>
      </c>
      <c r="J294">
        <v>20</v>
      </c>
    </row>
    <row r="295" spans="1:10" x14ac:dyDescent="0.3">
      <c r="A295" t="s">
        <v>370</v>
      </c>
      <c r="B295" t="s">
        <v>581</v>
      </c>
      <c r="C295" t="s">
        <v>581</v>
      </c>
      <c r="D295" t="s">
        <v>6</v>
      </c>
      <c r="E295" t="s">
        <v>548</v>
      </c>
      <c r="F295">
        <v>1.6974155659346</v>
      </c>
      <c r="G295">
        <v>123.295121307664</v>
      </c>
      <c r="H295">
        <v>74.656039010972407</v>
      </c>
      <c r="I295">
        <v>3</v>
      </c>
      <c r="J295">
        <v>4</v>
      </c>
    </row>
    <row r="296" spans="1:10" x14ac:dyDescent="0.3">
      <c r="A296" t="s">
        <v>582</v>
      </c>
      <c r="B296" t="s">
        <v>583</v>
      </c>
      <c r="C296" t="s">
        <v>583</v>
      </c>
      <c r="D296" t="s">
        <v>5</v>
      </c>
      <c r="E296" t="s">
        <v>548</v>
      </c>
      <c r="F296">
        <v>88.930295041494901</v>
      </c>
      <c r="G296">
        <v>115.417371844645</v>
      </c>
      <c r="H296">
        <v>104.82254112338499</v>
      </c>
      <c r="I296">
        <v>10</v>
      </c>
      <c r="J296">
        <v>34</v>
      </c>
    </row>
    <row r="297" spans="1:10" x14ac:dyDescent="0.3">
      <c r="A297" t="s">
        <v>584</v>
      </c>
      <c r="B297" t="s">
        <v>585</v>
      </c>
      <c r="C297" t="s">
        <v>586</v>
      </c>
      <c r="D297" t="s">
        <v>7</v>
      </c>
      <c r="E297" t="s">
        <v>548</v>
      </c>
      <c r="F297">
        <v>103.697019310915</v>
      </c>
      <c r="G297">
        <v>192.99419006199901</v>
      </c>
      <c r="H297">
        <v>157.275321761566</v>
      </c>
      <c r="I297">
        <v>19</v>
      </c>
      <c r="J297">
        <v>82</v>
      </c>
    </row>
    <row r="298" spans="1:10" x14ac:dyDescent="0.3">
      <c r="A298" t="s">
        <v>216</v>
      </c>
      <c r="B298" t="s">
        <v>499</v>
      </c>
      <c r="C298" t="s">
        <v>499</v>
      </c>
      <c r="D298" t="s">
        <v>5</v>
      </c>
      <c r="E298" t="s">
        <v>548</v>
      </c>
      <c r="F298">
        <v>4.3650755072594999E-2</v>
      </c>
      <c r="G298">
        <v>30.188728210768002</v>
      </c>
      <c r="H298">
        <v>18.130697228489801</v>
      </c>
      <c r="I298">
        <v>1</v>
      </c>
      <c r="J298">
        <v>2</v>
      </c>
    </row>
    <row r="299" spans="1:10" x14ac:dyDescent="0.3">
      <c r="A299" t="s">
        <v>488</v>
      </c>
      <c r="B299" t="s">
        <v>588</v>
      </c>
      <c r="C299" t="s">
        <v>588</v>
      </c>
      <c r="D299" t="s">
        <v>6</v>
      </c>
      <c r="E299" t="s">
        <v>589</v>
      </c>
      <c r="F299">
        <v>31.531560683816799</v>
      </c>
      <c r="G299">
        <v>45.214741327380501</v>
      </c>
      <c r="H299">
        <v>39.741469069955002</v>
      </c>
      <c r="I299">
        <v>16</v>
      </c>
      <c r="J299">
        <v>29</v>
      </c>
    </row>
    <row r="300" spans="1:10" x14ac:dyDescent="0.3">
      <c r="A300" t="s">
        <v>590</v>
      </c>
      <c r="B300" t="s">
        <v>591</v>
      </c>
      <c r="C300" t="s">
        <v>591</v>
      </c>
      <c r="D300" t="s">
        <v>7</v>
      </c>
      <c r="E300" t="s">
        <v>589</v>
      </c>
      <c r="F300">
        <v>69.852814211492301</v>
      </c>
      <c r="G300">
        <v>96.162838277355803</v>
      </c>
      <c r="H300">
        <v>85.6388286510104</v>
      </c>
      <c r="I300">
        <v>20</v>
      </c>
      <c r="J300">
        <v>48</v>
      </c>
    </row>
    <row r="301" spans="1:10" x14ac:dyDescent="0.3">
      <c r="A301" t="s">
        <v>592</v>
      </c>
      <c r="B301" t="s">
        <v>593</v>
      </c>
      <c r="C301" t="s">
        <v>593</v>
      </c>
      <c r="D301" t="s">
        <v>6</v>
      </c>
      <c r="E301" t="s">
        <v>589</v>
      </c>
      <c r="F301">
        <v>40.528196754179298</v>
      </c>
      <c r="G301">
        <v>69.563427188015297</v>
      </c>
      <c r="H301">
        <v>57.949335014480901</v>
      </c>
      <c r="I301">
        <v>12</v>
      </c>
      <c r="J301">
        <v>25</v>
      </c>
    </row>
    <row r="302" spans="1:10" x14ac:dyDescent="0.3">
      <c r="A302" t="s">
        <v>86</v>
      </c>
      <c r="B302" t="s">
        <v>594</v>
      </c>
      <c r="C302" t="s">
        <v>594</v>
      </c>
      <c r="D302" t="s">
        <v>5</v>
      </c>
      <c r="E302" t="s">
        <v>589</v>
      </c>
      <c r="F302">
        <v>26.948703615280301</v>
      </c>
      <c r="G302">
        <v>40.864569059201202</v>
      </c>
      <c r="H302">
        <v>35.298222881632803</v>
      </c>
      <c r="I302">
        <v>16</v>
      </c>
      <c r="J302">
        <v>18</v>
      </c>
    </row>
    <row r="303" spans="1:10" x14ac:dyDescent="0.3">
      <c r="A303" t="s">
        <v>595</v>
      </c>
      <c r="B303" t="s">
        <v>596</v>
      </c>
      <c r="C303" t="s">
        <v>596</v>
      </c>
      <c r="D303" t="s">
        <v>5</v>
      </c>
      <c r="E303" t="s">
        <v>589</v>
      </c>
      <c r="F303">
        <v>23.269516930798599</v>
      </c>
      <c r="G303">
        <v>36.201199985815997</v>
      </c>
      <c r="H303">
        <v>31.028526763809001</v>
      </c>
      <c r="I303">
        <v>12</v>
      </c>
      <c r="J303">
        <v>13</v>
      </c>
    </row>
    <row r="304" spans="1:10" x14ac:dyDescent="0.3">
      <c r="A304" t="s">
        <v>59</v>
      </c>
      <c r="B304" t="s">
        <v>597</v>
      </c>
      <c r="C304" t="s">
        <v>597</v>
      </c>
      <c r="D304" t="s">
        <v>4</v>
      </c>
      <c r="E304" t="s">
        <v>589</v>
      </c>
      <c r="F304">
        <v>1.33102214319449</v>
      </c>
      <c r="G304">
        <v>38.575835033605202</v>
      </c>
      <c r="H304">
        <v>23.6779098774409</v>
      </c>
      <c r="I304">
        <v>8</v>
      </c>
      <c r="J304">
        <v>20</v>
      </c>
    </row>
    <row r="305" spans="1:10" x14ac:dyDescent="0.3">
      <c r="A305" t="s">
        <v>60</v>
      </c>
      <c r="B305" t="s">
        <v>598</v>
      </c>
      <c r="C305" t="s">
        <v>598</v>
      </c>
      <c r="D305" t="s">
        <v>4</v>
      </c>
      <c r="E305" t="s">
        <v>589</v>
      </c>
      <c r="F305">
        <v>32.949905231239399</v>
      </c>
      <c r="G305">
        <v>69.371994424683805</v>
      </c>
      <c r="H305">
        <v>54.803158747306</v>
      </c>
      <c r="I305">
        <v>8</v>
      </c>
      <c r="J305">
        <v>20</v>
      </c>
    </row>
    <row r="306" spans="1:10" x14ac:dyDescent="0.3">
      <c r="A306" t="s">
        <v>282</v>
      </c>
      <c r="B306" t="s">
        <v>599</v>
      </c>
      <c r="C306" t="s">
        <v>599</v>
      </c>
      <c r="D306" t="s">
        <v>7</v>
      </c>
      <c r="E306" t="s">
        <v>589</v>
      </c>
      <c r="F306">
        <v>63.926579327019297</v>
      </c>
      <c r="G306">
        <v>87.439335858341593</v>
      </c>
      <c r="H306">
        <v>78.0342332458127</v>
      </c>
      <c r="I306">
        <v>15</v>
      </c>
      <c r="J306">
        <v>59</v>
      </c>
    </row>
    <row r="307" spans="1:10" x14ac:dyDescent="0.3">
      <c r="A307" t="s">
        <v>600</v>
      </c>
      <c r="B307" t="s">
        <v>601</v>
      </c>
      <c r="C307" t="s">
        <v>601</v>
      </c>
      <c r="D307" t="s">
        <v>6</v>
      </c>
      <c r="E307" t="s">
        <v>589</v>
      </c>
      <c r="F307">
        <v>26.6973468343623</v>
      </c>
      <c r="G307">
        <v>39.3507819611401</v>
      </c>
      <c r="H307">
        <v>34.289407910428999</v>
      </c>
      <c r="I307">
        <v>3</v>
      </c>
      <c r="J307">
        <v>8</v>
      </c>
    </row>
    <row r="308" spans="1:10" x14ac:dyDescent="0.3">
      <c r="A308" t="s">
        <v>191</v>
      </c>
      <c r="B308" t="s">
        <v>602</v>
      </c>
      <c r="C308" t="s">
        <v>602</v>
      </c>
      <c r="D308" t="s">
        <v>6</v>
      </c>
      <c r="E308" t="s">
        <v>589</v>
      </c>
      <c r="F308">
        <v>29.800388213825698</v>
      </c>
      <c r="G308">
        <v>40.875466684820601</v>
      </c>
      <c r="H308">
        <v>36.445435296422701</v>
      </c>
      <c r="I308">
        <v>15</v>
      </c>
      <c r="J308">
        <v>27</v>
      </c>
    </row>
    <row r="309" spans="1:10" x14ac:dyDescent="0.3">
      <c r="A309" t="s">
        <v>603</v>
      </c>
      <c r="B309" t="s">
        <v>604</v>
      </c>
      <c r="C309" t="s">
        <v>604</v>
      </c>
      <c r="D309" t="s">
        <v>5</v>
      </c>
      <c r="E309" t="s">
        <v>589</v>
      </c>
      <c r="F309">
        <v>32.169392878508702</v>
      </c>
      <c r="G309">
        <v>40.624888802886701</v>
      </c>
      <c r="H309">
        <v>37.2426904331355</v>
      </c>
      <c r="I309">
        <v>16</v>
      </c>
      <c r="J309">
        <v>23</v>
      </c>
    </row>
    <row r="310" spans="1:10" x14ac:dyDescent="0.3">
      <c r="A310" t="s">
        <v>239</v>
      </c>
      <c r="B310" t="s">
        <v>605</v>
      </c>
      <c r="C310" t="s">
        <v>605</v>
      </c>
      <c r="D310" t="s">
        <v>7</v>
      </c>
      <c r="E310" t="s">
        <v>589</v>
      </c>
      <c r="F310">
        <v>19.746887150991601</v>
      </c>
      <c r="G310">
        <v>37.287421500154998</v>
      </c>
      <c r="H310">
        <v>30.271207760489698</v>
      </c>
      <c r="I310">
        <v>4</v>
      </c>
      <c r="J310">
        <v>4</v>
      </c>
    </row>
    <row r="311" spans="1:10" x14ac:dyDescent="0.3">
      <c r="A311" t="s">
        <v>606</v>
      </c>
      <c r="B311" t="s">
        <v>607</v>
      </c>
      <c r="C311" t="s">
        <v>607</v>
      </c>
      <c r="D311" t="s">
        <v>5</v>
      </c>
      <c r="E311" t="s">
        <v>589</v>
      </c>
      <c r="F311">
        <v>23.1355311355311</v>
      </c>
      <c r="G311">
        <v>64.481611123434902</v>
      </c>
      <c r="H311">
        <v>47.9431791282734</v>
      </c>
      <c r="I311">
        <v>12</v>
      </c>
      <c r="J311">
        <v>28</v>
      </c>
    </row>
    <row r="312" spans="1:10" x14ac:dyDescent="0.3">
      <c r="A312" t="s">
        <v>608</v>
      </c>
      <c r="B312" t="s">
        <v>609</v>
      </c>
      <c r="C312" t="s">
        <v>609</v>
      </c>
      <c r="D312" t="s">
        <v>5</v>
      </c>
      <c r="E312" t="s">
        <v>589</v>
      </c>
      <c r="F312">
        <v>18.9419163189743</v>
      </c>
      <c r="G312">
        <v>35.6762302203228</v>
      </c>
      <c r="H312">
        <v>28.982504659783402</v>
      </c>
      <c r="I312">
        <v>7</v>
      </c>
      <c r="J312">
        <v>11</v>
      </c>
    </row>
    <row r="313" spans="1:10" x14ac:dyDescent="0.3">
      <c r="A313" t="s">
        <v>101</v>
      </c>
      <c r="B313" t="s">
        <v>610</v>
      </c>
      <c r="C313" t="s">
        <v>610</v>
      </c>
      <c r="D313" t="s">
        <v>6</v>
      </c>
      <c r="E313" t="s">
        <v>589</v>
      </c>
      <c r="F313">
        <v>20.2291294785758</v>
      </c>
      <c r="G313">
        <v>66.867647366975206</v>
      </c>
      <c r="H313">
        <v>48.212240211615402</v>
      </c>
      <c r="I313">
        <v>17</v>
      </c>
      <c r="J313">
        <v>33</v>
      </c>
    </row>
    <row r="314" spans="1:10" x14ac:dyDescent="0.3">
      <c r="A314" t="s">
        <v>337</v>
      </c>
      <c r="B314" t="s">
        <v>611</v>
      </c>
      <c r="C314" t="s">
        <v>611</v>
      </c>
      <c r="D314" t="s">
        <v>5</v>
      </c>
      <c r="E314" t="s">
        <v>589</v>
      </c>
      <c r="F314">
        <v>24.6341082843878</v>
      </c>
      <c r="G314">
        <v>35.109903995942901</v>
      </c>
      <c r="H314">
        <v>30.919585711320899</v>
      </c>
      <c r="I314">
        <v>10</v>
      </c>
      <c r="J314">
        <v>20</v>
      </c>
    </row>
    <row r="315" spans="1:10" x14ac:dyDescent="0.3">
      <c r="A315" t="s">
        <v>612</v>
      </c>
      <c r="B315" t="s">
        <v>613</v>
      </c>
      <c r="C315" t="s">
        <v>613</v>
      </c>
      <c r="D315" t="s">
        <v>6</v>
      </c>
      <c r="E315" t="s">
        <v>589</v>
      </c>
      <c r="F315">
        <v>30.177012082066401</v>
      </c>
      <c r="G315">
        <v>42.789446602320901</v>
      </c>
      <c r="H315">
        <v>37.744472794219099</v>
      </c>
      <c r="I315">
        <v>14</v>
      </c>
      <c r="J315">
        <v>28</v>
      </c>
    </row>
    <row r="316" spans="1:10" x14ac:dyDescent="0.3">
      <c r="A316" t="s">
        <v>344</v>
      </c>
      <c r="B316" t="s">
        <v>614</v>
      </c>
      <c r="C316" t="s">
        <v>614</v>
      </c>
      <c r="D316" t="s">
        <v>7</v>
      </c>
      <c r="E316" t="s">
        <v>589</v>
      </c>
      <c r="F316">
        <v>82.626373912530497</v>
      </c>
      <c r="G316">
        <v>66.575430317640496</v>
      </c>
      <c r="H316">
        <v>72.995807755596502</v>
      </c>
      <c r="I316">
        <v>20</v>
      </c>
      <c r="J316">
        <v>83</v>
      </c>
    </row>
    <row r="317" spans="1:10" x14ac:dyDescent="0.3">
      <c r="A317" t="s">
        <v>615</v>
      </c>
      <c r="B317" t="s">
        <v>616</v>
      </c>
      <c r="C317" t="s">
        <v>616</v>
      </c>
      <c r="D317" t="s">
        <v>6</v>
      </c>
      <c r="E317" t="s">
        <v>589</v>
      </c>
      <c r="F317">
        <v>70.670329190327607</v>
      </c>
      <c r="G317">
        <v>79.379504319457695</v>
      </c>
      <c r="H317">
        <v>75.895834267805597</v>
      </c>
      <c r="I317">
        <v>17</v>
      </c>
      <c r="J317">
        <v>28</v>
      </c>
    </row>
    <row r="318" spans="1:10" x14ac:dyDescent="0.3">
      <c r="A318" t="s">
        <v>617</v>
      </c>
      <c r="B318" t="s">
        <v>618</v>
      </c>
      <c r="C318" t="s">
        <v>619</v>
      </c>
      <c r="D318" t="s">
        <v>6</v>
      </c>
      <c r="E318" t="s">
        <v>589</v>
      </c>
      <c r="F318">
        <v>25.5505953359106</v>
      </c>
      <c r="G318">
        <v>40.854504089953998</v>
      </c>
      <c r="H318">
        <v>34.732940588336596</v>
      </c>
      <c r="I318">
        <v>14</v>
      </c>
      <c r="J318">
        <v>31</v>
      </c>
    </row>
    <row r="319" spans="1:10" x14ac:dyDescent="0.3">
      <c r="A319" t="s">
        <v>620</v>
      </c>
      <c r="B319" t="s">
        <v>621</v>
      </c>
      <c r="C319" t="s">
        <v>622</v>
      </c>
      <c r="D319" t="s">
        <v>7</v>
      </c>
      <c r="E319" t="s">
        <v>589</v>
      </c>
      <c r="F319">
        <v>58.6593406593406</v>
      </c>
      <c r="G319">
        <v>74.882591110437005</v>
      </c>
      <c r="H319">
        <v>68.3932909299985</v>
      </c>
      <c r="I319">
        <v>19</v>
      </c>
      <c r="J319">
        <v>39</v>
      </c>
    </row>
    <row r="320" spans="1:10" x14ac:dyDescent="0.3">
      <c r="A320" t="s">
        <v>623</v>
      </c>
      <c r="B320" t="s">
        <v>180</v>
      </c>
      <c r="C320" t="s">
        <v>180</v>
      </c>
      <c r="D320" t="s">
        <v>5</v>
      </c>
      <c r="E320" t="s">
        <v>589</v>
      </c>
      <c r="F320">
        <v>34.978021300019101</v>
      </c>
      <c r="G320">
        <v>61.318468423889499</v>
      </c>
      <c r="H320">
        <v>50.782289574341398</v>
      </c>
      <c r="I320">
        <v>5</v>
      </c>
      <c r="J320">
        <v>10</v>
      </c>
    </row>
    <row r="321" spans="1:10" x14ac:dyDescent="0.3">
      <c r="A321" t="s">
        <v>624</v>
      </c>
      <c r="B321" t="s">
        <v>163</v>
      </c>
      <c r="C321" t="s">
        <v>163</v>
      </c>
      <c r="D321" t="s">
        <v>5</v>
      </c>
      <c r="E321" t="s">
        <v>589</v>
      </c>
      <c r="F321">
        <v>34.414906530583202</v>
      </c>
      <c r="G321">
        <v>44.423004280327902</v>
      </c>
      <c r="H321">
        <v>40.419765180429998</v>
      </c>
      <c r="I321">
        <v>7</v>
      </c>
      <c r="J321">
        <v>11</v>
      </c>
    </row>
    <row r="322" spans="1:10" x14ac:dyDescent="0.3">
      <c r="A322" t="s">
        <v>625</v>
      </c>
      <c r="B322" t="s">
        <v>626</v>
      </c>
      <c r="C322" t="s">
        <v>626</v>
      </c>
      <c r="D322" t="s">
        <v>4</v>
      </c>
      <c r="E322" t="s">
        <v>589</v>
      </c>
      <c r="F322">
        <v>-3.1676056382052698E-6</v>
      </c>
      <c r="G322">
        <v>98.893964549598607</v>
      </c>
      <c r="H322">
        <v>59.336377462716897</v>
      </c>
      <c r="I322">
        <v>4</v>
      </c>
      <c r="J322">
        <v>9</v>
      </c>
    </row>
    <row r="323" spans="1:10" x14ac:dyDescent="0.3">
      <c r="A323" t="s">
        <v>628</v>
      </c>
      <c r="B323" t="s">
        <v>629</v>
      </c>
      <c r="C323" t="s">
        <v>629</v>
      </c>
      <c r="D323" t="s">
        <v>6</v>
      </c>
      <c r="E323" t="s">
        <v>630</v>
      </c>
      <c r="F323">
        <v>26.520427909165399</v>
      </c>
      <c r="G323">
        <v>33.286775881659501</v>
      </c>
      <c r="H323">
        <v>30.580236692661899</v>
      </c>
      <c r="I323">
        <v>12</v>
      </c>
      <c r="J323">
        <v>27</v>
      </c>
    </row>
    <row r="324" spans="1:10" x14ac:dyDescent="0.3">
      <c r="A324" t="s">
        <v>631</v>
      </c>
      <c r="B324" t="s">
        <v>502</v>
      </c>
      <c r="C324" t="s">
        <v>502</v>
      </c>
      <c r="D324" t="s">
        <v>5</v>
      </c>
      <c r="E324" t="s">
        <v>630</v>
      </c>
      <c r="F324">
        <v>17.940400908698901</v>
      </c>
      <c r="G324">
        <v>37.804833682554403</v>
      </c>
      <c r="H324">
        <v>29.859060573012201</v>
      </c>
      <c r="I324">
        <v>15</v>
      </c>
      <c r="J324">
        <v>24</v>
      </c>
    </row>
    <row r="325" spans="1:10" x14ac:dyDescent="0.3">
      <c r="A325" t="s">
        <v>116</v>
      </c>
      <c r="B325" t="s">
        <v>632</v>
      </c>
      <c r="C325" t="s">
        <v>632</v>
      </c>
      <c r="D325" t="s">
        <v>4</v>
      </c>
      <c r="E325" t="s">
        <v>630</v>
      </c>
      <c r="F325">
        <v>111.210526315789</v>
      </c>
      <c r="G325">
        <v>80.325806189244403</v>
      </c>
      <c r="H325">
        <v>92.6796942398624</v>
      </c>
      <c r="I325">
        <v>19</v>
      </c>
      <c r="J325">
        <v>54</v>
      </c>
    </row>
    <row r="326" spans="1:10" x14ac:dyDescent="0.3">
      <c r="A326" t="s">
        <v>633</v>
      </c>
      <c r="B326" t="s">
        <v>634</v>
      </c>
      <c r="C326" t="s">
        <v>634</v>
      </c>
      <c r="D326" t="s">
        <v>7</v>
      </c>
      <c r="E326" t="s">
        <v>630</v>
      </c>
      <c r="F326">
        <v>72.673684841445706</v>
      </c>
      <c r="G326">
        <v>87.586467108955205</v>
      </c>
      <c r="H326">
        <v>81.621354201951405</v>
      </c>
      <c r="I326">
        <v>20</v>
      </c>
      <c r="J326">
        <v>65</v>
      </c>
    </row>
    <row r="327" spans="1:10" x14ac:dyDescent="0.3">
      <c r="A327" t="s">
        <v>635</v>
      </c>
      <c r="B327" t="s">
        <v>636</v>
      </c>
      <c r="C327" t="s">
        <v>636</v>
      </c>
      <c r="D327" t="s">
        <v>6</v>
      </c>
      <c r="E327" t="s">
        <v>630</v>
      </c>
      <c r="F327">
        <v>19.467249570062599</v>
      </c>
      <c r="G327">
        <v>84.325538543040906</v>
      </c>
      <c r="H327">
        <v>58.382222953849599</v>
      </c>
      <c r="I327">
        <v>10</v>
      </c>
      <c r="J327">
        <v>14</v>
      </c>
    </row>
    <row r="328" spans="1:10" x14ac:dyDescent="0.3">
      <c r="A328" t="s">
        <v>369</v>
      </c>
      <c r="B328" t="s">
        <v>637</v>
      </c>
      <c r="C328" t="s">
        <v>637</v>
      </c>
      <c r="D328" t="s">
        <v>6</v>
      </c>
      <c r="E328" t="s">
        <v>630</v>
      </c>
      <c r="F328">
        <v>82</v>
      </c>
      <c r="G328">
        <v>67.217268098304402</v>
      </c>
      <c r="H328">
        <v>73.130360858982598</v>
      </c>
      <c r="I328">
        <v>19</v>
      </c>
      <c r="J328">
        <v>39</v>
      </c>
    </row>
    <row r="329" spans="1:10" x14ac:dyDescent="0.3">
      <c r="A329" t="s">
        <v>638</v>
      </c>
      <c r="B329" t="s">
        <v>639</v>
      </c>
      <c r="C329" t="s">
        <v>639</v>
      </c>
      <c r="D329" t="s">
        <v>5</v>
      </c>
      <c r="E329" t="s">
        <v>630</v>
      </c>
      <c r="F329">
        <v>21.605018136271099</v>
      </c>
      <c r="G329">
        <v>60.381950953975299</v>
      </c>
      <c r="H329">
        <v>44.8711778268936</v>
      </c>
      <c r="I329">
        <v>17</v>
      </c>
      <c r="J329">
        <v>41</v>
      </c>
    </row>
    <row r="330" spans="1:10" x14ac:dyDescent="0.3">
      <c r="A330" t="s">
        <v>34</v>
      </c>
      <c r="B330" t="s">
        <v>640</v>
      </c>
      <c r="C330" t="s">
        <v>640</v>
      </c>
      <c r="D330" t="s">
        <v>6</v>
      </c>
      <c r="E330" t="s">
        <v>630</v>
      </c>
      <c r="F330">
        <v>13.7473681464027</v>
      </c>
      <c r="G330">
        <v>103.35113975154</v>
      </c>
      <c r="H330">
        <v>67.509631109485596</v>
      </c>
      <c r="I330">
        <v>9</v>
      </c>
      <c r="J330">
        <v>14</v>
      </c>
    </row>
    <row r="331" spans="1:10" x14ac:dyDescent="0.3">
      <c r="A331" t="s">
        <v>641</v>
      </c>
      <c r="B331" t="s">
        <v>642</v>
      </c>
      <c r="C331" t="s">
        <v>642</v>
      </c>
      <c r="D331" t="s">
        <v>6</v>
      </c>
      <c r="E331" t="s">
        <v>630</v>
      </c>
      <c r="F331">
        <v>40.239660441955799</v>
      </c>
      <c r="G331">
        <v>63.555712405199799</v>
      </c>
      <c r="H331">
        <v>54.229291619902199</v>
      </c>
      <c r="I331">
        <v>8</v>
      </c>
      <c r="J331">
        <v>10</v>
      </c>
    </row>
    <row r="332" spans="1:10" x14ac:dyDescent="0.3">
      <c r="A332" t="s">
        <v>643</v>
      </c>
      <c r="B332" t="s">
        <v>644</v>
      </c>
      <c r="C332" t="s">
        <v>644</v>
      </c>
      <c r="D332" t="s">
        <v>5</v>
      </c>
      <c r="E332" t="s">
        <v>630</v>
      </c>
      <c r="F332">
        <v>138.03215095938</v>
      </c>
      <c r="G332">
        <v>156.652806989455</v>
      </c>
      <c r="H332">
        <v>149.204544577425</v>
      </c>
      <c r="I332">
        <v>20</v>
      </c>
      <c r="J332">
        <v>35</v>
      </c>
    </row>
    <row r="333" spans="1:10" x14ac:dyDescent="0.3">
      <c r="A333" t="s">
        <v>101</v>
      </c>
      <c r="B333" t="s">
        <v>145</v>
      </c>
      <c r="C333" t="s">
        <v>145</v>
      </c>
      <c r="D333" t="s">
        <v>5</v>
      </c>
      <c r="E333" t="s">
        <v>630</v>
      </c>
      <c r="F333">
        <v>6.5908264629967102</v>
      </c>
      <c r="G333">
        <v>138.029343553064</v>
      </c>
      <c r="H333">
        <v>85.453936717037607</v>
      </c>
      <c r="I333">
        <v>5</v>
      </c>
      <c r="J333">
        <v>7</v>
      </c>
    </row>
    <row r="334" spans="1:10" x14ac:dyDescent="0.3">
      <c r="A334" t="s">
        <v>645</v>
      </c>
      <c r="B334" t="s">
        <v>646</v>
      </c>
      <c r="C334" t="s">
        <v>646</v>
      </c>
      <c r="D334" t="s">
        <v>6</v>
      </c>
      <c r="E334" t="s">
        <v>630</v>
      </c>
      <c r="F334">
        <v>37.164969328279398</v>
      </c>
      <c r="G334">
        <v>137.223182154933</v>
      </c>
      <c r="H334">
        <v>97.199897024271706</v>
      </c>
      <c r="I334">
        <v>6</v>
      </c>
      <c r="J334">
        <v>11</v>
      </c>
    </row>
    <row r="335" spans="1:10" x14ac:dyDescent="0.3">
      <c r="A335" t="s">
        <v>169</v>
      </c>
      <c r="B335" t="s">
        <v>647</v>
      </c>
      <c r="C335" t="s">
        <v>647</v>
      </c>
      <c r="D335" t="s">
        <v>7</v>
      </c>
      <c r="E335" t="s">
        <v>630</v>
      </c>
      <c r="F335">
        <v>11.2899745952482</v>
      </c>
      <c r="G335">
        <v>52.621185523409899</v>
      </c>
      <c r="H335">
        <v>36.088701152145198</v>
      </c>
      <c r="I335">
        <v>15</v>
      </c>
      <c r="J335">
        <v>26</v>
      </c>
    </row>
    <row r="336" spans="1:10" x14ac:dyDescent="0.3">
      <c r="A336" t="s">
        <v>480</v>
      </c>
      <c r="B336" t="s">
        <v>648</v>
      </c>
      <c r="C336" t="s">
        <v>648</v>
      </c>
      <c r="D336" t="s">
        <v>5</v>
      </c>
      <c r="E336" t="s">
        <v>630</v>
      </c>
      <c r="F336">
        <v>19.925882284889902</v>
      </c>
      <c r="G336">
        <v>136.78671287771201</v>
      </c>
      <c r="H336">
        <v>90.042380640583602</v>
      </c>
      <c r="I336">
        <v>5</v>
      </c>
      <c r="J336">
        <v>14</v>
      </c>
    </row>
    <row r="337" spans="1:10" x14ac:dyDescent="0.3">
      <c r="A337" t="s">
        <v>649</v>
      </c>
      <c r="B337" t="s">
        <v>650</v>
      </c>
      <c r="C337" t="s">
        <v>650</v>
      </c>
      <c r="D337" t="s">
        <v>4</v>
      </c>
      <c r="E337" t="s">
        <v>630</v>
      </c>
      <c r="F337">
        <v>10.4154670993211</v>
      </c>
      <c r="G337">
        <v>26.7186168514618</v>
      </c>
      <c r="H337">
        <v>20.197356950605599</v>
      </c>
      <c r="I337">
        <v>2</v>
      </c>
      <c r="J337">
        <v>2</v>
      </c>
    </row>
    <row r="338" spans="1:10" x14ac:dyDescent="0.3">
      <c r="A338" t="s">
        <v>651</v>
      </c>
      <c r="B338" t="s">
        <v>652</v>
      </c>
      <c r="C338" t="s">
        <v>652</v>
      </c>
      <c r="D338" t="s">
        <v>6</v>
      </c>
      <c r="E338" t="s">
        <v>630</v>
      </c>
      <c r="F338">
        <v>29.846133887697299</v>
      </c>
      <c r="G338">
        <v>145.30329057673299</v>
      </c>
      <c r="H338">
        <v>99.120427901118703</v>
      </c>
      <c r="I338">
        <v>15</v>
      </c>
      <c r="J338">
        <v>29</v>
      </c>
    </row>
    <row r="339" spans="1:10" x14ac:dyDescent="0.3">
      <c r="A339" t="s">
        <v>52</v>
      </c>
      <c r="B339" t="s">
        <v>653</v>
      </c>
      <c r="C339" t="s">
        <v>653</v>
      </c>
      <c r="D339" t="s">
        <v>5</v>
      </c>
      <c r="E339" t="s">
        <v>630</v>
      </c>
      <c r="F339">
        <v>-6.2908814126094397</v>
      </c>
      <c r="G339">
        <v>57.923131316516802</v>
      </c>
      <c r="H339">
        <v>32.237526224866301</v>
      </c>
      <c r="I339">
        <v>17</v>
      </c>
      <c r="J339">
        <v>27</v>
      </c>
    </row>
    <row r="340" spans="1:10" x14ac:dyDescent="0.3">
      <c r="A340" t="s">
        <v>654</v>
      </c>
      <c r="B340" t="s">
        <v>655</v>
      </c>
      <c r="C340" t="s">
        <v>655</v>
      </c>
      <c r="D340" t="s">
        <v>5</v>
      </c>
      <c r="E340" t="s">
        <v>630</v>
      </c>
      <c r="F340">
        <v>24.3158685175062</v>
      </c>
      <c r="G340">
        <v>145.74939630171599</v>
      </c>
      <c r="H340">
        <v>97.1759851880323</v>
      </c>
      <c r="I340">
        <v>11</v>
      </c>
      <c r="J340">
        <v>23</v>
      </c>
    </row>
    <row r="341" spans="1:10" x14ac:dyDescent="0.3">
      <c r="A341" t="s">
        <v>656</v>
      </c>
      <c r="B341" t="s">
        <v>657</v>
      </c>
      <c r="C341" t="s">
        <v>657</v>
      </c>
      <c r="D341" t="s">
        <v>6</v>
      </c>
      <c r="E341" t="s">
        <v>630</v>
      </c>
      <c r="F341">
        <v>30.752502188139498</v>
      </c>
      <c r="G341">
        <v>141.047059738173</v>
      </c>
      <c r="H341">
        <v>96.9292367181597</v>
      </c>
      <c r="I341">
        <v>16</v>
      </c>
      <c r="J341">
        <v>29</v>
      </c>
    </row>
    <row r="342" spans="1:10" x14ac:dyDescent="0.3">
      <c r="A342" t="s">
        <v>544</v>
      </c>
      <c r="B342" t="s">
        <v>658</v>
      </c>
      <c r="C342" t="s">
        <v>658</v>
      </c>
      <c r="D342" t="s">
        <v>7</v>
      </c>
      <c r="E342" t="s">
        <v>630</v>
      </c>
      <c r="F342">
        <v>37.316251638078398</v>
      </c>
      <c r="G342">
        <v>151.918439294981</v>
      </c>
      <c r="H342">
        <v>106.07756423222</v>
      </c>
      <c r="I342">
        <v>18</v>
      </c>
      <c r="J342">
        <v>31</v>
      </c>
    </row>
    <row r="343" spans="1:10" x14ac:dyDescent="0.3">
      <c r="A343" t="s">
        <v>659</v>
      </c>
      <c r="B343" t="s">
        <v>660</v>
      </c>
      <c r="C343" t="s">
        <v>660</v>
      </c>
      <c r="D343" t="s">
        <v>6</v>
      </c>
      <c r="E343" t="s">
        <v>630</v>
      </c>
      <c r="F343">
        <v>19.817874803527801</v>
      </c>
      <c r="G343">
        <v>141.59307672844699</v>
      </c>
      <c r="H343">
        <v>92.882995958479299</v>
      </c>
      <c r="I343">
        <v>11</v>
      </c>
      <c r="J343">
        <v>13</v>
      </c>
    </row>
    <row r="344" spans="1:10" x14ac:dyDescent="0.3">
      <c r="A344" t="s">
        <v>661</v>
      </c>
      <c r="B344" t="s">
        <v>662</v>
      </c>
      <c r="C344" t="s">
        <v>662</v>
      </c>
      <c r="D344" t="s">
        <v>5</v>
      </c>
      <c r="E344" t="s">
        <v>630</v>
      </c>
      <c r="F344">
        <v>24.404371119798299</v>
      </c>
      <c r="G344">
        <v>100.7862618779</v>
      </c>
      <c r="H344">
        <v>70.233505574659503</v>
      </c>
      <c r="I344">
        <v>12</v>
      </c>
      <c r="J344">
        <v>16</v>
      </c>
    </row>
    <row r="345" spans="1:10" x14ac:dyDescent="0.3">
      <c r="A345" t="s">
        <v>136</v>
      </c>
      <c r="B345" t="s">
        <v>663</v>
      </c>
      <c r="C345" t="s">
        <v>663</v>
      </c>
      <c r="D345" t="s">
        <v>6</v>
      </c>
      <c r="E345" t="s">
        <v>630</v>
      </c>
      <c r="F345">
        <v>33.699941812992797</v>
      </c>
      <c r="G345">
        <v>128.071871791375</v>
      </c>
      <c r="H345">
        <v>90.323099800022604</v>
      </c>
      <c r="I345">
        <v>12</v>
      </c>
      <c r="J345">
        <v>26</v>
      </c>
    </row>
    <row r="346" spans="1:10" x14ac:dyDescent="0.3">
      <c r="A346" t="s">
        <v>664</v>
      </c>
      <c r="B346" t="s">
        <v>665</v>
      </c>
      <c r="C346" t="s">
        <v>665</v>
      </c>
      <c r="D346" t="s">
        <v>6</v>
      </c>
      <c r="E346" t="s">
        <v>630</v>
      </c>
      <c r="F346">
        <v>14.2374493425101</v>
      </c>
      <c r="G346">
        <v>191.44846214771101</v>
      </c>
      <c r="H346">
        <v>120.56405702563001</v>
      </c>
      <c r="I346">
        <v>2</v>
      </c>
      <c r="J346">
        <v>2</v>
      </c>
    </row>
    <row r="347" spans="1:10" x14ac:dyDescent="0.3">
      <c r="A347" t="s">
        <v>666</v>
      </c>
      <c r="B347" t="s">
        <v>667</v>
      </c>
      <c r="C347" t="s">
        <v>667</v>
      </c>
      <c r="D347" t="s">
        <v>6</v>
      </c>
      <c r="E347" t="s">
        <v>668</v>
      </c>
      <c r="F347">
        <v>33.048147967671603</v>
      </c>
      <c r="G347">
        <v>47.154547879747199</v>
      </c>
      <c r="H347">
        <v>41.511987914916901</v>
      </c>
      <c r="I347">
        <v>8</v>
      </c>
      <c r="J347">
        <v>11</v>
      </c>
    </row>
    <row r="348" spans="1:10" x14ac:dyDescent="0.3">
      <c r="A348" t="s">
        <v>602</v>
      </c>
      <c r="B348" t="s">
        <v>669</v>
      </c>
      <c r="C348" t="s">
        <v>669</v>
      </c>
      <c r="D348" t="s">
        <v>4</v>
      </c>
      <c r="E348" t="s">
        <v>668</v>
      </c>
      <c r="F348">
        <v>7.1038746896146803</v>
      </c>
      <c r="G348">
        <v>31.560471249939201</v>
      </c>
      <c r="H348">
        <v>21.777832625809399</v>
      </c>
      <c r="I348">
        <v>4</v>
      </c>
      <c r="J348">
        <v>13</v>
      </c>
    </row>
    <row r="349" spans="1:10" x14ac:dyDescent="0.3">
      <c r="A349" t="s">
        <v>351</v>
      </c>
      <c r="B349" t="s">
        <v>670</v>
      </c>
      <c r="C349" t="s">
        <v>670</v>
      </c>
      <c r="D349" t="s">
        <v>4</v>
      </c>
      <c r="E349" t="s">
        <v>668</v>
      </c>
      <c r="F349">
        <v>43.2626699717054</v>
      </c>
      <c r="G349">
        <v>66.692062509664197</v>
      </c>
      <c r="H349">
        <v>57.3203054944806</v>
      </c>
      <c r="I349">
        <v>15</v>
      </c>
      <c r="J349">
        <v>53</v>
      </c>
    </row>
    <row r="350" spans="1:10" x14ac:dyDescent="0.3">
      <c r="A350" t="s">
        <v>671</v>
      </c>
      <c r="B350" t="s">
        <v>672</v>
      </c>
      <c r="C350" t="s">
        <v>673</v>
      </c>
      <c r="D350" t="s">
        <v>6</v>
      </c>
      <c r="E350" t="s">
        <v>668</v>
      </c>
      <c r="F350">
        <v>54.5</v>
      </c>
      <c r="G350">
        <v>73.613942550115993</v>
      </c>
      <c r="H350">
        <v>65.968365530069605</v>
      </c>
      <c r="I350">
        <v>19</v>
      </c>
      <c r="J350">
        <v>39</v>
      </c>
    </row>
    <row r="351" spans="1:10" x14ac:dyDescent="0.3">
      <c r="A351" t="s">
        <v>168</v>
      </c>
      <c r="B351" t="s">
        <v>674</v>
      </c>
      <c r="C351" t="s">
        <v>674</v>
      </c>
      <c r="D351" t="s">
        <v>6</v>
      </c>
      <c r="E351" t="s">
        <v>668</v>
      </c>
      <c r="F351">
        <v>68.533333197933302</v>
      </c>
      <c r="G351">
        <v>84.628121087020901</v>
      </c>
      <c r="H351">
        <v>78.190205931385904</v>
      </c>
      <c r="I351">
        <v>18</v>
      </c>
      <c r="J351">
        <v>55</v>
      </c>
    </row>
    <row r="352" spans="1:10" x14ac:dyDescent="0.3">
      <c r="A352" t="s">
        <v>219</v>
      </c>
      <c r="B352" t="s">
        <v>222</v>
      </c>
      <c r="C352" t="s">
        <v>222</v>
      </c>
      <c r="D352" t="s">
        <v>5</v>
      </c>
      <c r="E352" t="s">
        <v>668</v>
      </c>
      <c r="F352">
        <v>26.765938687321398</v>
      </c>
      <c r="G352">
        <v>41.839549042959597</v>
      </c>
      <c r="H352">
        <v>35.810104900704303</v>
      </c>
      <c r="I352">
        <v>6</v>
      </c>
      <c r="J352">
        <v>10</v>
      </c>
    </row>
    <row r="353" spans="1:10" x14ac:dyDescent="0.3">
      <c r="A353" t="s">
        <v>432</v>
      </c>
      <c r="B353" t="s">
        <v>675</v>
      </c>
      <c r="C353" t="s">
        <v>676</v>
      </c>
      <c r="D353" t="s">
        <v>6</v>
      </c>
      <c r="E353" t="s">
        <v>668</v>
      </c>
      <c r="F353">
        <v>16.726429703193102</v>
      </c>
      <c r="G353">
        <v>56.363290800061598</v>
      </c>
      <c r="H353">
        <v>40.508546361314202</v>
      </c>
      <c r="I353">
        <v>8</v>
      </c>
      <c r="J353">
        <v>9</v>
      </c>
    </row>
    <row r="354" spans="1:10" x14ac:dyDescent="0.3">
      <c r="A354" t="s">
        <v>213</v>
      </c>
      <c r="B354" t="s">
        <v>677</v>
      </c>
      <c r="C354" t="s">
        <v>677</v>
      </c>
      <c r="D354" t="s">
        <v>6</v>
      </c>
      <c r="E354" t="s">
        <v>668</v>
      </c>
      <c r="F354">
        <v>76.047298628197694</v>
      </c>
      <c r="G354">
        <v>105.059354202611</v>
      </c>
      <c r="H354">
        <v>93.454531972845899</v>
      </c>
      <c r="I354">
        <v>19</v>
      </c>
      <c r="J354">
        <v>83</v>
      </c>
    </row>
    <row r="355" spans="1:10" x14ac:dyDescent="0.3">
      <c r="A355" t="s">
        <v>508</v>
      </c>
      <c r="B355" t="s">
        <v>678</v>
      </c>
      <c r="C355" t="s">
        <v>678</v>
      </c>
      <c r="D355" t="s">
        <v>5</v>
      </c>
      <c r="E355" t="s">
        <v>668</v>
      </c>
      <c r="F355">
        <v>29.261765069415301</v>
      </c>
      <c r="G355">
        <v>49.449800863200799</v>
      </c>
      <c r="H355">
        <v>41.374586545686597</v>
      </c>
      <c r="I355">
        <v>15</v>
      </c>
      <c r="J355">
        <v>37</v>
      </c>
    </row>
    <row r="356" spans="1:10" x14ac:dyDescent="0.3">
      <c r="A356" t="s">
        <v>148</v>
      </c>
      <c r="B356" t="s">
        <v>679</v>
      </c>
      <c r="C356" t="s">
        <v>679</v>
      </c>
      <c r="D356" t="s">
        <v>5</v>
      </c>
      <c r="E356" t="s">
        <v>668</v>
      </c>
      <c r="F356">
        <v>107.133333333333</v>
      </c>
      <c r="G356">
        <v>65.304226319608205</v>
      </c>
      <c r="H356">
        <v>82.035869125098202</v>
      </c>
      <c r="I356">
        <v>16</v>
      </c>
      <c r="J356">
        <v>64</v>
      </c>
    </row>
    <row r="357" spans="1:10" x14ac:dyDescent="0.3">
      <c r="A357" t="s">
        <v>680</v>
      </c>
      <c r="B357" t="s">
        <v>681</v>
      </c>
      <c r="C357" t="s">
        <v>681</v>
      </c>
      <c r="D357" t="s">
        <v>7</v>
      </c>
      <c r="E357" t="s">
        <v>668</v>
      </c>
      <c r="F357">
        <v>56.924880893287401</v>
      </c>
      <c r="G357">
        <v>68.9134950948403</v>
      </c>
      <c r="H357">
        <v>64.1180494142192</v>
      </c>
      <c r="I357">
        <v>15</v>
      </c>
      <c r="J357">
        <v>54</v>
      </c>
    </row>
    <row r="358" spans="1:10" x14ac:dyDescent="0.3">
      <c r="A358" t="s">
        <v>168</v>
      </c>
      <c r="B358" t="s">
        <v>682</v>
      </c>
      <c r="C358" t="s">
        <v>682</v>
      </c>
      <c r="D358" t="s">
        <v>6</v>
      </c>
      <c r="E358" t="s">
        <v>668</v>
      </c>
      <c r="F358">
        <v>14.6115420980961</v>
      </c>
      <c r="G358">
        <v>49.299244928950699</v>
      </c>
      <c r="H358">
        <v>35.424163796608902</v>
      </c>
      <c r="I358">
        <v>10</v>
      </c>
      <c r="J358">
        <v>17</v>
      </c>
    </row>
    <row r="359" spans="1:10" x14ac:dyDescent="0.3">
      <c r="A359" t="s">
        <v>496</v>
      </c>
      <c r="B359" t="s">
        <v>587</v>
      </c>
      <c r="C359" t="s">
        <v>587</v>
      </c>
      <c r="D359" t="s">
        <v>6</v>
      </c>
      <c r="E359" t="s">
        <v>668</v>
      </c>
      <c r="F359">
        <v>30.565561009881101</v>
      </c>
      <c r="G359">
        <v>68.602702008978497</v>
      </c>
      <c r="H359">
        <v>53.3878456093396</v>
      </c>
      <c r="I359">
        <v>15</v>
      </c>
      <c r="J359">
        <v>34</v>
      </c>
    </row>
    <row r="360" spans="1:10" x14ac:dyDescent="0.3">
      <c r="A360" t="s">
        <v>683</v>
      </c>
      <c r="B360" t="s">
        <v>684</v>
      </c>
      <c r="C360" t="s">
        <v>684</v>
      </c>
      <c r="D360" t="s">
        <v>6</v>
      </c>
      <c r="E360" t="s">
        <v>668</v>
      </c>
      <c r="F360">
        <v>10.662887138677901</v>
      </c>
      <c r="G360">
        <v>36.366207631649097</v>
      </c>
      <c r="H360">
        <v>26.0848794344606</v>
      </c>
      <c r="I360">
        <v>8</v>
      </c>
      <c r="J360">
        <v>9</v>
      </c>
    </row>
    <row r="361" spans="1:10" x14ac:dyDescent="0.3">
      <c r="A361" t="s">
        <v>685</v>
      </c>
      <c r="B361" t="s">
        <v>686</v>
      </c>
      <c r="C361" t="s">
        <v>686</v>
      </c>
      <c r="D361" t="s">
        <v>5</v>
      </c>
      <c r="E361" t="s">
        <v>668</v>
      </c>
      <c r="F361">
        <v>17.952953400327399</v>
      </c>
      <c r="G361">
        <v>62.004085956686097</v>
      </c>
      <c r="H361">
        <v>44.383632934142597</v>
      </c>
      <c r="I361">
        <v>20</v>
      </c>
      <c r="J361">
        <v>36</v>
      </c>
    </row>
    <row r="362" spans="1:10" x14ac:dyDescent="0.3">
      <c r="A362" t="s">
        <v>687</v>
      </c>
      <c r="B362" t="s">
        <v>688</v>
      </c>
      <c r="C362" t="s">
        <v>688</v>
      </c>
      <c r="D362" t="s">
        <v>5</v>
      </c>
      <c r="E362" t="s">
        <v>668</v>
      </c>
      <c r="F362">
        <v>41.055643220364502</v>
      </c>
      <c r="G362">
        <v>150.973638961538</v>
      </c>
      <c r="H362">
        <v>107.006440665068</v>
      </c>
      <c r="I362">
        <v>10</v>
      </c>
      <c r="J362">
        <v>23</v>
      </c>
    </row>
    <row r="363" spans="1:10" x14ac:dyDescent="0.3">
      <c r="A363" t="s">
        <v>689</v>
      </c>
      <c r="B363" t="s">
        <v>690</v>
      </c>
      <c r="C363" t="s">
        <v>690</v>
      </c>
      <c r="D363" t="s">
        <v>5</v>
      </c>
      <c r="E363" t="s">
        <v>668</v>
      </c>
      <c r="F363">
        <v>0</v>
      </c>
      <c r="G363">
        <v>170.49190572365799</v>
      </c>
      <c r="H363">
        <v>102.295143434195</v>
      </c>
      <c r="I363">
        <v>18</v>
      </c>
      <c r="J363">
        <v>54</v>
      </c>
    </row>
    <row r="364" spans="1:10" x14ac:dyDescent="0.3">
      <c r="A364" t="s">
        <v>478</v>
      </c>
      <c r="B364" t="s">
        <v>691</v>
      </c>
      <c r="C364" t="s">
        <v>691</v>
      </c>
      <c r="D364" t="s">
        <v>6</v>
      </c>
      <c r="E364" t="s">
        <v>668</v>
      </c>
      <c r="F364">
        <v>13.377495573283401</v>
      </c>
      <c r="G364">
        <v>52.592461780629399</v>
      </c>
      <c r="H364">
        <v>36.906475297691003</v>
      </c>
      <c r="I364">
        <v>14</v>
      </c>
      <c r="J364">
        <v>38</v>
      </c>
    </row>
    <row r="365" spans="1:10" x14ac:dyDescent="0.3">
      <c r="A365" t="s">
        <v>692</v>
      </c>
      <c r="B365" t="s">
        <v>693</v>
      </c>
      <c r="C365" t="s">
        <v>693</v>
      </c>
      <c r="D365" t="s">
        <v>7</v>
      </c>
      <c r="E365" t="s">
        <v>668</v>
      </c>
      <c r="F365">
        <v>33.138219698508102</v>
      </c>
      <c r="G365">
        <v>115.845569974884</v>
      </c>
      <c r="H365">
        <v>82.762629864333903</v>
      </c>
      <c r="I365">
        <v>17</v>
      </c>
      <c r="J365">
        <v>62</v>
      </c>
    </row>
    <row r="366" spans="1:10" x14ac:dyDescent="0.3">
      <c r="A366" t="s">
        <v>176</v>
      </c>
      <c r="B366" t="s">
        <v>224</v>
      </c>
      <c r="C366" t="s">
        <v>224</v>
      </c>
      <c r="D366" t="s">
        <v>7</v>
      </c>
      <c r="E366" t="s">
        <v>668</v>
      </c>
      <c r="F366">
        <v>7.34701707754731</v>
      </c>
      <c r="G366">
        <v>35.020880714781299</v>
      </c>
      <c r="H366">
        <v>23.951335259887699</v>
      </c>
      <c r="I366">
        <v>3</v>
      </c>
      <c r="J366">
        <v>4</v>
      </c>
    </row>
    <row r="367" spans="1:10" x14ac:dyDescent="0.3">
      <c r="A367" t="s">
        <v>169</v>
      </c>
      <c r="B367" t="s">
        <v>675</v>
      </c>
      <c r="C367" t="s">
        <v>694</v>
      </c>
      <c r="D367" t="s">
        <v>7</v>
      </c>
      <c r="E367" t="s">
        <v>668</v>
      </c>
      <c r="F367">
        <v>54.934414695108501</v>
      </c>
      <c r="G367">
        <v>146.64061449293101</v>
      </c>
      <c r="H367">
        <v>109.958134573802</v>
      </c>
      <c r="I367">
        <v>18</v>
      </c>
      <c r="J367">
        <v>50</v>
      </c>
    </row>
    <row r="368" spans="1:10" x14ac:dyDescent="0.3">
      <c r="A368" t="s">
        <v>695</v>
      </c>
      <c r="B368" t="s">
        <v>696</v>
      </c>
      <c r="C368" t="s">
        <v>696</v>
      </c>
      <c r="D368" t="s">
        <v>5</v>
      </c>
      <c r="E368" t="s">
        <v>668</v>
      </c>
      <c r="F368">
        <v>4.9930042262714496</v>
      </c>
      <c r="G368">
        <v>53.725508780134099</v>
      </c>
      <c r="H368">
        <v>34.232506958588999</v>
      </c>
      <c r="I368">
        <v>1</v>
      </c>
      <c r="J368">
        <v>2</v>
      </c>
    </row>
    <row r="369" spans="1:10" x14ac:dyDescent="0.3">
      <c r="A369" t="s">
        <v>697</v>
      </c>
      <c r="B369" t="s">
        <v>698</v>
      </c>
      <c r="C369" t="s">
        <v>699</v>
      </c>
      <c r="D369" t="s">
        <v>5</v>
      </c>
      <c r="E369" t="s">
        <v>668</v>
      </c>
      <c r="F369">
        <v>10.951557111260399</v>
      </c>
      <c r="G369">
        <v>111.711876496461</v>
      </c>
      <c r="H369">
        <v>71.407748742380903</v>
      </c>
      <c r="I369">
        <v>10</v>
      </c>
      <c r="J369">
        <v>9</v>
      </c>
    </row>
    <row r="370" spans="1:10" x14ac:dyDescent="0.3">
      <c r="A370" t="s">
        <v>700</v>
      </c>
      <c r="B370" t="s">
        <v>701</v>
      </c>
      <c r="C370" t="s">
        <v>701</v>
      </c>
      <c r="D370" t="s">
        <v>4</v>
      </c>
      <c r="E370" t="s">
        <v>668</v>
      </c>
      <c r="F370">
        <v>4.1999997551026498</v>
      </c>
      <c r="G370">
        <v>34.543476830137998</v>
      </c>
      <c r="H370">
        <v>22.4060860001238</v>
      </c>
      <c r="I370">
        <v>2</v>
      </c>
      <c r="J370">
        <v>2</v>
      </c>
    </row>
    <row r="371" spans="1:10" x14ac:dyDescent="0.3">
      <c r="A371" t="s">
        <v>703</v>
      </c>
      <c r="B371" t="s">
        <v>704</v>
      </c>
      <c r="C371" t="s">
        <v>704</v>
      </c>
      <c r="D371" t="s">
        <v>4</v>
      </c>
      <c r="E371" t="s">
        <v>702</v>
      </c>
      <c r="F371">
        <v>62.370608598472799</v>
      </c>
      <c r="G371">
        <v>74.173723161221801</v>
      </c>
      <c r="H371">
        <v>69.4524773361222</v>
      </c>
      <c r="I371">
        <v>18</v>
      </c>
      <c r="J371">
        <v>81</v>
      </c>
    </row>
    <row r="372" spans="1:10" x14ac:dyDescent="0.3">
      <c r="A372" t="s">
        <v>376</v>
      </c>
      <c r="B372" t="s">
        <v>705</v>
      </c>
      <c r="C372" t="s">
        <v>705</v>
      </c>
      <c r="D372" t="s">
        <v>7</v>
      </c>
      <c r="E372" t="s">
        <v>702</v>
      </c>
      <c r="F372">
        <v>84.363985959505499</v>
      </c>
      <c r="G372">
        <v>99.927383909480994</v>
      </c>
      <c r="H372">
        <v>93.702024729490802</v>
      </c>
      <c r="I372">
        <v>17</v>
      </c>
      <c r="J372">
        <v>53</v>
      </c>
    </row>
    <row r="373" spans="1:10" x14ac:dyDescent="0.3">
      <c r="A373" t="s">
        <v>706</v>
      </c>
      <c r="B373" t="s">
        <v>707</v>
      </c>
      <c r="C373" t="s">
        <v>707</v>
      </c>
      <c r="D373" t="s">
        <v>6</v>
      </c>
      <c r="E373" t="s">
        <v>702</v>
      </c>
      <c r="F373">
        <v>202.723569822191</v>
      </c>
      <c r="G373">
        <v>117.45164583822999</v>
      </c>
      <c r="H373">
        <v>151.56041543181399</v>
      </c>
      <c r="I373">
        <v>17</v>
      </c>
      <c r="J373">
        <v>108</v>
      </c>
    </row>
    <row r="374" spans="1:10" x14ac:dyDescent="0.3">
      <c r="A374" t="s">
        <v>86</v>
      </c>
      <c r="B374" t="s">
        <v>708</v>
      </c>
      <c r="C374" t="s">
        <v>708</v>
      </c>
      <c r="D374" t="s">
        <v>5</v>
      </c>
      <c r="E374" t="s">
        <v>702</v>
      </c>
      <c r="F374">
        <v>39.9698630980049</v>
      </c>
      <c r="G374">
        <v>44.049488246185497</v>
      </c>
      <c r="H374">
        <v>42.417638186913301</v>
      </c>
      <c r="I374">
        <v>4</v>
      </c>
      <c r="J374">
        <v>4</v>
      </c>
    </row>
    <row r="375" spans="1:10" x14ac:dyDescent="0.3">
      <c r="A375" t="s">
        <v>573</v>
      </c>
      <c r="B375" t="s">
        <v>709</v>
      </c>
      <c r="C375" t="s">
        <v>709</v>
      </c>
      <c r="D375" t="s">
        <v>5</v>
      </c>
      <c r="E375" t="s">
        <v>702</v>
      </c>
      <c r="F375">
        <v>39.573010261384603</v>
      </c>
      <c r="G375">
        <v>74.462705040674194</v>
      </c>
      <c r="H375">
        <v>60.506827128958399</v>
      </c>
      <c r="I375">
        <v>18</v>
      </c>
      <c r="J375">
        <v>69</v>
      </c>
    </row>
    <row r="376" spans="1:10" x14ac:dyDescent="0.3">
      <c r="A376" t="s">
        <v>38</v>
      </c>
      <c r="B376" t="s">
        <v>710</v>
      </c>
      <c r="C376" t="s">
        <v>711</v>
      </c>
      <c r="D376" t="s">
        <v>6</v>
      </c>
      <c r="E376" t="s">
        <v>702</v>
      </c>
      <c r="F376">
        <v>45.535805102095097</v>
      </c>
      <c r="G376">
        <v>55.461292342711801</v>
      </c>
      <c r="H376">
        <v>51.491097446465098</v>
      </c>
      <c r="I376">
        <v>17</v>
      </c>
      <c r="J376">
        <v>58</v>
      </c>
    </row>
    <row r="377" spans="1:10" x14ac:dyDescent="0.3">
      <c r="A377" t="s">
        <v>712</v>
      </c>
      <c r="B377" t="s">
        <v>713</v>
      </c>
      <c r="C377" t="s">
        <v>714</v>
      </c>
      <c r="D377" t="s">
        <v>6</v>
      </c>
      <c r="E377" t="s">
        <v>702</v>
      </c>
      <c r="F377">
        <v>12.6557392449135</v>
      </c>
      <c r="G377">
        <v>39.701822560909697</v>
      </c>
      <c r="H377">
        <v>28.883389234511199</v>
      </c>
      <c r="I377">
        <v>10</v>
      </c>
      <c r="J377">
        <v>25</v>
      </c>
    </row>
    <row r="378" spans="1:10" x14ac:dyDescent="0.3">
      <c r="A378" t="s">
        <v>52</v>
      </c>
      <c r="B378" t="s">
        <v>356</v>
      </c>
      <c r="C378" t="s">
        <v>356</v>
      </c>
      <c r="D378" t="s">
        <v>5</v>
      </c>
      <c r="E378" t="s">
        <v>702</v>
      </c>
      <c r="F378">
        <v>23.9685588491527</v>
      </c>
      <c r="G378">
        <v>36.2995943823231</v>
      </c>
      <c r="H378">
        <v>31.367180169054901</v>
      </c>
      <c r="I378">
        <v>9</v>
      </c>
      <c r="J378">
        <v>37</v>
      </c>
    </row>
    <row r="379" spans="1:10" x14ac:dyDescent="0.3">
      <c r="A379" t="s">
        <v>715</v>
      </c>
      <c r="B379" t="s">
        <v>716</v>
      </c>
      <c r="C379" t="s">
        <v>716</v>
      </c>
      <c r="D379" t="s">
        <v>6</v>
      </c>
      <c r="E379" t="s">
        <v>702</v>
      </c>
      <c r="F379">
        <v>46.627310431982302</v>
      </c>
      <c r="G379">
        <v>80.012474402341496</v>
      </c>
      <c r="H379">
        <v>66.658408814197799</v>
      </c>
      <c r="I379">
        <v>17</v>
      </c>
      <c r="J379">
        <v>60</v>
      </c>
    </row>
    <row r="380" spans="1:10" x14ac:dyDescent="0.3">
      <c r="A380" t="s">
        <v>376</v>
      </c>
      <c r="B380" t="s">
        <v>717</v>
      </c>
      <c r="C380" t="s">
        <v>717</v>
      </c>
      <c r="D380" t="s">
        <v>6</v>
      </c>
      <c r="E380" t="s">
        <v>702</v>
      </c>
      <c r="F380">
        <v>16.4088807161191</v>
      </c>
      <c r="G380">
        <v>31.316680051669302</v>
      </c>
      <c r="H380">
        <v>25.353560317449201</v>
      </c>
      <c r="I380">
        <v>7</v>
      </c>
      <c r="J380">
        <v>12</v>
      </c>
    </row>
    <row r="381" spans="1:10" x14ac:dyDescent="0.3">
      <c r="A381" t="s">
        <v>718</v>
      </c>
      <c r="B381" t="s">
        <v>194</v>
      </c>
      <c r="C381" t="s">
        <v>194</v>
      </c>
      <c r="D381" t="s">
        <v>5</v>
      </c>
      <c r="E381" t="s">
        <v>702</v>
      </c>
      <c r="F381">
        <v>35.662449990726898</v>
      </c>
      <c r="G381">
        <v>46.901097374163101</v>
      </c>
      <c r="H381">
        <v>42.405638420788598</v>
      </c>
      <c r="I381">
        <v>12</v>
      </c>
      <c r="J381">
        <v>63</v>
      </c>
    </row>
    <row r="382" spans="1:10" x14ac:dyDescent="0.3">
      <c r="A382" t="s">
        <v>191</v>
      </c>
      <c r="B382" t="s">
        <v>719</v>
      </c>
      <c r="C382" t="s">
        <v>719</v>
      </c>
      <c r="D382" t="s">
        <v>5</v>
      </c>
      <c r="E382" t="s">
        <v>702</v>
      </c>
      <c r="F382">
        <v>3.3650336647903498</v>
      </c>
      <c r="G382">
        <v>23.370492025369501</v>
      </c>
      <c r="H382">
        <v>15.368308681137799</v>
      </c>
      <c r="I382">
        <v>3</v>
      </c>
      <c r="J382">
        <v>8</v>
      </c>
    </row>
    <row r="383" spans="1:10" x14ac:dyDescent="0.3">
      <c r="A383" t="s">
        <v>197</v>
      </c>
      <c r="B383" t="s">
        <v>720</v>
      </c>
      <c r="C383" t="s">
        <v>720</v>
      </c>
      <c r="D383" t="s">
        <v>6</v>
      </c>
      <c r="E383" t="s">
        <v>702</v>
      </c>
      <c r="F383">
        <v>32.5793062342197</v>
      </c>
      <c r="G383">
        <v>49.184513729898597</v>
      </c>
      <c r="H383">
        <v>42.5424307316271</v>
      </c>
      <c r="I383">
        <v>8</v>
      </c>
      <c r="J383">
        <v>20</v>
      </c>
    </row>
    <row r="384" spans="1:10" x14ac:dyDescent="0.3">
      <c r="A384" t="s">
        <v>721</v>
      </c>
      <c r="B384" t="s">
        <v>722</v>
      </c>
      <c r="C384" t="s">
        <v>722</v>
      </c>
      <c r="D384" t="s">
        <v>5</v>
      </c>
      <c r="E384" t="s">
        <v>702</v>
      </c>
      <c r="F384">
        <v>55.8030070830985</v>
      </c>
      <c r="G384">
        <v>81.086958032328099</v>
      </c>
      <c r="H384">
        <v>70.973377652636302</v>
      </c>
      <c r="I384">
        <v>17</v>
      </c>
      <c r="J384">
        <v>76</v>
      </c>
    </row>
    <row r="385" spans="1:10" x14ac:dyDescent="0.3">
      <c r="A385" t="s">
        <v>723</v>
      </c>
      <c r="B385" t="s">
        <v>724</v>
      </c>
      <c r="C385" t="s">
        <v>724</v>
      </c>
      <c r="D385" t="s">
        <v>5</v>
      </c>
      <c r="E385" t="s">
        <v>702</v>
      </c>
      <c r="F385">
        <v>31.999999999999901</v>
      </c>
      <c r="G385">
        <v>38.714518784492</v>
      </c>
      <c r="H385">
        <v>36.028711270695197</v>
      </c>
      <c r="I385">
        <v>9</v>
      </c>
      <c r="J385">
        <v>29</v>
      </c>
    </row>
    <row r="386" spans="1:10" x14ac:dyDescent="0.3">
      <c r="A386" t="s">
        <v>725</v>
      </c>
      <c r="B386" t="s">
        <v>726</v>
      </c>
      <c r="C386" t="s">
        <v>726</v>
      </c>
      <c r="D386" t="s">
        <v>6</v>
      </c>
      <c r="E386" t="s">
        <v>702</v>
      </c>
      <c r="F386">
        <v>17.540084272785101</v>
      </c>
      <c r="G386">
        <v>32.887947929850199</v>
      </c>
      <c r="H386">
        <v>26.748802467024198</v>
      </c>
      <c r="I386">
        <v>8</v>
      </c>
      <c r="J386">
        <v>10</v>
      </c>
    </row>
    <row r="387" spans="1:10" x14ac:dyDescent="0.3">
      <c r="A387" t="s">
        <v>727</v>
      </c>
      <c r="B387" t="s">
        <v>728</v>
      </c>
      <c r="C387" t="s">
        <v>728</v>
      </c>
      <c r="D387" t="s">
        <v>6</v>
      </c>
      <c r="E387" t="s">
        <v>702</v>
      </c>
      <c r="F387">
        <v>29.627248070373501</v>
      </c>
      <c r="G387">
        <v>29.663372654657799</v>
      </c>
      <c r="H387">
        <v>29.648922820944101</v>
      </c>
      <c r="I387">
        <v>16</v>
      </c>
      <c r="J387">
        <v>31</v>
      </c>
    </row>
    <row r="388" spans="1:10" x14ac:dyDescent="0.3">
      <c r="A388" t="s">
        <v>460</v>
      </c>
      <c r="B388" t="s">
        <v>729</v>
      </c>
      <c r="C388" t="s">
        <v>729</v>
      </c>
      <c r="D388" t="s">
        <v>5</v>
      </c>
      <c r="E388" t="s">
        <v>702</v>
      </c>
      <c r="F388">
        <v>22.9574463540701</v>
      </c>
      <c r="G388">
        <v>52.446803929101399</v>
      </c>
      <c r="H388">
        <v>40.651060899088797</v>
      </c>
      <c r="I388">
        <v>1</v>
      </c>
      <c r="J388">
        <v>1</v>
      </c>
    </row>
    <row r="389" spans="1:10" x14ac:dyDescent="0.3">
      <c r="A389" t="s">
        <v>730</v>
      </c>
      <c r="B389" t="s">
        <v>731</v>
      </c>
      <c r="C389" t="s">
        <v>731</v>
      </c>
      <c r="D389" t="s">
        <v>6</v>
      </c>
      <c r="E389" t="s">
        <v>702</v>
      </c>
      <c r="F389">
        <v>31.255722019614701</v>
      </c>
      <c r="G389">
        <v>42.188827583047299</v>
      </c>
      <c r="H389">
        <v>37.815585357674301</v>
      </c>
      <c r="I389">
        <v>9</v>
      </c>
      <c r="J389">
        <v>22</v>
      </c>
    </row>
    <row r="390" spans="1:10" x14ac:dyDescent="0.3">
      <c r="A390" t="s">
        <v>149</v>
      </c>
      <c r="B390" t="s">
        <v>732</v>
      </c>
      <c r="C390" t="s">
        <v>149</v>
      </c>
      <c r="D390" t="s">
        <v>6</v>
      </c>
      <c r="E390" t="s">
        <v>702</v>
      </c>
      <c r="F390">
        <v>8.0002436232229108</v>
      </c>
      <c r="G390">
        <v>90.738440492827095</v>
      </c>
      <c r="H390">
        <v>57.643161744985399</v>
      </c>
      <c r="I390">
        <v>8</v>
      </c>
      <c r="J390">
        <v>8</v>
      </c>
    </row>
    <row r="391" spans="1:10" x14ac:dyDescent="0.3">
      <c r="A391" t="s">
        <v>733</v>
      </c>
      <c r="B391" t="s">
        <v>734</v>
      </c>
      <c r="C391" t="s">
        <v>734</v>
      </c>
      <c r="D391" t="s">
        <v>5</v>
      </c>
      <c r="E391" t="s">
        <v>702</v>
      </c>
      <c r="F391">
        <v>13.0001839883149</v>
      </c>
      <c r="G391">
        <v>89.799985856366106</v>
      </c>
      <c r="H391">
        <v>59.0800651091456</v>
      </c>
      <c r="I391">
        <v>7</v>
      </c>
      <c r="J391">
        <v>13</v>
      </c>
    </row>
    <row r="392" spans="1:10" x14ac:dyDescent="0.3">
      <c r="A392" t="s">
        <v>735</v>
      </c>
      <c r="B392" t="s">
        <v>736</v>
      </c>
      <c r="C392" t="s">
        <v>737</v>
      </c>
      <c r="D392" t="s">
        <v>5</v>
      </c>
      <c r="E392" t="s">
        <v>702</v>
      </c>
      <c r="F392">
        <v>47.496163384533403</v>
      </c>
      <c r="G392">
        <v>131.72363242544299</v>
      </c>
      <c r="H392">
        <v>98.0326448090795</v>
      </c>
      <c r="I392">
        <v>14</v>
      </c>
      <c r="J392">
        <v>44</v>
      </c>
    </row>
    <row r="393" spans="1:10" x14ac:dyDescent="0.3">
      <c r="A393" t="s">
        <v>683</v>
      </c>
      <c r="B393" t="s">
        <v>738</v>
      </c>
      <c r="C393" t="s">
        <v>738</v>
      </c>
      <c r="D393" t="s">
        <v>6</v>
      </c>
      <c r="E393" t="s">
        <v>739</v>
      </c>
      <c r="F393">
        <v>32.802684596750403</v>
      </c>
      <c r="G393">
        <v>43.524126932794701</v>
      </c>
      <c r="H393">
        <v>39.235549998377003</v>
      </c>
      <c r="I393">
        <v>17</v>
      </c>
      <c r="J393">
        <v>35</v>
      </c>
    </row>
    <row r="394" spans="1:10" x14ac:dyDescent="0.3">
      <c r="A394" t="s">
        <v>52</v>
      </c>
      <c r="B394" t="s">
        <v>740</v>
      </c>
      <c r="C394" t="s">
        <v>740</v>
      </c>
      <c r="D394" t="s">
        <v>4</v>
      </c>
      <c r="E394" t="s">
        <v>739</v>
      </c>
      <c r="F394">
        <v>55.125433809721002</v>
      </c>
      <c r="G394">
        <v>70.854091490316094</v>
      </c>
      <c r="H394">
        <v>64.562628418078006</v>
      </c>
      <c r="I394">
        <v>9</v>
      </c>
      <c r="J394">
        <v>30</v>
      </c>
    </row>
    <row r="395" spans="1:10" x14ac:dyDescent="0.3">
      <c r="A395" t="s">
        <v>106</v>
      </c>
      <c r="B395" t="s">
        <v>741</v>
      </c>
      <c r="C395" t="s">
        <v>741</v>
      </c>
      <c r="D395" t="s">
        <v>5</v>
      </c>
      <c r="E395" t="s">
        <v>739</v>
      </c>
      <c r="F395">
        <v>11.266059635061699</v>
      </c>
      <c r="G395">
        <v>52.756515457908201</v>
      </c>
      <c r="H395">
        <v>36.160333128769601</v>
      </c>
      <c r="I395">
        <v>8</v>
      </c>
      <c r="J395">
        <v>7</v>
      </c>
    </row>
    <row r="396" spans="1:10" x14ac:dyDescent="0.3">
      <c r="A396" t="s">
        <v>178</v>
      </c>
      <c r="B396" t="s">
        <v>742</v>
      </c>
      <c r="C396" t="s">
        <v>742</v>
      </c>
      <c r="D396" t="s">
        <v>6</v>
      </c>
      <c r="E396" t="s">
        <v>739</v>
      </c>
      <c r="F396">
        <v>17.553100531082698</v>
      </c>
      <c r="G396">
        <v>51.354436305655703</v>
      </c>
      <c r="H396">
        <v>37.833901995826501</v>
      </c>
      <c r="I396">
        <v>1</v>
      </c>
      <c r="J396">
        <v>1</v>
      </c>
    </row>
    <row r="397" spans="1:10" x14ac:dyDescent="0.3">
      <c r="A397" t="s">
        <v>743</v>
      </c>
      <c r="B397" t="s">
        <v>744</v>
      </c>
      <c r="C397" t="s">
        <v>744</v>
      </c>
      <c r="D397" t="s">
        <v>5</v>
      </c>
      <c r="E397" t="s">
        <v>739</v>
      </c>
      <c r="F397">
        <v>30.756135621898899</v>
      </c>
      <c r="G397">
        <v>58.845189229394698</v>
      </c>
      <c r="H397">
        <v>47.609567786396397</v>
      </c>
      <c r="I397">
        <v>17</v>
      </c>
      <c r="J397">
        <v>21</v>
      </c>
    </row>
    <row r="398" spans="1:10" x14ac:dyDescent="0.3">
      <c r="A398" t="s">
        <v>355</v>
      </c>
      <c r="B398" t="s">
        <v>745</v>
      </c>
      <c r="C398" t="s">
        <v>745</v>
      </c>
      <c r="D398" t="s">
        <v>6</v>
      </c>
      <c r="E398" t="s">
        <v>739</v>
      </c>
      <c r="F398">
        <v>18.8132482509833</v>
      </c>
      <c r="G398">
        <v>50.6972755227631</v>
      </c>
      <c r="H398">
        <v>37.943664614051201</v>
      </c>
      <c r="I398">
        <v>14</v>
      </c>
      <c r="J398">
        <v>24</v>
      </c>
    </row>
    <row r="399" spans="1:10" x14ac:dyDescent="0.3">
      <c r="A399" t="s">
        <v>424</v>
      </c>
      <c r="B399" t="s">
        <v>746</v>
      </c>
      <c r="C399" t="s">
        <v>747</v>
      </c>
      <c r="D399" t="s">
        <v>5</v>
      </c>
      <c r="E399" t="s">
        <v>739</v>
      </c>
      <c r="F399">
        <v>41.75</v>
      </c>
      <c r="G399">
        <v>54.945235180763</v>
      </c>
      <c r="H399">
        <v>49.667141108457798</v>
      </c>
      <c r="I399">
        <v>12</v>
      </c>
      <c r="J399">
        <v>20</v>
      </c>
    </row>
    <row r="400" spans="1:10" x14ac:dyDescent="0.3">
      <c r="A400" t="s">
        <v>121</v>
      </c>
      <c r="B400" t="s">
        <v>748</v>
      </c>
      <c r="C400" t="s">
        <v>748</v>
      </c>
      <c r="D400" t="s">
        <v>5</v>
      </c>
      <c r="E400" t="s">
        <v>739</v>
      </c>
      <c r="F400">
        <v>24.9527377249116</v>
      </c>
      <c r="G400">
        <v>52.330164687185501</v>
      </c>
      <c r="H400">
        <v>41.379193902276</v>
      </c>
      <c r="I400">
        <v>3</v>
      </c>
      <c r="J400">
        <v>3</v>
      </c>
    </row>
    <row r="401" spans="1:10" x14ac:dyDescent="0.3">
      <c r="A401" t="s">
        <v>51</v>
      </c>
      <c r="B401" t="s">
        <v>749</v>
      </c>
      <c r="C401" t="s">
        <v>749</v>
      </c>
      <c r="D401" t="s">
        <v>5</v>
      </c>
      <c r="E401" t="s">
        <v>739</v>
      </c>
      <c r="F401">
        <v>30.724682449353899</v>
      </c>
      <c r="G401">
        <v>136.36956793280299</v>
      </c>
      <c r="H401">
        <v>94.111613739423703</v>
      </c>
      <c r="I401">
        <v>16</v>
      </c>
      <c r="J401">
        <v>17</v>
      </c>
    </row>
    <row r="402" spans="1:10" x14ac:dyDescent="0.3">
      <c r="A402" t="s">
        <v>393</v>
      </c>
      <c r="B402" t="s">
        <v>750</v>
      </c>
      <c r="C402" t="s">
        <v>750</v>
      </c>
      <c r="D402" t="s">
        <v>4</v>
      </c>
      <c r="E402" t="s">
        <v>739</v>
      </c>
      <c r="F402">
        <v>68.571783888608707</v>
      </c>
      <c r="G402">
        <v>138.27486936695601</v>
      </c>
      <c r="H402">
        <v>110.39363517561701</v>
      </c>
      <c r="I402">
        <v>10</v>
      </c>
      <c r="J402">
        <v>21</v>
      </c>
    </row>
    <row r="403" spans="1:10" x14ac:dyDescent="0.3">
      <c r="A403" t="s">
        <v>169</v>
      </c>
      <c r="B403" t="s">
        <v>751</v>
      </c>
      <c r="C403" t="s">
        <v>751</v>
      </c>
      <c r="D403" t="s">
        <v>5</v>
      </c>
      <c r="E403" t="s">
        <v>739</v>
      </c>
      <c r="F403">
        <v>22.127835115404199</v>
      </c>
      <c r="G403">
        <v>54.492697667727803</v>
      </c>
      <c r="H403">
        <v>41.546752646798303</v>
      </c>
      <c r="I403">
        <v>11</v>
      </c>
      <c r="J403">
        <v>12</v>
      </c>
    </row>
    <row r="404" spans="1:10" x14ac:dyDescent="0.3">
      <c r="A404" t="s">
        <v>752</v>
      </c>
      <c r="B404" t="s">
        <v>753</v>
      </c>
      <c r="C404" t="s">
        <v>753</v>
      </c>
      <c r="D404" t="s">
        <v>6</v>
      </c>
      <c r="E404" t="s">
        <v>739</v>
      </c>
      <c r="F404">
        <v>30.665795714173001</v>
      </c>
      <c r="G404">
        <v>41.659918914555497</v>
      </c>
      <c r="H404">
        <v>37.2622696344025</v>
      </c>
      <c r="I404">
        <v>9</v>
      </c>
      <c r="J404">
        <v>11</v>
      </c>
    </row>
    <row r="405" spans="1:10" x14ac:dyDescent="0.3">
      <c r="A405" t="s">
        <v>103</v>
      </c>
      <c r="B405" t="s">
        <v>754</v>
      </c>
      <c r="C405" t="s">
        <v>754</v>
      </c>
      <c r="D405" t="s">
        <v>7</v>
      </c>
      <c r="E405" t="s">
        <v>739</v>
      </c>
      <c r="F405">
        <v>3.1668877717184598</v>
      </c>
      <c r="G405">
        <v>85.500384769709299</v>
      </c>
      <c r="H405">
        <v>52.566985970512903</v>
      </c>
      <c r="I405">
        <v>3</v>
      </c>
      <c r="J405">
        <v>3</v>
      </c>
    </row>
    <row r="406" spans="1:10" x14ac:dyDescent="0.3">
      <c r="A406" t="s">
        <v>424</v>
      </c>
      <c r="B406" t="s">
        <v>755</v>
      </c>
      <c r="C406" t="s">
        <v>755</v>
      </c>
      <c r="D406" t="s">
        <v>5</v>
      </c>
      <c r="E406" t="s">
        <v>739</v>
      </c>
      <c r="F406">
        <v>3.39844126989522</v>
      </c>
      <c r="G406">
        <v>91.2358452770642</v>
      </c>
      <c r="H406">
        <v>56.100883674196602</v>
      </c>
      <c r="I406">
        <v>5</v>
      </c>
      <c r="J406">
        <v>5</v>
      </c>
    </row>
    <row r="407" spans="1:10" x14ac:dyDescent="0.3">
      <c r="A407" t="s">
        <v>756</v>
      </c>
      <c r="B407" t="s">
        <v>289</v>
      </c>
      <c r="C407" t="s">
        <v>289</v>
      </c>
      <c r="D407" t="s">
        <v>6</v>
      </c>
      <c r="E407" t="s">
        <v>739</v>
      </c>
      <c r="F407">
        <v>56.862812276939898</v>
      </c>
      <c r="G407">
        <v>148.19442167595099</v>
      </c>
      <c r="H407">
        <v>111.661777916346</v>
      </c>
      <c r="I407">
        <v>12</v>
      </c>
      <c r="J407">
        <v>53</v>
      </c>
    </row>
    <row r="408" spans="1:10" x14ac:dyDescent="0.3">
      <c r="A408" t="s">
        <v>210</v>
      </c>
      <c r="B408" t="s">
        <v>757</v>
      </c>
      <c r="C408" t="s">
        <v>757</v>
      </c>
      <c r="D408" t="s">
        <v>5</v>
      </c>
      <c r="E408" t="s">
        <v>739</v>
      </c>
      <c r="F408">
        <v>10.0177381994295</v>
      </c>
      <c r="G408">
        <v>68.986758918477804</v>
      </c>
      <c r="H408">
        <v>45.3991506308585</v>
      </c>
      <c r="I408">
        <v>11</v>
      </c>
      <c r="J408">
        <v>13</v>
      </c>
    </row>
    <row r="409" spans="1:10" x14ac:dyDescent="0.3">
      <c r="A409" t="s">
        <v>758</v>
      </c>
      <c r="B409" t="s">
        <v>759</v>
      </c>
      <c r="C409" t="s">
        <v>759</v>
      </c>
      <c r="D409" t="s">
        <v>6</v>
      </c>
      <c r="E409" t="s">
        <v>739</v>
      </c>
      <c r="F409">
        <v>3.5015281285596198</v>
      </c>
      <c r="G409">
        <v>129.981190683672</v>
      </c>
      <c r="H409">
        <v>79.389325661627396</v>
      </c>
      <c r="I409">
        <v>7</v>
      </c>
      <c r="J409">
        <v>9</v>
      </c>
    </row>
    <row r="410" spans="1:10" x14ac:dyDescent="0.3">
      <c r="A410" t="s">
        <v>760</v>
      </c>
      <c r="B410" t="s">
        <v>761</v>
      </c>
      <c r="C410" t="s">
        <v>760</v>
      </c>
      <c r="D410" t="s">
        <v>7</v>
      </c>
      <c r="E410" t="s">
        <v>739</v>
      </c>
      <c r="F410">
        <v>13.3671069224878</v>
      </c>
      <c r="G410">
        <v>76.749891172005803</v>
      </c>
      <c r="H410">
        <v>51.3967774721986</v>
      </c>
      <c r="I410">
        <v>14</v>
      </c>
      <c r="J410">
        <v>31</v>
      </c>
    </row>
    <row r="411" spans="1:10" x14ac:dyDescent="0.3">
      <c r="A411" t="s">
        <v>762</v>
      </c>
      <c r="B411" t="s">
        <v>389</v>
      </c>
      <c r="C411" t="s">
        <v>389</v>
      </c>
      <c r="D411" t="s">
        <v>7</v>
      </c>
      <c r="E411" t="s">
        <v>739</v>
      </c>
      <c r="F411">
        <v>97.390781388249906</v>
      </c>
      <c r="G411">
        <v>148.452980449818</v>
      </c>
      <c r="H411">
        <v>128.02810082519099</v>
      </c>
      <c r="I411">
        <v>18</v>
      </c>
      <c r="J411">
        <v>94</v>
      </c>
    </row>
    <row r="412" spans="1:10" x14ac:dyDescent="0.3">
      <c r="A412" t="s">
        <v>763</v>
      </c>
      <c r="B412" t="s">
        <v>764</v>
      </c>
      <c r="C412" t="s">
        <v>764</v>
      </c>
      <c r="D412" t="s">
        <v>6</v>
      </c>
      <c r="E412" t="s">
        <v>739</v>
      </c>
      <c r="F412">
        <v>164.588235294117</v>
      </c>
      <c r="G412">
        <v>124.25346401027601</v>
      </c>
      <c r="H412">
        <v>140.38737252381199</v>
      </c>
      <c r="I412">
        <v>6</v>
      </c>
      <c r="J412">
        <v>7</v>
      </c>
    </row>
    <row r="413" spans="1:10" x14ac:dyDescent="0.3">
      <c r="A413" t="s">
        <v>544</v>
      </c>
      <c r="B413" t="s">
        <v>765</v>
      </c>
      <c r="C413" t="s">
        <v>765</v>
      </c>
      <c r="D413" t="s">
        <v>7</v>
      </c>
      <c r="E413" t="s">
        <v>739</v>
      </c>
      <c r="F413">
        <v>92.142856949749998</v>
      </c>
      <c r="G413">
        <v>61.456758540095102</v>
      </c>
      <c r="H413">
        <v>73.731197903957096</v>
      </c>
      <c r="I413">
        <v>17</v>
      </c>
      <c r="J413">
        <v>65</v>
      </c>
    </row>
    <row r="414" spans="1:10" x14ac:dyDescent="0.3">
      <c r="A414" t="s">
        <v>766</v>
      </c>
      <c r="B414" t="s">
        <v>767</v>
      </c>
      <c r="C414" t="s">
        <v>768</v>
      </c>
      <c r="D414" t="s">
        <v>7</v>
      </c>
      <c r="E414" t="s">
        <v>739</v>
      </c>
      <c r="F414">
        <v>30.099670873565799</v>
      </c>
      <c r="G414">
        <v>140.49075002258601</v>
      </c>
      <c r="H414">
        <v>96.334318362978394</v>
      </c>
      <c r="I414">
        <v>15</v>
      </c>
      <c r="J414">
        <v>32</v>
      </c>
    </row>
    <row r="415" spans="1:10" x14ac:dyDescent="0.3">
      <c r="A415" t="s">
        <v>769</v>
      </c>
      <c r="B415" t="s">
        <v>770</v>
      </c>
      <c r="C415" t="s">
        <v>770</v>
      </c>
      <c r="D415" t="s">
        <v>6</v>
      </c>
      <c r="E415" t="s">
        <v>739</v>
      </c>
      <c r="F415">
        <v>28.825421397172299</v>
      </c>
      <c r="G415">
        <v>142.05708864716701</v>
      </c>
      <c r="H415">
        <v>96.764421747169393</v>
      </c>
      <c r="I415">
        <v>16</v>
      </c>
      <c r="J415">
        <v>31</v>
      </c>
    </row>
    <row r="416" spans="1:10" x14ac:dyDescent="0.3">
      <c r="A416" t="s">
        <v>661</v>
      </c>
      <c r="B416" t="s">
        <v>771</v>
      </c>
      <c r="C416" t="s">
        <v>771</v>
      </c>
      <c r="D416" t="s">
        <v>6</v>
      </c>
      <c r="E416" t="s">
        <v>739</v>
      </c>
      <c r="F416">
        <v>11.682288492941799</v>
      </c>
      <c r="G416">
        <v>98.366760217113594</v>
      </c>
      <c r="H416">
        <v>63.692971527444897</v>
      </c>
      <c r="I416">
        <v>7</v>
      </c>
      <c r="J416">
        <v>10</v>
      </c>
    </row>
    <row r="417" spans="1:10" x14ac:dyDescent="0.3">
      <c r="A417" t="s">
        <v>36</v>
      </c>
      <c r="B417" t="s">
        <v>772</v>
      </c>
      <c r="C417" t="s">
        <v>772</v>
      </c>
      <c r="D417" t="s">
        <v>5</v>
      </c>
      <c r="E417" t="s">
        <v>739</v>
      </c>
      <c r="F417">
        <v>7.1708617326687096E-2</v>
      </c>
      <c r="G417">
        <v>125.989698090432</v>
      </c>
      <c r="H417">
        <v>75.622502301189897</v>
      </c>
      <c r="I417">
        <v>3</v>
      </c>
      <c r="J417">
        <v>5</v>
      </c>
    </row>
    <row r="418" spans="1:10" x14ac:dyDescent="0.3">
      <c r="A418" t="s">
        <v>773</v>
      </c>
      <c r="B418" t="s">
        <v>774</v>
      </c>
      <c r="C418" t="s">
        <v>774</v>
      </c>
      <c r="D418" t="s">
        <v>5</v>
      </c>
      <c r="E418" t="s">
        <v>775</v>
      </c>
      <c r="F418">
        <v>45.309640660894601</v>
      </c>
      <c r="G418">
        <v>60.552362382952197</v>
      </c>
      <c r="H418">
        <v>54.455273694129197</v>
      </c>
      <c r="I418">
        <v>11</v>
      </c>
      <c r="J418">
        <v>32</v>
      </c>
    </row>
    <row r="419" spans="1:10" x14ac:dyDescent="0.3">
      <c r="A419" t="s">
        <v>627</v>
      </c>
      <c r="B419" t="s">
        <v>776</v>
      </c>
      <c r="C419" t="s">
        <v>776</v>
      </c>
      <c r="D419" t="s">
        <v>6</v>
      </c>
      <c r="E419" t="s">
        <v>775</v>
      </c>
      <c r="F419">
        <v>30.769872829711701</v>
      </c>
      <c r="G419">
        <v>66.744152870508003</v>
      </c>
      <c r="H419">
        <v>52.354440854189399</v>
      </c>
      <c r="I419">
        <v>4</v>
      </c>
      <c r="J419">
        <v>9</v>
      </c>
    </row>
    <row r="420" spans="1:10" x14ac:dyDescent="0.3">
      <c r="A420" t="s">
        <v>777</v>
      </c>
      <c r="B420" t="s">
        <v>778</v>
      </c>
      <c r="C420" t="s">
        <v>778</v>
      </c>
      <c r="D420" t="s">
        <v>4</v>
      </c>
      <c r="E420" t="s">
        <v>775</v>
      </c>
      <c r="F420">
        <v>65.152084778442003</v>
      </c>
      <c r="G420">
        <v>96.820983416851405</v>
      </c>
      <c r="H420">
        <v>84.153423961487704</v>
      </c>
      <c r="I420">
        <v>22</v>
      </c>
      <c r="J420">
        <v>79</v>
      </c>
    </row>
    <row r="421" spans="1:10" x14ac:dyDescent="0.3">
      <c r="A421" t="s">
        <v>779</v>
      </c>
      <c r="B421" t="s">
        <v>780</v>
      </c>
      <c r="C421" t="s">
        <v>780</v>
      </c>
      <c r="D421" t="s">
        <v>5</v>
      </c>
      <c r="E421" t="s">
        <v>775</v>
      </c>
      <c r="F421">
        <v>50.118709297441796</v>
      </c>
      <c r="G421">
        <v>58.549141848720097</v>
      </c>
      <c r="H421">
        <v>55.1769688282088</v>
      </c>
      <c r="I421">
        <v>11</v>
      </c>
      <c r="J421">
        <v>40</v>
      </c>
    </row>
    <row r="422" spans="1:10" x14ac:dyDescent="0.3">
      <c r="A422" t="s">
        <v>62</v>
      </c>
      <c r="B422" t="s">
        <v>458</v>
      </c>
      <c r="C422" t="s">
        <v>458</v>
      </c>
      <c r="D422" t="s">
        <v>5</v>
      </c>
      <c r="E422" t="s">
        <v>775</v>
      </c>
      <c r="F422">
        <v>67.425463186329694</v>
      </c>
      <c r="G422">
        <v>75.398932536744098</v>
      </c>
      <c r="H422">
        <v>72.209544796578299</v>
      </c>
      <c r="I422">
        <v>15</v>
      </c>
      <c r="J422">
        <v>64</v>
      </c>
    </row>
    <row r="423" spans="1:10" x14ac:dyDescent="0.3">
      <c r="A423" t="s">
        <v>781</v>
      </c>
      <c r="B423" t="s">
        <v>782</v>
      </c>
      <c r="C423" t="s">
        <v>782</v>
      </c>
      <c r="D423" t="s">
        <v>6</v>
      </c>
      <c r="E423" t="s">
        <v>775</v>
      </c>
      <c r="F423">
        <v>21.625542698175899</v>
      </c>
      <c r="G423">
        <v>39.6026798046639</v>
      </c>
      <c r="H423">
        <v>32.4118249620687</v>
      </c>
      <c r="I423">
        <v>11</v>
      </c>
      <c r="J423">
        <v>10</v>
      </c>
    </row>
    <row r="424" spans="1:10" x14ac:dyDescent="0.3">
      <c r="A424" t="s">
        <v>783</v>
      </c>
      <c r="B424" t="s">
        <v>263</v>
      </c>
      <c r="C424" t="s">
        <v>263</v>
      </c>
      <c r="D424" t="s">
        <v>7</v>
      </c>
      <c r="E424" t="s">
        <v>775</v>
      </c>
      <c r="F424">
        <v>71.703758636542602</v>
      </c>
      <c r="G424">
        <v>85.333471719668097</v>
      </c>
      <c r="H424">
        <v>79.881586486417902</v>
      </c>
      <c r="I424">
        <v>21</v>
      </c>
      <c r="J424">
        <v>98</v>
      </c>
    </row>
    <row r="425" spans="1:10" x14ac:dyDescent="0.3">
      <c r="A425" t="s">
        <v>743</v>
      </c>
      <c r="B425" t="s">
        <v>784</v>
      </c>
      <c r="C425" t="s">
        <v>784</v>
      </c>
      <c r="D425" t="s">
        <v>5</v>
      </c>
      <c r="E425" t="s">
        <v>775</v>
      </c>
      <c r="F425">
        <v>40.5285631824691</v>
      </c>
      <c r="G425">
        <v>54.809248714524401</v>
      </c>
      <c r="H425">
        <v>49.096974501702299</v>
      </c>
      <c r="I425">
        <v>19</v>
      </c>
      <c r="J425">
        <v>39</v>
      </c>
    </row>
    <row r="426" spans="1:10" x14ac:dyDescent="0.3">
      <c r="A426" t="s">
        <v>191</v>
      </c>
      <c r="B426" t="s">
        <v>785</v>
      </c>
      <c r="C426" t="s">
        <v>785</v>
      </c>
      <c r="D426" t="s">
        <v>5</v>
      </c>
      <c r="E426" t="s">
        <v>775</v>
      </c>
      <c r="F426">
        <v>23.748009675472002</v>
      </c>
      <c r="G426">
        <v>64.765199514490405</v>
      </c>
      <c r="H426">
        <v>48.358323578883102</v>
      </c>
      <c r="I426">
        <v>1</v>
      </c>
      <c r="J426">
        <v>1</v>
      </c>
    </row>
    <row r="427" spans="1:10" x14ac:dyDescent="0.3">
      <c r="A427" t="s">
        <v>786</v>
      </c>
      <c r="B427" t="s">
        <v>787</v>
      </c>
      <c r="C427" t="s">
        <v>787</v>
      </c>
      <c r="D427" t="s">
        <v>6</v>
      </c>
      <c r="E427" t="s">
        <v>775</v>
      </c>
      <c r="F427">
        <v>32.088587491558897</v>
      </c>
      <c r="G427">
        <v>68.457534987710005</v>
      </c>
      <c r="H427">
        <v>53.909955989249603</v>
      </c>
      <c r="I427">
        <v>16</v>
      </c>
      <c r="J427">
        <v>53</v>
      </c>
    </row>
    <row r="428" spans="1:10" x14ac:dyDescent="0.3">
      <c r="A428" t="s">
        <v>64</v>
      </c>
      <c r="B428" t="s">
        <v>788</v>
      </c>
      <c r="C428" t="s">
        <v>788</v>
      </c>
      <c r="D428" t="s">
        <v>5</v>
      </c>
      <c r="E428" t="s">
        <v>775</v>
      </c>
      <c r="F428">
        <v>23.723539155202999</v>
      </c>
      <c r="G428">
        <v>41.087890388159302</v>
      </c>
      <c r="H428">
        <v>34.142149894976797</v>
      </c>
      <c r="I428">
        <v>11</v>
      </c>
      <c r="J428">
        <v>27</v>
      </c>
    </row>
    <row r="429" spans="1:10" x14ac:dyDescent="0.3">
      <c r="A429" t="s">
        <v>789</v>
      </c>
      <c r="B429" t="s">
        <v>790</v>
      </c>
      <c r="C429" t="s">
        <v>790</v>
      </c>
      <c r="D429" t="s">
        <v>5</v>
      </c>
      <c r="E429" t="s">
        <v>775</v>
      </c>
      <c r="F429">
        <v>61.522757649958898</v>
      </c>
      <c r="G429">
        <v>91.036786547857105</v>
      </c>
      <c r="H429">
        <v>79.231174988697802</v>
      </c>
      <c r="I429">
        <v>19</v>
      </c>
      <c r="J429">
        <v>45</v>
      </c>
    </row>
    <row r="430" spans="1:10" x14ac:dyDescent="0.3">
      <c r="A430" t="s">
        <v>791</v>
      </c>
      <c r="B430" t="s">
        <v>792</v>
      </c>
      <c r="C430" t="s">
        <v>792</v>
      </c>
      <c r="D430" t="s">
        <v>6</v>
      </c>
      <c r="E430" t="s">
        <v>775</v>
      </c>
      <c r="F430">
        <v>62.918090659875297</v>
      </c>
      <c r="G430">
        <v>102.376630750987</v>
      </c>
      <c r="H430">
        <v>86.593214714542697</v>
      </c>
      <c r="I430">
        <v>20</v>
      </c>
      <c r="J430">
        <v>89</v>
      </c>
    </row>
    <row r="431" spans="1:10" x14ac:dyDescent="0.3">
      <c r="A431" t="s">
        <v>793</v>
      </c>
      <c r="B431" t="s">
        <v>794</v>
      </c>
      <c r="C431" t="s">
        <v>794</v>
      </c>
      <c r="D431" t="s">
        <v>6</v>
      </c>
      <c r="E431" t="s">
        <v>775</v>
      </c>
      <c r="F431">
        <v>96.376560674223199</v>
      </c>
      <c r="G431">
        <v>111.828338061295</v>
      </c>
      <c r="H431">
        <v>105.647627106466</v>
      </c>
      <c r="I431">
        <v>22</v>
      </c>
      <c r="J431">
        <v>122</v>
      </c>
    </row>
    <row r="432" spans="1:10" x14ac:dyDescent="0.3">
      <c r="A432" t="s">
        <v>795</v>
      </c>
      <c r="B432" t="s">
        <v>796</v>
      </c>
      <c r="C432" t="s">
        <v>796</v>
      </c>
      <c r="D432" t="s">
        <v>6</v>
      </c>
      <c r="E432" t="s">
        <v>775</v>
      </c>
      <c r="F432">
        <v>101.32967071377399</v>
      </c>
      <c r="G432">
        <v>91.149569141817096</v>
      </c>
      <c r="H432">
        <v>95.221609770600196</v>
      </c>
      <c r="I432">
        <v>21</v>
      </c>
      <c r="J432">
        <v>64</v>
      </c>
    </row>
    <row r="433" spans="1:10" x14ac:dyDescent="0.3">
      <c r="A433" t="s">
        <v>797</v>
      </c>
      <c r="B433" t="s">
        <v>798</v>
      </c>
      <c r="C433" t="s">
        <v>798</v>
      </c>
      <c r="D433" t="s">
        <v>6</v>
      </c>
      <c r="E433" t="s">
        <v>775</v>
      </c>
      <c r="F433">
        <v>124.58823527853301</v>
      </c>
      <c r="G433">
        <v>90.757385983638301</v>
      </c>
      <c r="H433">
        <v>104.289725701596</v>
      </c>
      <c r="I433">
        <v>20</v>
      </c>
      <c r="J433">
        <v>68</v>
      </c>
    </row>
    <row r="434" spans="1:10" x14ac:dyDescent="0.3">
      <c r="A434" t="s">
        <v>23</v>
      </c>
      <c r="B434" t="s">
        <v>799</v>
      </c>
      <c r="C434" t="s">
        <v>799</v>
      </c>
      <c r="D434" t="s">
        <v>6</v>
      </c>
      <c r="E434" t="s">
        <v>775</v>
      </c>
      <c r="F434">
        <v>61.941409633471501</v>
      </c>
      <c r="G434">
        <v>70.4596253281033</v>
      </c>
      <c r="H434">
        <v>67.052339050250595</v>
      </c>
      <c r="I434">
        <v>20</v>
      </c>
      <c r="J434">
        <v>76</v>
      </c>
    </row>
    <row r="435" spans="1:10" x14ac:dyDescent="0.3">
      <c r="A435" t="s">
        <v>800</v>
      </c>
      <c r="B435" t="s">
        <v>801</v>
      </c>
      <c r="C435" t="s">
        <v>801</v>
      </c>
      <c r="D435" t="s">
        <v>5</v>
      </c>
      <c r="E435" t="s">
        <v>775</v>
      </c>
      <c r="F435">
        <v>63.912088251089301</v>
      </c>
      <c r="G435">
        <v>46.667940047147297</v>
      </c>
      <c r="H435">
        <v>53.565599328724097</v>
      </c>
      <c r="I435">
        <v>8</v>
      </c>
      <c r="J435">
        <v>20</v>
      </c>
    </row>
    <row r="436" spans="1:10" x14ac:dyDescent="0.3">
      <c r="A436" t="s">
        <v>52</v>
      </c>
      <c r="B436" t="s">
        <v>802</v>
      </c>
      <c r="C436" t="s">
        <v>802</v>
      </c>
      <c r="D436" t="s">
        <v>5</v>
      </c>
      <c r="E436" t="s">
        <v>775</v>
      </c>
      <c r="F436">
        <v>14.0755657793097</v>
      </c>
      <c r="G436">
        <v>38.760642333523201</v>
      </c>
      <c r="H436">
        <v>28.886611711837801</v>
      </c>
      <c r="I436">
        <v>11</v>
      </c>
      <c r="J436">
        <v>30</v>
      </c>
    </row>
    <row r="437" spans="1:10" x14ac:dyDescent="0.3">
      <c r="A437" t="s">
        <v>803</v>
      </c>
      <c r="B437" t="s">
        <v>804</v>
      </c>
      <c r="C437" t="s">
        <v>804</v>
      </c>
      <c r="D437" t="s">
        <v>6</v>
      </c>
      <c r="E437" t="s">
        <v>775</v>
      </c>
      <c r="F437">
        <v>35.240347795794399</v>
      </c>
      <c r="G437">
        <v>129.06270988009001</v>
      </c>
      <c r="H437">
        <v>91.533765046372196</v>
      </c>
      <c r="I437">
        <v>8</v>
      </c>
      <c r="J437">
        <v>20</v>
      </c>
    </row>
    <row r="438" spans="1:10" x14ac:dyDescent="0.3">
      <c r="A438" t="s">
        <v>351</v>
      </c>
      <c r="B438" t="s">
        <v>805</v>
      </c>
      <c r="C438" t="s">
        <v>805</v>
      </c>
      <c r="D438" t="s">
        <v>6</v>
      </c>
      <c r="E438" t="s">
        <v>775</v>
      </c>
      <c r="F438">
        <v>-1.0871265475927701</v>
      </c>
      <c r="G438">
        <v>111.87614326407</v>
      </c>
      <c r="H438">
        <v>66.690835339405098</v>
      </c>
      <c r="I438">
        <v>1</v>
      </c>
      <c r="J438">
        <v>1</v>
      </c>
    </row>
    <row r="439" spans="1:10" x14ac:dyDescent="0.3">
      <c r="A439" t="s">
        <v>806</v>
      </c>
      <c r="B439" t="s">
        <v>807</v>
      </c>
      <c r="C439" t="s">
        <v>808</v>
      </c>
      <c r="D439" t="s">
        <v>6</v>
      </c>
      <c r="E439" t="s">
        <v>809</v>
      </c>
      <c r="F439">
        <v>55.195370468198199</v>
      </c>
      <c r="G439">
        <v>57.606436833347402</v>
      </c>
      <c r="H439">
        <v>56.642010287287697</v>
      </c>
      <c r="I439">
        <v>20</v>
      </c>
      <c r="J439">
        <v>55</v>
      </c>
    </row>
    <row r="440" spans="1:10" x14ac:dyDescent="0.3">
      <c r="A440" t="s">
        <v>71</v>
      </c>
      <c r="B440" t="s">
        <v>810</v>
      </c>
      <c r="C440" t="s">
        <v>810</v>
      </c>
      <c r="D440" t="s">
        <v>5</v>
      </c>
      <c r="E440" t="s">
        <v>809</v>
      </c>
      <c r="F440">
        <v>103.51648351648301</v>
      </c>
      <c r="G440">
        <v>94.913338335792602</v>
      </c>
      <c r="H440">
        <v>98.3545964080689</v>
      </c>
      <c r="I440">
        <v>20</v>
      </c>
      <c r="J440">
        <v>86</v>
      </c>
    </row>
    <row r="441" spans="1:10" x14ac:dyDescent="0.3">
      <c r="A441" t="s">
        <v>811</v>
      </c>
      <c r="B441" t="s">
        <v>812</v>
      </c>
      <c r="C441" t="s">
        <v>812</v>
      </c>
      <c r="D441" t="s">
        <v>7</v>
      </c>
      <c r="E441" t="s">
        <v>809</v>
      </c>
      <c r="F441">
        <v>16.8930098270462</v>
      </c>
      <c r="G441">
        <v>85.190205350488995</v>
      </c>
      <c r="H441">
        <v>57.871327141111898</v>
      </c>
      <c r="I441">
        <v>19</v>
      </c>
      <c r="J441">
        <v>63</v>
      </c>
    </row>
    <row r="442" spans="1:10" x14ac:dyDescent="0.3">
      <c r="A442" t="s">
        <v>687</v>
      </c>
      <c r="B442" t="s">
        <v>813</v>
      </c>
      <c r="C442" t="s">
        <v>813</v>
      </c>
      <c r="D442" t="s">
        <v>5</v>
      </c>
      <c r="E442" t="s">
        <v>809</v>
      </c>
      <c r="F442">
        <v>59.4246831615038</v>
      </c>
      <c r="G442">
        <v>90.512911103050399</v>
      </c>
      <c r="H442">
        <v>78.077619926431694</v>
      </c>
      <c r="I442">
        <v>19</v>
      </c>
      <c r="J442">
        <v>81</v>
      </c>
    </row>
    <row r="443" spans="1:10" x14ac:dyDescent="0.3">
      <c r="A443" t="s">
        <v>539</v>
      </c>
      <c r="B443" t="s">
        <v>814</v>
      </c>
      <c r="C443" t="s">
        <v>814</v>
      </c>
      <c r="D443" t="s">
        <v>5</v>
      </c>
      <c r="E443" t="s">
        <v>809</v>
      </c>
      <c r="F443">
        <v>35.106535046972397</v>
      </c>
      <c r="G443">
        <v>59.696397359095897</v>
      </c>
      <c r="H443">
        <v>49.860452434246497</v>
      </c>
      <c r="I443">
        <v>11</v>
      </c>
      <c r="J443">
        <v>47</v>
      </c>
    </row>
    <row r="444" spans="1:10" x14ac:dyDescent="0.3">
      <c r="A444" t="s">
        <v>815</v>
      </c>
      <c r="B444" t="s">
        <v>816</v>
      </c>
      <c r="C444" t="s">
        <v>816</v>
      </c>
      <c r="D444" t="s">
        <v>6</v>
      </c>
      <c r="E444" t="s">
        <v>809</v>
      </c>
      <c r="F444">
        <v>82.516484064364505</v>
      </c>
      <c r="G444">
        <v>75.083152712127699</v>
      </c>
      <c r="H444">
        <v>78.056485253022402</v>
      </c>
      <c r="I444">
        <v>16</v>
      </c>
      <c r="J444">
        <v>27</v>
      </c>
    </row>
    <row r="445" spans="1:10" x14ac:dyDescent="0.3">
      <c r="A445" t="s">
        <v>817</v>
      </c>
      <c r="B445" t="s">
        <v>74</v>
      </c>
      <c r="C445" t="s">
        <v>74</v>
      </c>
      <c r="D445" t="s">
        <v>6</v>
      </c>
      <c r="E445" t="s">
        <v>809</v>
      </c>
      <c r="F445">
        <v>81.846153846153797</v>
      </c>
      <c r="G445">
        <v>82.997432370050106</v>
      </c>
      <c r="H445">
        <v>82.536920960491599</v>
      </c>
      <c r="I445">
        <v>19</v>
      </c>
      <c r="J445">
        <v>43</v>
      </c>
    </row>
    <row r="446" spans="1:10" x14ac:dyDescent="0.3">
      <c r="A446" t="s">
        <v>818</v>
      </c>
      <c r="B446" t="s">
        <v>819</v>
      </c>
      <c r="C446" t="s">
        <v>820</v>
      </c>
      <c r="D446" t="s">
        <v>6</v>
      </c>
      <c r="E446" t="s">
        <v>809</v>
      </c>
      <c r="F446">
        <v>91.450549631350199</v>
      </c>
      <c r="G446">
        <v>58.812041610500302</v>
      </c>
      <c r="H446">
        <v>71.867444818840198</v>
      </c>
      <c r="I446">
        <v>18</v>
      </c>
      <c r="J446">
        <v>44</v>
      </c>
    </row>
    <row r="447" spans="1:10" x14ac:dyDescent="0.3">
      <c r="A447" t="s">
        <v>821</v>
      </c>
      <c r="B447" t="s">
        <v>822</v>
      </c>
      <c r="C447" t="s">
        <v>823</v>
      </c>
      <c r="D447" t="s">
        <v>5</v>
      </c>
      <c r="E447" t="s">
        <v>809</v>
      </c>
      <c r="F447">
        <v>94.568627356241706</v>
      </c>
      <c r="G447">
        <v>86.811427483680603</v>
      </c>
      <c r="H447">
        <v>89.914307432705002</v>
      </c>
      <c r="I447">
        <v>18</v>
      </c>
      <c r="J447">
        <v>68</v>
      </c>
    </row>
    <row r="448" spans="1:10" x14ac:dyDescent="0.3">
      <c r="A448" t="s">
        <v>393</v>
      </c>
      <c r="B448" t="s">
        <v>824</v>
      </c>
      <c r="C448" t="s">
        <v>825</v>
      </c>
      <c r="D448" t="s">
        <v>6</v>
      </c>
      <c r="E448" t="s">
        <v>809</v>
      </c>
      <c r="F448">
        <v>36.868813472380403</v>
      </c>
      <c r="G448">
        <v>53.3942083796682</v>
      </c>
      <c r="H448">
        <v>46.784050416753097</v>
      </c>
      <c r="I448">
        <v>14</v>
      </c>
      <c r="J448">
        <v>30</v>
      </c>
    </row>
    <row r="449" spans="1:10" x14ac:dyDescent="0.3">
      <c r="A449" t="s">
        <v>643</v>
      </c>
      <c r="B449" t="s">
        <v>826</v>
      </c>
      <c r="C449" t="s">
        <v>826</v>
      </c>
      <c r="D449" t="s">
        <v>5</v>
      </c>
      <c r="E449" t="s">
        <v>809</v>
      </c>
      <c r="F449">
        <v>29.559835781928001</v>
      </c>
      <c r="G449">
        <v>47.961782936817002</v>
      </c>
      <c r="H449">
        <v>40.6010040748614</v>
      </c>
      <c r="I449">
        <v>20</v>
      </c>
      <c r="J449">
        <v>77</v>
      </c>
    </row>
    <row r="450" spans="1:10" x14ac:dyDescent="0.3">
      <c r="A450" t="s">
        <v>827</v>
      </c>
      <c r="B450" t="s">
        <v>828</v>
      </c>
      <c r="C450" t="s">
        <v>828</v>
      </c>
      <c r="D450" t="s">
        <v>5</v>
      </c>
      <c r="E450" t="s">
        <v>809</v>
      </c>
      <c r="F450">
        <v>8.7741935375403202</v>
      </c>
      <c r="G450">
        <v>39.889753854337101</v>
      </c>
      <c r="H450">
        <v>27.443529727618401</v>
      </c>
      <c r="I450">
        <v>6</v>
      </c>
      <c r="J450">
        <v>11</v>
      </c>
    </row>
    <row r="451" spans="1:10" x14ac:dyDescent="0.3">
      <c r="A451" t="s">
        <v>829</v>
      </c>
      <c r="B451" t="s">
        <v>830</v>
      </c>
      <c r="C451" t="s">
        <v>831</v>
      </c>
      <c r="D451" t="s">
        <v>7</v>
      </c>
      <c r="E451" t="s">
        <v>809</v>
      </c>
      <c r="F451">
        <v>25.688272503939299</v>
      </c>
      <c r="G451">
        <v>62.545648111430097</v>
      </c>
      <c r="H451">
        <v>47.802697868433803</v>
      </c>
      <c r="I451">
        <v>10</v>
      </c>
      <c r="J451">
        <v>10</v>
      </c>
    </row>
    <row r="452" spans="1:10" x14ac:dyDescent="0.3">
      <c r="A452" t="s">
        <v>424</v>
      </c>
      <c r="B452" t="s">
        <v>832</v>
      </c>
      <c r="C452" t="s">
        <v>833</v>
      </c>
      <c r="D452" t="s">
        <v>6</v>
      </c>
      <c r="E452" t="s">
        <v>809</v>
      </c>
      <c r="F452">
        <v>54.794006004921599</v>
      </c>
      <c r="G452">
        <v>112.97762639644</v>
      </c>
      <c r="H452">
        <v>89.704178239832899</v>
      </c>
      <c r="I452">
        <v>16</v>
      </c>
      <c r="J452">
        <v>34</v>
      </c>
    </row>
    <row r="453" spans="1:10" x14ac:dyDescent="0.3">
      <c r="A453" t="s">
        <v>834</v>
      </c>
      <c r="B453" t="s">
        <v>835</v>
      </c>
      <c r="C453" t="s">
        <v>835</v>
      </c>
      <c r="D453" t="s">
        <v>5</v>
      </c>
      <c r="E453" t="s">
        <v>809</v>
      </c>
      <c r="F453">
        <v>54.551020264602897</v>
      </c>
      <c r="G453">
        <v>73.436882052614607</v>
      </c>
      <c r="H453">
        <v>65.8825373374099</v>
      </c>
      <c r="I453">
        <v>10</v>
      </c>
      <c r="J453">
        <v>52</v>
      </c>
    </row>
    <row r="454" spans="1:10" x14ac:dyDescent="0.3">
      <c r="A454" t="s">
        <v>836</v>
      </c>
      <c r="B454" t="s">
        <v>837</v>
      </c>
      <c r="C454" t="s">
        <v>838</v>
      </c>
      <c r="D454" t="s">
        <v>4</v>
      </c>
      <c r="E454" t="s">
        <v>809</v>
      </c>
      <c r="F454">
        <v>90.089370049554006</v>
      </c>
      <c r="G454">
        <v>189.14387923439301</v>
      </c>
      <c r="H454">
        <v>149.52207556045701</v>
      </c>
      <c r="I454">
        <v>20</v>
      </c>
      <c r="J454">
        <v>95</v>
      </c>
    </row>
    <row r="455" spans="1:10" x14ac:dyDescent="0.3">
      <c r="A455" t="s">
        <v>839</v>
      </c>
      <c r="B455" t="s">
        <v>840</v>
      </c>
      <c r="C455" t="s">
        <v>840</v>
      </c>
      <c r="D455" t="s">
        <v>7</v>
      </c>
      <c r="E455" t="s">
        <v>809</v>
      </c>
      <c r="F455">
        <v>65.983327722632296</v>
      </c>
      <c r="G455">
        <v>145.71605563584001</v>
      </c>
      <c r="H455">
        <v>113.822964470557</v>
      </c>
      <c r="I455">
        <v>17</v>
      </c>
      <c r="J455">
        <v>47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7AB3-0627-4A6D-82B3-9057B5B95C24}">
  <dimension ref="A1:N24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  <col min="12" max="12" width="11.21875" bestFit="1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13</v>
      </c>
      <c r="B2" s="1" t="s">
        <v>4</v>
      </c>
      <c r="C2" s="1" t="s">
        <v>14</v>
      </c>
      <c r="D2" s="1">
        <v>-1.71206558060532</v>
      </c>
      <c r="E2" s="1">
        <v>75.052819216665199</v>
      </c>
      <c r="F2" s="1">
        <f>Table22[[#This Row],[ARIMAPP]]*$N$5+Table22[[#This Row],[LSTMPP]]*$N$6</f>
        <v>40.709641294194562</v>
      </c>
      <c r="G2" s="1">
        <f>Table22[[#This Row],[PP]]/$N$2</f>
        <v>2.0354820647097283</v>
      </c>
      <c r="H2" s="1">
        <v>3</v>
      </c>
      <c r="I2" s="1">
        <f>Table22[[#This Row],[PPG]]*Table22[[#This Row],[Plays]]</f>
        <v>6.1064461941291848</v>
      </c>
      <c r="J2" s="1">
        <v>4</v>
      </c>
      <c r="K2" s="7">
        <f>Table22[[#This Row],[APP]]/Table22[[#This Row],[Plays]]</f>
        <v>1.3333333333333333</v>
      </c>
      <c r="M2" t="s">
        <v>846</v>
      </c>
      <c r="N2">
        <v>20</v>
      </c>
    </row>
    <row r="3" spans="1:14" x14ac:dyDescent="0.3">
      <c r="A3" s="2" t="s">
        <v>16</v>
      </c>
      <c r="B3" s="2" t="s">
        <v>7</v>
      </c>
      <c r="C3" s="2" t="s">
        <v>14</v>
      </c>
      <c r="D3" s="2">
        <v>78.725507956038001</v>
      </c>
      <c r="E3" s="2">
        <v>91.435095761103895</v>
      </c>
      <c r="F3" s="1">
        <f>Table22[[#This Row],[ARIMAPP]]*$N$5+Table22[[#This Row],[LSTMPP]]*$N$6</f>
        <v>83.884165499497584</v>
      </c>
      <c r="G3" s="1">
        <f>Table22[[#This Row],[PP]]/$N$2</f>
        <v>4.194208274974879</v>
      </c>
      <c r="H3" s="2">
        <v>14</v>
      </c>
      <c r="I3" s="2">
        <f>Table22[[#This Row],[PPG]]*Table22[[#This Row],[Plays]]</f>
        <v>58.718915849648305</v>
      </c>
      <c r="J3" s="2">
        <v>44</v>
      </c>
      <c r="K3" s="6">
        <f>Table22[[#This Row],[APP]]/Table22[[#This Row],[Plays]]</f>
        <v>3.1428571428571428</v>
      </c>
    </row>
    <row r="4" spans="1:14" x14ac:dyDescent="0.3">
      <c r="A4" s="1" t="s">
        <v>17</v>
      </c>
      <c r="B4" s="1" t="s">
        <v>5</v>
      </c>
      <c r="C4" s="1" t="s">
        <v>14</v>
      </c>
      <c r="D4" s="1">
        <v>18.419803166525799</v>
      </c>
      <c r="E4" s="1">
        <v>33.726941413086202</v>
      </c>
      <c r="F4" s="1">
        <f>Table22[[#This Row],[ARIMAPP]]*$N$5+Table22[[#This Row],[LSTMPP]]*$N$6</f>
        <v>26.43598110381453</v>
      </c>
      <c r="G4" s="1">
        <f>Table22[[#This Row],[PP]]/$N$2</f>
        <v>1.3217990551907266</v>
      </c>
      <c r="H4" s="1">
        <v>4</v>
      </c>
      <c r="I4" s="1">
        <f>Table22[[#This Row],[PPG]]*Table22[[#This Row],[Plays]]</f>
        <v>5.2871962207629064</v>
      </c>
      <c r="J4" s="1">
        <v>2</v>
      </c>
      <c r="K4" s="6">
        <f>Table22[[#This Row],[APP]]/Table22[[#This Row],[Plays]]</f>
        <v>0.5</v>
      </c>
    </row>
    <row r="5" spans="1:14" x14ac:dyDescent="0.3">
      <c r="A5" s="2" t="s">
        <v>20</v>
      </c>
      <c r="B5" s="2" t="s">
        <v>7</v>
      </c>
      <c r="C5" s="2" t="s">
        <v>14</v>
      </c>
      <c r="D5" s="2">
        <v>102.318681318681</v>
      </c>
      <c r="E5" s="2">
        <v>68.923773560133597</v>
      </c>
      <c r="F5" s="1">
        <f>Table22[[#This Row],[ARIMAPP]]*$N$5+Table22[[#This Row],[LSTMPP]]*$N$6</f>
        <v>81.46652107669648</v>
      </c>
      <c r="G5" s="1">
        <f>Table22[[#This Row],[PP]]/$N$2</f>
        <v>4.0733260538348244</v>
      </c>
      <c r="H5" s="2">
        <v>15</v>
      </c>
      <c r="I5" s="2">
        <f>Table22[[#This Row],[PPG]]*Table22[[#This Row],[Plays]]</f>
        <v>61.099890807522364</v>
      </c>
      <c r="J5" s="2">
        <v>46</v>
      </c>
      <c r="K5" s="6">
        <f>Table22[[#This Row],[APP]]/Table22[[#This Row],[Plays]]</f>
        <v>3.0666666666666669</v>
      </c>
      <c r="M5" t="s">
        <v>9</v>
      </c>
      <c r="N5">
        <v>0.4243041556661673</v>
      </c>
    </row>
    <row r="6" spans="1:14" x14ac:dyDescent="0.3">
      <c r="A6" s="1" t="s">
        <v>22</v>
      </c>
      <c r="B6" s="1" t="s">
        <v>6</v>
      </c>
      <c r="C6" s="1" t="s">
        <v>14</v>
      </c>
      <c r="D6" s="1">
        <v>33.063940887535999</v>
      </c>
      <c r="E6" s="1">
        <v>44.633027106539302</v>
      </c>
      <c r="F6" s="1">
        <f>Table22[[#This Row],[ARIMAPP]]*$N$5+Table22[[#This Row],[LSTMPP]]*$N$6</f>
        <v>38.670714694229076</v>
      </c>
      <c r="G6" s="1">
        <f>Table22[[#This Row],[PP]]/$N$2</f>
        <v>1.9335357347114539</v>
      </c>
      <c r="H6" s="1">
        <v>10</v>
      </c>
      <c r="I6" s="1">
        <f>Table22[[#This Row],[PPG]]*Table22[[#This Row],[Plays]]</f>
        <v>19.335357347114538</v>
      </c>
      <c r="J6" s="1">
        <v>18</v>
      </c>
      <c r="K6" s="6">
        <f>Table22[[#This Row],[APP]]/Table22[[#This Row],[Plays]]</f>
        <v>1.8</v>
      </c>
      <c r="M6" t="s">
        <v>10</v>
      </c>
      <c r="N6">
        <v>0.55209222341400976</v>
      </c>
    </row>
    <row r="7" spans="1:14" x14ac:dyDescent="0.3">
      <c r="A7" s="2" t="s">
        <v>24</v>
      </c>
      <c r="B7" s="2" t="s">
        <v>5</v>
      </c>
      <c r="C7" s="2" t="s">
        <v>14</v>
      </c>
      <c r="D7" s="2">
        <v>8.1938901125883099</v>
      </c>
      <c r="E7" s="2">
        <v>39.756702254585903</v>
      </c>
      <c r="F7" s="1">
        <f>Table22[[#This Row],[ARIMAPP]]*$N$5+Table22[[#This Row],[LSTMPP]]*$N$6</f>
        <v>25.426067769186247</v>
      </c>
      <c r="G7" s="1">
        <f>Table22[[#This Row],[PP]]/$N$2</f>
        <v>1.2713033884593123</v>
      </c>
      <c r="H7" s="2">
        <v>2</v>
      </c>
      <c r="I7" s="2">
        <f>Table22[[#This Row],[PPG]]*Table22[[#This Row],[Plays]]</f>
        <v>2.5426067769186247</v>
      </c>
      <c r="J7" s="2">
        <v>1</v>
      </c>
      <c r="K7" s="6">
        <f>Table22[[#This Row],[APP]]/Table22[[#This Row],[Plays]]</f>
        <v>0.5</v>
      </c>
    </row>
    <row r="8" spans="1:14" x14ac:dyDescent="0.3">
      <c r="A8" s="1" t="s">
        <v>26</v>
      </c>
      <c r="B8" s="1" t="s">
        <v>5</v>
      </c>
      <c r="C8" s="1" t="s">
        <v>14</v>
      </c>
      <c r="D8" s="1">
        <v>4.1989671723182198</v>
      </c>
      <c r="E8" s="1">
        <v>55.712545427491001</v>
      </c>
      <c r="F8" s="1">
        <f>Table22[[#This Row],[ARIMAPP]]*$N$5+Table22[[#This Row],[LSTMPP]]*$N$6</f>
        <v>32.540102297837969</v>
      </c>
      <c r="G8" s="1">
        <f>Table22[[#This Row],[PP]]/$N$2</f>
        <v>1.6270051148918985</v>
      </c>
      <c r="H8" s="1">
        <v>2</v>
      </c>
      <c r="I8" s="1">
        <f>Table22[[#This Row],[PPG]]*Table22[[#This Row],[Plays]]</f>
        <v>3.2540102297837969</v>
      </c>
      <c r="J8" s="1">
        <v>1</v>
      </c>
      <c r="K8" s="6">
        <f>Table22[[#This Row],[APP]]/Table22[[#This Row],[Plays]]</f>
        <v>0.5</v>
      </c>
      <c r="M8" t="s">
        <v>849</v>
      </c>
      <c r="N8" cm="1">
        <f t="array" ref="N8">(SUM(Table22[Tot]-Table22[APP]))^2</f>
        <v>9.8954711950923721E-27</v>
      </c>
    </row>
    <row r="9" spans="1:14" x14ac:dyDescent="0.3">
      <c r="A9" s="2" t="s">
        <v>29</v>
      </c>
      <c r="B9" s="2" t="s">
        <v>6</v>
      </c>
      <c r="C9" s="2" t="s">
        <v>14</v>
      </c>
      <c r="D9" s="2">
        <v>101.243189872043</v>
      </c>
      <c r="E9" s="2">
        <v>55.883789001368299</v>
      </c>
      <c r="F9" s="1">
        <f>Table22[[#This Row],[ARIMAPP]]*$N$5+Table22[[#This Row],[LSTMPP]]*$N$6</f>
        <v>73.81091151817148</v>
      </c>
      <c r="G9" s="1">
        <f>Table22[[#This Row],[PP]]/$N$2</f>
        <v>3.6905455759085739</v>
      </c>
      <c r="H9" s="2">
        <v>7</v>
      </c>
      <c r="I9" s="2">
        <f>Table22[[#This Row],[PPG]]*Table22[[#This Row],[Plays]]</f>
        <v>25.833819031360019</v>
      </c>
      <c r="J9" s="2">
        <v>11</v>
      </c>
      <c r="K9" s="6">
        <f>Table22[[#This Row],[APP]]/Table22[[#This Row],[Plays]]</f>
        <v>1.5714285714285714</v>
      </c>
    </row>
    <row r="10" spans="1:14" x14ac:dyDescent="0.3">
      <c r="A10" s="1" t="s">
        <v>31</v>
      </c>
      <c r="B10" s="1" t="s">
        <v>5</v>
      </c>
      <c r="C10" s="1" t="s">
        <v>14</v>
      </c>
      <c r="D10" s="1">
        <v>24.464217101749501</v>
      </c>
      <c r="E10" s="1">
        <v>41.196590857814797</v>
      </c>
      <c r="F10" s="1">
        <f>Table22[[#This Row],[ARIMAPP]]*$N$5+Table22[[#This Row],[LSTMPP]]*$N$6</f>
        <v>33.124586425159869</v>
      </c>
      <c r="G10" s="1">
        <f>Table22[[#This Row],[PP]]/$N$2</f>
        <v>1.6562293212579935</v>
      </c>
      <c r="H10" s="1">
        <v>5</v>
      </c>
      <c r="I10" s="1">
        <f>Table22[[#This Row],[PPG]]*Table22[[#This Row],[Plays]]</f>
        <v>8.2811466062899672</v>
      </c>
      <c r="J10" s="1">
        <v>7</v>
      </c>
      <c r="K10" s="6">
        <f>Table22[[#This Row],[APP]]/Table22[[#This Row],[Plays]]</f>
        <v>1.4</v>
      </c>
    </row>
    <row r="11" spans="1:14" x14ac:dyDescent="0.3">
      <c r="A11" s="2" t="s">
        <v>33</v>
      </c>
      <c r="B11" s="2" t="s">
        <v>6</v>
      </c>
      <c r="C11" s="2" t="s">
        <v>14</v>
      </c>
      <c r="D11" s="2">
        <v>31.4960063175333</v>
      </c>
      <c r="E11" s="2">
        <v>66.954717756740294</v>
      </c>
      <c r="F11" s="1">
        <f>Table22[[#This Row],[ARIMAPP]]*$N$5+Table22[[#This Row],[LSTMPP]]*$N$6</f>
        <v>50.329065361793468</v>
      </c>
      <c r="G11" s="1">
        <f>Table22[[#This Row],[PP]]/$N$2</f>
        <v>2.5164532680896734</v>
      </c>
      <c r="H11" s="2">
        <v>16</v>
      </c>
      <c r="I11" s="2">
        <f>Table22[[#This Row],[PPG]]*Table22[[#This Row],[Plays]]</f>
        <v>40.263252289434774</v>
      </c>
      <c r="J11" s="2">
        <v>41</v>
      </c>
      <c r="K11" s="6">
        <f>Table22[[#This Row],[APP]]/Table22[[#This Row],[Plays]]</f>
        <v>2.5625</v>
      </c>
    </row>
    <row r="12" spans="1:14" x14ac:dyDescent="0.3">
      <c r="A12" s="1" t="s">
        <v>35</v>
      </c>
      <c r="B12" s="1" t="s">
        <v>5</v>
      </c>
      <c r="C12" s="1" t="s">
        <v>14</v>
      </c>
      <c r="D12" s="1">
        <v>41.201664698562602</v>
      </c>
      <c r="E12" s="1">
        <v>58.896513442904201</v>
      </c>
      <c r="F12" s="1">
        <f>Table22[[#This Row],[ARIMAPP]]*$N$5+Table22[[#This Row],[LSTMPP]]*$N$6</f>
        <v>49.998344609990227</v>
      </c>
      <c r="G12" s="1">
        <f>Table22[[#This Row],[PP]]/$N$2</f>
        <v>2.4999172304995114</v>
      </c>
      <c r="H12" s="1">
        <v>14</v>
      </c>
      <c r="I12" s="1">
        <f>Table22[[#This Row],[PPG]]*Table22[[#This Row],[Plays]]</f>
        <v>34.998841226993157</v>
      </c>
      <c r="J12" s="1">
        <v>74</v>
      </c>
      <c r="K12" s="6">
        <f>Table22[[#This Row],[APP]]/Table22[[#This Row],[Plays]]</f>
        <v>5.2857142857142856</v>
      </c>
    </row>
    <row r="13" spans="1:14" x14ac:dyDescent="0.3">
      <c r="A13" s="2" t="s">
        <v>37</v>
      </c>
      <c r="B13" s="2" t="s">
        <v>6</v>
      </c>
      <c r="C13" s="2" t="s">
        <v>14</v>
      </c>
      <c r="D13" s="2">
        <v>1.8538461509417501</v>
      </c>
      <c r="E13" s="2">
        <v>51.6842623242961</v>
      </c>
      <c r="F13" s="1">
        <f>Table22[[#This Row],[ARIMAPP]]*$N$5+Table22[[#This Row],[LSTMPP]]*$N$6</f>
        <v>29.321073927943882</v>
      </c>
      <c r="G13" s="1">
        <f>Table22[[#This Row],[PP]]/$N$2</f>
        <v>1.4660536963971942</v>
      </c>
      <c r="H13" s="2">
        <v>9</v>
      </c>
      <c r="I13" s="2">
        <f>Table22[[#This Row],[PPG]]*Table22[[#This Row],[Plays]]</f>
        <v>13.194483267574748</v>
      </c>
      <c r="J13" s="2">
        <v>25</v>
      </c>
      <c r="K13" s="6">
        <f>Table22[[#This Row],[APP]]/Table22[[#This Row],[Plays]]</f>
        <v>2.7777777777777777</v>
      </c>
    </row>
    <row r="14" spans="1:14" x14ac:dyDescent="0.3">
      <c r="A14" s="1" t="s">
        <v>40</v>
      </c>
      <c r="B14" s="1" t="s">
        <v>7</v>
      </c>
      <c r="C14" s="1" t="s">
        <v>14</v>
      </c>
      <c r="D14" s="1">
        <v>12.615808929530401</v>
      </c>
      <c r="E14" s="1">
        <v>32.624010830854502</v>
      </c>
      <c r="F14" s="1">
        <f>Table22[[#This Row],[ARIMAPP]]*$N$5+Table22[[#This Row],[LSTMPP]]*$N$6</f>
        <v>23.364402832179287</v>
      </c>
      <c r="G14" s="1">
        <f>Table22[[#This Row],[PP]]/$N$2</f>
        <v>1.1682201416089644</v>
      </c>
      <c r="H14" s="1">
        <v>3</v>
      </c>
      <c r="I14" s="1">
        <f>Table22[[#This Row],[PPG]]*Table22[[#This Row],[Plays]]</f>
        <v>3.5046604248268931</v>
      </c>
      <c r="J14" s="1">
        <v>3</v>
      </c>
      <c r="K14" s="6">
        <f>Table22[[#This Row],[APP]]/Table22[[#This Row],[Plays]]</f>
        <v>1</v>
      </c>
    </row>
    <row r="15" spans="1:14" x14ac:dyDescent="0.3">
      <c r="A15" s="2" t="s">
        <v>42</v>
      </c>
      <c r="B15" s="2" t="s">
        <v>6</v>
      </c>
      <c r="C15" s="2" t="s">
        <v>14</v>
      </c>
      <c r="D15" s="2">
        <v>68.188219874408702</v>
      </c>
      <c r="E15" s="2">
        <v>62.3167146692128</v>
      </c>
      <c r="F15" s="1">
        <f>Table22[[#This Row],[ARIMAPP]]*$N$5+Table22[[#This Row],[LSTMPP]]*$N$6</f>
        <v>63.337118617772084</v>
      </c>
      <c r="G15" s="1">
        <f>Table22[[#This Row],[PP]]/$N$2</f>
        <v>3.1668559308886044</v>
      </c>
      <c r="H15" s="2">
        <v>18</v>
      </c>
      <c r="I15" s="2">
        <f>Table22[[#This Row],[PPG]]*Table22[[#This Row],[Plays]]</f>
        <v>57.003406755994881</v>
      </c>
      <c r="J15" s="2">
        <v>88</v>
      </c>
      <c r="K15" s="6">
        <f>Table22[[#This Row],[APP]]/Table22[[#This Row],[Plays]]</f>
        <v>4.8888888888888893</v>
      </c>
    </row>
    <row r="16" spans="1:14" x14ac:dyDescent="0.3">
      <c r="A16" s="1" t="s">
        <v>44</v>
      </c>
      <c r="B16" s="1" t="s">
        <v>6</v>
      </c>
      <c r="C16" s="1" t="s">
        <v>14</v>
      </c>
      <c r="D16" s="1">
        <v>58.8628271381708</v>
      </c>
      <c r="E16" s="1">
        <v>74.8014776272163</v>
      </c>
      <c r="F16" s="1">
        <f>Table22[[#This Row],[ARIMAPP]]*$N$5+Table22[[#This Row],[LSTMPP]]*$N$6</f>
        <v>66.273056266848272</v>
      </c>
      <c r="G16" s="1">
        <f>Table22[[#This Row],[PP]]/$N$2</f>
        <v>3.3136528133424137</v>
      </c>
      <c r="H16" s="1">
        <v>20</v>
      </c>
      <c r="I16" s="1">
        <f>Table22[[#This Row],[PPG]]*Table22[[#This Row],[Plays]]</f>
        <v>66.273056266848272</v>
      </c>
      <c r="J16" s="1">
        <v>93</v>
      </c>
      <c r="K16" s="6">
        <f>Table22[[#This Row],[APP]]/Table22[[#This Row],[Plays]]</f>
        <v>4.6500000000000004</v>
      </c>
    </row>
    <row r="17" spans="1:11" x14ac:dyDescent="0.3">
      <c r="A17" s="2" t="s">
        <v>45</v>
      </c>
      <c r="B17" s="2" t="s">
        <v>5</v>
      </c>
      <c r="C17" s="2" t="s">
        <v>14</v>
      </c>
      <c r="D17" s="2">
        <v>49.793934930321797</v>
      </c>
      <c r="E17" s="2">
        <v>75.202442709494804</v>
      </c>
      <c r="F17" s="1">
        <f>Table22[[#This Row],[ARIMAPP]]*$N$5+Table22[[#This Row],[LSTMPP]]*$N$6</f>
        <v>62.646457319555935</v>
      </c>
      <c r="G17" s="1">
        <f>Table22[[#This Row],[PP]]/$N$2</f>
        <v>3.1323228659777969</v>
      </c>
      <c r="H17" s="2">
        <v>17</v>
      </c>
      <c r="I17" s="2">
        <f>Table22[[#This Row],[PPG]]*Table22[[#This Row],[Plays]]</f>
        <v>53.249488721622548</v>
      </c>
      <c r="J17" s="2">
        <v>78</v>
      </c>
      <c r="K17" s="6">
        <f>Table22[[#This Row],[APP]]/Table22[[#This Row],[Plays]]</f>
        <v>4.5882352941176467</v>
      </c>
    </row>
    <row r="18" spans="1:11" x14ac:dyDescent="0.3">
      <c r="A18" s="1" t="s">
        <v>50</v>
      </c>
      <c r="B18" s="1" t="s">
        <v>6</v>
      </c>
      <c r="C18" s="1" t="s">
        <v>14</v>
      </c>
      <c r="D18" s="1">
        <v>27.3557540578405</v>
      </c>
      <c r="E18" s="1">
        <v>45.564714583812901</v>
      </c>
      <c r="F18" s="1">
        <f>Table22[[#This Row],[ARIMAPP]]*$N$5+Table22[[#This Row],[LSTMPP]]*$N$6</f>
        <v>36.763084711925366</v>
      </c>
      <c r="G18" s="1">
        <f>Table22[[#This Row],[PP]]/$N$2</f>
        <v>1.8381542355962683</v>
      </c>
      <c r="H18" s="1">
        <v>13</v>
      </c>
      <c r="I18" s="1">
        <f>Table22[[#This Row],[PPG]]*Table22[[#This Row],[Plays]]</f>
        <v>23.896005062751488</v>
      </c>
      <c r="J18" s="1">
        <v>57</v>
      </c>
      <c r="K18" s="6">
        <f>Table22[[#This Row],[APP]]/Table22[[#This Row],[Plays]]</f>
        <v>4.384615384615385</v>
      </c>
    </row>
    <row r="19" spans="1:11" x14ac:dyDescent="0.3">
      <c r="A19" s="2" t="s">
        <v>53</v>
      </c>
      <c r="B19" s="2" t="s">
        <v>5</v>
      </c>
      <c r="C19" s="2" t="s">
        <v>14</v>
      </c>
      <c r="D19" s="2">
        <v>101.636363636363</v>
      </c>
      <c r="E19" s="2">
        <v>81.246348917673501</v>
      </c>
      <c r="F19" s="1">
        <f>Table22[[#This Row],[ARIMAPP]]*$N$5+Table22[[#This Row],[LSTMPP]]*$N$6</f>
        <v>87.980208875935347</v>
      </c>
      <c r="G19" s="1">
        <f>Table22[[#This Row],[PP]]/$N$2</f>
        <v>4.399010443796767</v>
      </c>
      <c r="H19" s="2">
        <v>18</v>
      </c>
      <c r="I19" s="2">
        <f>Table22[[#This Row],[PPG]]*Table22[[#This Row],[Plays]]</f>
        <v>79.182187988341809</v>
      </c>
      <c r="J19" s="2">
        <v>68</v>
      </c>
      <c r="K19" s="6">
        <f>Table22[[#This Row],[APP]]/Table22[[#This Row],[Plays]]</f>
        <v>3.7777777777777777</v>
      </c>
    </row>
    <row r="20" spans="1:11" x14ac:dyDescent="0.3">
      <c r="A20" s="1" t="s">
        <v>56</v>
      </c>
      <c r="B20" s="1" t="s">
        <v>5</v>
      </c>
      <c r="C20" s="1" t="s">
        <v>14</v>
      </c>
      <c r="D20" s="1">
        <v>59.578947368420998</v>
      </c>
      <c r="E20" s="1">
        <v>146.86067496220099</v>
      </c>
      <c r="F20" s="1">
        <f>Table22[[#This Row],[ARIMAPP]]*$N$5+Table22[[#This Row],[LSTMPP]]*$N$6</f>
        <v>106.36023153060063</v>
      </c>
      <c r="G20" s="1">
        <f>Table22[[#This Row],[PP]]/$N$2</f>
        <v>5.3180115765300311</v>
      </c>
      <c r="H20" s="1">
        <v>13</v>
      </c>
      <c r="I20" s="1">
        <f>Table22[[#This Row],[PPG]]*Table22[[#This Row],[Plays]]</f>
        <v>69.134150494890406</v>
      </c>
      <c r="J20" s="1">
        <v>31</v>
      </c>
      <c r="K20" s="6">
        <f>Table22[[#This Row],[APP]]/Table22[[#This Row],[Plays]]</f>
        <v>2.3846153846153846</v>
      </c>
    </row>
    <row r="21" spans="1:11" x14ac:dyDescent="0.3">
      <c r="A21" s="2" t="s">
        <v>58</v>
      </c>
      <c r="B21" s="2" t="s">
        <v>6</v>
      </c>
      <c r="C21" s="2" t="s">
        <v>14</v>
      </c>
      <c r="D21" s="2">
        <v>187.70961082711099</v>
      </c>
      <c r="E21" s="2">
        <v>135.28569990048001</v>
      </c>
      <c r="F21" s="1">
        <f>Table22[[#This Row],[ARIMAPP]]*$N$5+Table22[[#This Row],[LSTMPP]]*$N$6</f>
        <v>154.33615078659867</v>
      </c>
      <c r="G21" s="1">
        <f>Table22[[#This Row],[PP]]/$N$2</f>
        <v>7.7168075393299329</v>
      </c>
      <c r="H21" s="2">
        <v>13</v>
      </c>
      <c r="I21" s="2">
        <f>Table22[[#This Row],[PPG]]*Table22[[#This Row],[Plays]]</f>
        <v>100.31849801128912</v>
      </c>
      <c r="J21" s="2">
        <v>23</v>
      </c>
      <c r="K21" s="6">
        <f>Table22[[#This Row],[APP]]/Table22[[#This Row],[Plays]]</f>
        <v>1.7692307692307692</v>
      </c>
    </row>
    <row r="22" spans="1:11" x14ac:dyDescent="0.3">
      <c r="A22" s="1" t="s">
        <v>61</v>
      </c>
      <c r="B22" s="1" t="s">
        <v>6</v>
      </c>
      <c r="C22" s="1" t="s">
        <v>14</v>
      </c>
      <c r="D22" s="1">
        <v>59.055348892506203</v>
      </c>
      <c r="E22" s="1">
        <v>111.123410464586</v>
      </c>
      <c r="F22" s="1">
        <f>Table22[[#This Row],[ARIMAPP]]*$N$5+Table22[[#This Row],[LSTMPP]]*$N$6</f>
        <v>86.407800706146702</v>
      </c>
      <c r="G22" s="1">
        <f>Table22[[#This Row],[PP]]/$N$2</f>
        <v>4.3203900353073355</v>
      </c>
      <c r="H22" s="1">
        <v>19</v>
      </c>
      <c r="I22" s="1">
        <f>Table22[[#This Row],[PPG]]*Table22[[#This Row],[Plays]]</f>
        <v>82.087410670839375</v>
      </c>
      <c r="J22" s="1">
        <v>72</v>
      </c>
      <c r="K22" s="6">
        <f>Table22[[#This Row],[APP]]/Table22[[#This Row],[Plays]]</f>
        <v>3.7894736842105261</v>
      </c>
    </row>
    <row r="23" spans="1:11" x14ac:dyDescent="0.3">
      <c r="A23" s="2" t="s">
        <v>63</v>
      </c>
      <c r="B23" s="2" t="s">
        <v>4</v>
      </c>
      <c r="C23" s="2" t="s">
        <v>14</v>
      </c>
      <c r="D23" s="2">
        <v>4.5936078764877797</v>
      </c>
      <c r="E23" s="2">
        <v>25.052314475392699</v>
      </c>
      <c r="F23" s="1">
        <f>Table22[[#This Row],[ARIMAPP]]*$N$5+Table22[[#This Row],[LSTMPP]]*$N$6</f>
        <v>15.78027491188114</v>
      </c>
      <c r="G23" s="1">
        <f>Table22[[#This Row],[PP]]/$N$2</f>
        <v>0.78901374559405701</v>
      </c>
      <c r="H23" s="2">
        <v>18</v>
      </c>
      <c r="I23" s="2">
        <f>Table22[[#This Row],[PPG]]*Table22[[#This Row],[Plays]]</f>
        <v>14.202247420693027</v>
      </c>
      <c r="J23" s="2">
        <v>84</v>
      </c>
      <c r="K23" s="6">
        <f>Table22[[#This Row],[APP]]/Table22[[#This Row],[Plays]]</f>
        <v>4.666666666666667</v>
      </c>
    </row>
    <row r="24" spans="1:11" x14ac:dyDescent="0.3">
      <c r="A24" s="4" t="s">
        <v>66</v>
      </c>
      <c r="B24" s="4" t="s">
        <v>5</v>
      </c>
      <c r="C24" s="4" t="s">
        <v>14</v>
      </c>
      <c r="D24" s="4">
        <v>82.6187855156643</v>
      </c>
      <c r="E24" s="4">
        <v>150.49011866630201</v>
      </c>
      <c r="F24" s="1">
        <f>Table22[[#This Row],[ARIMAPP]]*$N$5+Table22[[#This Row],[LSTMPP]]*$N$6</f>
        <v>118.13991824670495</v>
      </c>
      <c r="G24" s="4">
        <f>Table22[[#This Row],[PP]]/$N$2</f>
        <v>5.9069959123352476</v>
      </c>
      <c r="H24" s="4">
        <v>19</v>
      </c>
      <c r="I24" s="4">
        <f>Table22[[#This Row],[PPG]]*Table22[[#This Row],[Plays]]</f>
        <v>112.2329223343697</v>
      </c>
      <c r="J24" s="4">
        <v>69</v>
      </c>
      <c r="K24" s="8">
        <f>Table22[[#This Row],[APP]]/Table22[[#This Row],[Plays]]</f>
        <v>3.6315789473684212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A27A-F3C6-40CB-A84D-06F0C4FA370D}">
  <dimension ref="A1:N23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69</v>
      </c>
      <c r="B2" s="1" t="s">
        <v>4</v>
      </c>
      <c r="C2" s="1" t="s">
        <v>70</v>
      </c>
      <c r="D2" s="1">
        <v>0.30943752475148401</v>
      </c>
      <c r="E2" s="1">
        <v>24.6634867302167</v>
      </c>
      <c r="F2" s="1">
        <f>Table23[[#This Row],[ARIMAPP]]*$N$5+Table23[[#This Row],[LSTMPP]]*$N$6</f>
        <v>10.439163162408189</v>
      </c>
      <c r="G2" s="1">
        <f>Table23[[#This Row],[PP]]/$N$2</f>
        <v>0.52195815812040947</v>
      </c>
      <c r="H2" s="1">
        <v>1</v>
      </c>
      <c r="I2" s="1">
        <f>Table23[[#This Row],[PPG]]*Table23[[#This Row],[Plays]]</f>
        <v>0.52195815812040947</v>
      </c>
      <c r="J2" s="1">
        <v>1</v>
      </c>
      <c r="K2" s="11">
        <f>Table23[[#This Row],[APP]]/Table23[[#This Row],[Plays]]</f>
        <v>1</v>
      </c>
      <c r="M2" t="s">
        <v>846</v>
      </c>
      <c r="N2">
        <v>20</v>
      </c>
    </row>
    <row r="3" spans="1:14" x14ac:dyDescent="0.3">
      <c r="A3" s="2" t="s">
        <v>74</v>
      </c>
      <c r="B3" s="2" t="s">
        <v>6</v>
      </c>
      <c r="C3" s="2" t="s">
        <v>70</v>
      </c>
      <c r="D3" s="2">
        <v>16.2380170799449</v>
      </c>
      <c r="E3" s="2">
        <v>72.739062116862897</v>
      </c>
      <c r="F3" s="1">
        <f>Table23[[#This Row],[ARIMAPP]]*$N$5+Table23[[#This Row],[LSTMPP]]*$N$6</f>
        <v>36.007430818010285</v>
      </c>
      <c r="G3" s="1">
        <f>Table23[[#This Row],[PP]]/$N$2</f>
        <v>1.8003715409005143</v>
      </c>
      <c r="H3" s="2">
        <v>6</v>
      </c>
      <c r="I3" s="2">
        <f>Table23[[#This Row],[PPG]]*Table23[[#This Row],[Plays]]</f>
        <v>10.802229245403087</v>
      </c>
      <c r="J3" s="2">
        <v>10</v>
      </c>
      <c r="K3" s="10">
        <f>Table23[[#This Row],[APP]]/Table23[[#This Row],[Plays]]</f>
        <v>1.6666666666666667</v>
      </c>
    </row>
    <row r="4" spans="1:14" x14ac:dyDescent="0.3">
      <c r="A4" s="1" t="s">
        <v>76</v>
      </c>
      <c r="B4" s="1" t="s">
        <v>6</v>
      </c>
      <c r="C4" s="1" t="s">
        <v>70</v>
      </c>
      <c r="D4" s="1">
        <v>9.1434478254826406</v>
      </c>
      <c r="E4" s="1">
        <v>74.680248448200004</v>
      </c>
      <c r="F4" s="1">
        <f>Table23[[#This Row],[ARIMAPP]]*$N$5+Table23[[#This Row],[LSTMPP]]*$N$6</f>
        <v>34.40446152685027</v>
      </c>
      <c r="G4" s="1">
        <f>Table23[[#This Row],[PP]]/$N$2</f>
        <v>1.7202230763425135</v>
      </c>
      <c r="H4" s="1">
        <v>6</v>
      </c>
      <c r="I4" s="1">
        <f>Table23[[#This Row],[PPG]]*Table23[[#This Row],[Plays]]</f>
        <v>10.321338458055081</v>
      </c>
      <c r="J4" s="1">
        <v>8</v>
      </c>
      <c r="K4" s="10">
        <f>Table23[[#This Row],[APP]]/Table23[[#This Row],[Plays]]</f>
        <v>1.3333333333333333</v>
      </c>
    </row>
    <row r="5" spans="1:14" x14ac:dyDescent="0.3">
      <c r="A5" s="2" t="s">
        <v>78</v>
      </c>
      <c r="B5" s="2" t="s">
        <v>6</v>
      </c>
      <c r="C5" s="2" t="s">
        <v>70</v>
      </c>
      <c r="D5" s="2">
        <v>55.381561259239398</v>
      </c>
      <c r="E5" s="2">
        <v>88.137968176903996</v>
      </c>
      <c r="F5" s="1">
        <f>Table23[[#This Row],[ARIMAPP]]*$N$5+Table23[[#This Row],[LSTMPP]]*$N$6</f>
        <v>55.791159455622108</v>
      </c>
      <c r="G5" s="1">
        <f>Table23[[#This Row],[PP]]/$N$2</f>
        <v>2.7895579727811053</v>
      </c>
      <c r="H5" s="2">
        <v>17</v>
      </c>
      <c r="I5" s="2">
        <f>Table23[[#This Row],[PPG]]*Table23[[#This Row],[Plays]]</f>
        <v>47.422485537278789</v>
      </c>
      <c r="J5" s="2">
        <v>61</v>
      </c>
      <c r="K5" s="10">
        <f>Table23[[#This Row],[APP]]/Table23[[#This Row],[Plays]]</f>
        <v>3.5882352941176472</v>
      </c>
      <c r="M5" t="s">
        <v>9</v>
      </c>
      <c r="N5">
        <v>0.34058564394025431</v>
      </c>
    </row>
    <row r="6" spans="1:14" x14ac:dyDescent="0.3">
      <c r="A6" s="1" t="s">
        <v>80</v>
      </c>
      <c r="B6" s="1" t="s">
        <v>5</v>
      </c>
      <c r="C6" s="1" t="s">
        <v>70</v>
      </c>
      <c r="D6" s="1">
        <v>17.2954115329808</v>
      </c>
      <c r="E6" s="1">
        <v>36.564068930795401</v>
      </c>
      <c r="F6" s="1">
        <f>Table23[[#This Row],[ARIMAPP]]*$N$5+Table23[[#This Row],[LSTMPP]]*$N$6</f>
        <v>21.210576103485131</v>
      </c>
      <c r="G6" s="1">
        <f>Table23[[#This Row],[PP]]/$N$2</f>
        <v>1.0605288051742565</v>
      </c>
      <c r="H6" s="1">
        <v>6</v>
      </c>
      <c r="I6" s="1">
        <f>Table23[[#This Row],[PPG]]*Table23[[#This Row],[Plays]]</f>
        <v>6.3631728310455387</v>
      </c>
      <c r="J6" s="1">
        <v>19</v>
      </c>
      <c r="K6" s="10">
        <f>Table23[[#This Row],[APP]]/Table23[[#This Row],[Plays]]</f>
        <v>3.1666666666666665</v>
      </c>
      <c r="M6" t="s">
        <v>10</v>
      </c>
      <c r="N6">
        <v>0.41899076545089253</v>
      </c>
    </row>
    <row r="7" spans="1:14" x14ac:dyDescent="0.3">
      <c r="A7" s="2" t="s">
        <v>83</v>
      </c>
      <c r="B7" s="2" t="s">
        <v>6</v>
      </c>
      <c r="C7" s="2" t="s">
        <v>70</v>
      </c>
      <c r="D7" s="2">
        <v>17.122148333368301</v>
      </c>
      <c r="E7" s="2">
        <v>69.094380334105097</v>
      </c>
      <c r="F7" s="1">
        <f>Table23[[#This Row],[ARIMAPP]]*$N$5+Table23[[#This Row],[LSTMPP]]*$N$6</f>
        <v>34.781465220302586</v>
      </c>
      <c r="G7" s="1">
        <f>Table23[[#This Row],[PP]]/$N$2</f>
        <v>1.7390732610151294</v>
      </c>
      <c r="H7" s="2">
        <v>1</v>
      </c>
      <c r="I7" s="2">
        <f>Table23[[#This Row],[PPG]]*Table23[[#This Row],[Plays]]</f>
        <v>1.7390732610151294</v>
      </c>
      <c r="J7" s="2">
        <v>1</v>
      </c>
      <c r="K7" s="10">
        <f>Table23[[#This Row],[APP]]/Table23[[#This Row],[Plays]]</f>
        <v>1</v>
      </c>
    </row>
    <row r="8" spans="1:14" x14ac:dyDescent="0.3">
      <c r="A8" s="1" t="s">
        <v>85</v>
      </c>
      <c r="B8" s="1" t="s">
        <v>5</v>
      </c>
      <c r="C8" s="1" t="s">
        <v>70</v>
      </c>
      <c r="D8" s="1">
        <v>69.136363636363598</v>
      </c>
      <c r="E8" s="1">
        <v>64.459702878309599</v>
      </c>
      <c r="F8" s="1">
        <f>Table23[[#This Row],[ARIMAPP]]*$N$5+Table23[[#This Row],[LSTMPP]]*$N$6</f>
        <v>50.554873178498518</v>
      </c>
      <c r="G8" s="1">
        <f>Table23[[#This Row],[PP]]/$N$2</f>
        <v>2.5277436589249258</v>
      </c>
      <c r="H8" s="1">
        <v>18</v>
      </c>
      <c r="I8" s="1">
        <f>Table23[[#This Row],[PPG]]*Table23[[#This Row],[Plays]]</f>
        <v>45.499385860648665</v>
      </c>
      <c r="J8" s="1">
        <v>61</v>
      </c>
      <c r="K8" s="10">
        <f>Table23[[#This Row],[APP]]/Table23[[#This Row],[Plays]]</f>
        <v>3.3888888888888888</v>
      </c>
      <c r="M8" t="s">
        <v>849</v>
      </c>
      <c r="N8" cm="1">
        <f t="array" ref="N8">(SUM(Table23[Tot]-Table23[APP]))^2</f>
        <v>1.3915506368098648E-27</v>
      </c>
    </row>
    <row r="9" spans="1:14" x14ac:dyDescent="0.3">
      <c r="A9" s="2" t="s">
        <v>87</v>
      </c>
      <c r="B9" s="2" t="s">
        <v>5</v>
      </c>
      <c r="C9" s="2" t="s">
        <v>70</v>
      </c>
      <c r="D9" s="2">
        <v>51.773525566688399</v>
      </c>
      <c r="E9" s="2">
        <v>87.765276283089804</v>
      </c>
      <c r="F9" s="1">
        <f>Table23[[#This Row],[ARIMAPP]]*$N$5+Table23[[#This Row],[LSTMPP]]*$N$6</f>
        <v>54.406159834048651</v>
      </c>
      <c r="G9" s="1">
        <f>Table23[[#This Row],[PP]]/$N$2</f>
        <v>2.7203079917024326</v>
      </c>
      <c r="H9" s="2">
        <v>17</v>
      </c>
      <c r="I9" s="2">
        <f>Table23[[#This Row],[PPG]]*Table23[[#This Row],[Plays]]</f>
        <v>46.245235858941356</v>
      </c>
      <c r="J9" s="2">
        <v>48</v>
      </c>
      <c r="K9" s="10">
        <f>Table23[[#This Row],[APP]]/Table23[[#This Row],[Plays]]</f>
        <v>2.8235294117647061</v>
      </c>
    </row>
    <row r="10" spans="1:14" x14ac:dyDescent="0.3">
      <c r="A10" s="1" t="s">
        <v>89</v>
      </c>
      <c r="B10" s="1" t="s">
        <v>7</v>
      </c>
      <c r="C10" s="1" t="s">
        <v>70</v>
      </c>
      <c r="D10" s="1">
        <v>157.74509792992001</v>
      </c>
      <c r="E10" s="1">
        <v>96.751721095749502</v>
      </c>
      <c r="F10" s="1">
        <f>Table23[[#This Row],[ARIMAPP]]*$N$5+Table23[[#This Row],[LSTMPP]]*$N$6</f>
        <v>94.263793437479634</v>
      </c>
      <c r="G10" s="1">
        <f>Table23[[#This Row],[PP]]/$N$2</f>
        <v>4.7131896718739821</v>
      </c>
      <c r="H10" s="1">
        <v>17</v>
      </c>
      <c r="I10" s="1">
        <f>Table23[[#This Row],[PPG]]*Table23[[#This Row],[Plays]]</f>
        <v>80.12422442185769</v>
      </c>
      <c r="J10" s="1">
        <v>65</v>
      </c>
      <c r="K10" s="10">
        <f>Table23[[#This Row],[APP]]/Table23[[#This Row],[Plays]]</f>
        <v>3.8235294117647061</v>
      </c>
    </row>
    <row r="11" spans="1:14" x14ac:dyDescent="0.3">
      <c r="A11" s="2" t="s">
        <v>91</v>
      </c>
      <c r="B11" s="2" t="s">
        <v>6</v>
      </c>
      <c r="C11" s="2" t="s">
        <v>70</v>
      </c>
      <c r="D11" s="2">
        <v>23.0757576686586</v>
      </c>
      <c r="E11" s="2">
        <v>36.414242709422098</v>
      </c>
      <c r="F11" s="1">
        <f>Table23[[#This Row],[ARIMAPP]]*$N$5+Table23[[#This Row],[LSTMPP]]*$N$6</f>
        <v>23.116503211124698</v>
      </c>
      <c r="G11" s="1">
        <f>Table23[[#This Row],[PP]]/$N$2</f>
        <v>1.1558251605562349</v>
      </c>
      <c r="H11" s="2">
        <v>12</v>
      </c>
      <c r="I11" s="2">
        <f>Table23[[#This Row],[PPG]]*Table23[[#This Row],[Plays]]</f>
        <v>13.869901926674817</v>
      </c>
      <c r="J11" s="2">
        <v>16</v>
      </c>
      <c r="K11" s="10">
        <f>Table23[[#This Row],[APP]]/Table23[[#This Row],[Plays]]</f>
        <v>1.3333333333333333</v>
      </c>
    </row>
    <row r="12" spans="1:14" x14ac:dyDescent="0.3">
      <c r="A12" s="1" t="s">
        <v>93</v>
      </c>
      <c r="B12" s="1" t="s">
        <v>6</v>
      </c>
      <c r="C12" s="1" t="s">
        <v>70</v>
      </c>
      <c r="D12" s="1">
        <v>45.314034202214501</v>
      </c>
      <c r="E12" s="1">
        <v>165.65764055609901</v>
      </c>
      <c r="F12" s="1">
        <f>Table23[[#This Row],[ARIMAPP]]*$N$5+Table23[[#This Row],[LSTMPP]]*$N$6</f>
        <v>84.842331137680674</v>
      </c>
      <c r="G12" s="1">
        <f>Table23[[#This Row],[PP]]/$N$2</f>
        <v>4.2421165568840333</v>
      </c>
      <c r="H12" s="1">
        <v>18</v>
      </c>
      <c r="I12" s="1">
        <f>Table23[[#This Row],[PPG]]*Table23[[#This Row],[Plays]]</f>
        <v>76.358098023912603</v>
      </c>
      <c r="J12" s="1">
        <v>51</v>
      </c>
      <c r="K12" s="10">
        <f>Table23[[#This Row],[APP]]/Table23[[#This Row],[Plays]]</f>
        <v>2.8333333333333335</v>
      </c>
    </row>
    <row r="13" spans="1:14" x14ac:dyDescent="0.3">
      <c r="A13" s="2" t="s">
        <v>95</v>
      </c>
      <c r="B13" s="2" t="s">
        <v>5</v>
      </c>
      <c r="C13" s="2" t="s">
        <v>70</v>
      </c>
      <c r="D13" s="2">
        <v>120.117647058823</v>
      </c>
      <c r="E13" s="2">
        <v>80.176761706446001</v>
      </c>
      <c r="F13" s="1">
        <f>Table23[[#This Row],[ARIMAPP]]*$N$5+Table23[[#This Row],[LSTMPP]]*$N$6</f>
        <v>74.503668930875037</v>
      </c>
      <c r="G13" s="1">
        <f>Table23[[#This Row],[PP]]/$N$2</f>
        <v>3.7251834465437517</v>
      </c>
      <c r="H13" s="2">
        <v>20</v>
      </c>
      <c r="I13" s="2">
        <f>Table23[[#This Row],[PPG]]*Table23[[#This Row],[Plays]]</f>
        <v>74.503668930875037</v>
      </c>
      <c r="J13" s="2">
        <v>59</v>
      </c>
      <c r="K13" s="10">
        <f>Table23[[#This Row],[APP]]/Table23[[#This Row],[Plays]]</f>
        <v>2.95</v>
      </c>
    </row>
    <row r="14" spans="1:14" x14ac:dyDescent="0.3">
      <c r="A14" s="1" t="s">
        <v>98</v>
      </c>
      <c r="B14" s="1" t="s">
        <v>5</v>
      </c>
      <c r="C14" s="1" t="s">
        <v>70</v>
      </c>
      <c r="D14" s="1">
        <v>47.058444244906397</v>
      </c>
      <c r="E14" s="1">
        <v>60.698163422473698</v>
      </c>
      <c r="F14" s="1">
        <f>Table23[[#This Row],[ARIMAPP]]*$N$5+Table23[[#This Row],[LSTMPP]]*$N$6</f>
        <v>41.459400489823622</v>
      </c>
      <c r="G14" s="1">
        <f>Table23[[#This Row],[PP]]/$N$2</f>
        <v>2.0729700244911813</v>
      </c>
      <c r="H14" s="1">
        <v>19</v>
      </c>
      <c r="I14" s="1">
        <f>Table23[[#This Row],[PPG]]*Table23[[#This Row],[Plays]]</f>
        <v>39.386430465332445</v>
      </c>
      <c r="J14" s="1">
        <v>55</v>
      </c>
      <c r="K14" s="10">
        <f>Table23[[#This Row],[APP]]/Table23[[#This Row],[Plays]]</f>
        <v>2.8947368421052633</v>
      </c>
    </row>
    <row r="15" spans="1:14" x14ac:dyDescent="0.3">
      <c r="A15" s="2" t="s">
        <v>99</v>
      </c>
      <c r="B15" s="2" t="s">
        <v>6</v>
      </c>
      <c r="C15" s="2" t="s">
        <v>70</v>
      </c>
      <c r="D15" s="2">
        <v>43.432504077672</v>
      </c>
      <c r="E15" s="2">
        <v>78.6737873999665</v>
      </c>
      <c r="F15" s="1">
        <f>Table23[[#This Row],[ARIMAPP]]*$N$5+Table23[[#This Row],[LSTMPP]]*$N$6</f>
        <v>47.756077772864387</v>
      </c>
      <c r="G15" s="1">
        <f>Table23[[#This Row],[PP]]/$N$2</f>
        <v>2.3878038886432194</v>
      </c>
      <c r="H15" s="2">
        <v>16</v>
      </c>
      <c r="I15" s="2">
        <f>Table23[[#This Row],[PPG]]*Table23[[#This Row],[Plays]]</f>
        <v>38.20486221829151</v>
      </c>
      <c r="J15" s="2">
        <v>43</v>
      </c>
      <c r="K15" s="10">
        <f>Table23[[#This Row],[APP]]/Table23[[#This Row],[Plays]]</f>
        <v>2.6875</v>
      </c>
    </row>
    <row r="16" spans="1:14" x14ac:dyDescent="0.3">
      <c r="A16" s="1" t="s">
        <v>102</v>
      </c>
      <c r="B16" s="1" t="s">
        <v>6</v>
      </c>
      <c r="C16" s="1" t="s">
        <v>70</v>
      </c>
      <c r="D16" s="1">
        <v>21.100235413173198</v>
      </c>
      <c r="E16" s="1">
        <v>64.955895064638895</v>
      </c>
      <c r="F16" s="1">
        <f>Table23[[#This Row],[ARIMAPP]]*$N$5+Table23[[#This Row],[LSTMPP]]*$N$6</f>
        <v>34.402357459167455</v>
      </c>
      <c r="G16" s="1">
        <f>Table23[[#This Row],[PP]]/$N$2</f>
        <v>1.7201178729583728</v>
      </c>
      <c r="H16" s="1">
        <v>18</v>
      </c>
      <c r="I16" s="1">
        <f>Table23[[#This Row],[PPG]]*Table23[[#This Row],[Plays]]</f>
        <v>30.96212171325071</v>
      </c>
      <c r="J16" s="1">
        <v>55</v>
      </c>
      <c r="K16" s="10">
        <f>Table23[[#This Row],[APP]]/Table23[[#This Row],[Plays]]</f>
        <v>3.0555555555555554</v>
      </c>
    </row>
    <row r="17" spans="1:11" x14ac:dyDescent="0.3">
      <c r="A17" s="2" t="s">
        <v>104</v>
      </c>
      <c r="B17" s="2" t="s">
        <v>5</v>
      </c>
      <c r="C17" s="2" t="s">
        <v>70</v>
      </c>
      <c r="D17" s="2">
        <v>18.673794853790699</v>
      </c>
      <c r="E17" s="2">
        <v>53.120246048768401</v>
      </c>
      <c r="F17" s="1">
        <f>Table23[[#This Row],[ARIMAPP]]*$N$5+Table23[[#This Row],[LSTMPP]]*$N$6</f>
        <v>28.616918997999733</v>
      </c>
      <c r="G17" s="1">
        <f>Table23[[#This Row],[PP]]/$N$2</f>
        <v>1.4308459498999866</v>
      </c>
      <c r="H17" s="2">
        <v>12</v>
      </c>
      <c r="I17" s="2">
        <f>Table23[[#This Row],[PPG]]*Table23[[#This Row],[Plays]]</f>
        <v>17.170151398799838</v>
      </c>
      <c r="J17" s="2">
        <v>30</v>
      </c>
      <c r="K17" s="10">
        <f>Table23[[#This Row],[APP]]/Table23[[#This Row],[Plays]]</f>
        <v>2.5</v>
      </c>
    </row>
    <row r="18" spans="1:11" x14ac:dyDescent="0.3">
      <c r="A18" s="1" t="s">
        <v>105</v>
      </c>
      <c r="B18" s="1" t="s">
        <v>5</v>
      </c>
      <c r="C18" s="1" t="s">
        <v>70</v>
      </c>
      <c r="D18" s="1">
        <v>96.909091087992095</v>
      </c>
      <c r="E18" s="1">
        <v>83.478125049713</v>
      </c>
      <c r="F18" s="1">
        <f>Table23[[#This Row],[ARIMAPP]]*$N$5+Table23[[#This Row],[LSTMPP]]*$N$6</f>
        <v>67.982408704853128</v>
      </c>
      <c r="G18" s="1">
        <f>Table23[[#This Row],[PP]]/$N$2</f>
        <v>3.3991204352426565</v>
      </c>
      <c r="H18" s="1">
        <v>15</v>
      </c>
      <c r="I18" s="1">
        <f>Table23[[#This Row],[PPG]]*Table23[[#This Row],[Plays]]</f>
        <v>50.986806528639846</v>
      </c>
      <c r="J18" s="1">
        <v>27</v>
      </c>
      <c r="K18" s="10">
        <f>Table23[[#This Row],[APP]]/Table23[[#This Row],[Plays]]</f>
        <v>1.8</v>
      </c>
    </row>
    <row r="19" spans="1:11" x14ac:dyDescent="0.3">
      <c r="A19" s="2" t="s">
        <v>107</v>
      </c>
      <c r="B19" s="2" t="s">
        <v>7</v>
      </c>
      <c r="C19" s="2" t="s">
        <v>70</v>
      </c>
      <c r="D19" s="2">
        <v>80.461294119595394</v>
      </c>
      <c r="E19" s="2">
        <v>93.783249762825704</v>
      </c>
      <c r="F19" s="1">
        <f>Table23[[#This Row],[ARIMAPP]]*$N$5+Table23[[#This Row],[LSTMPP]]*$N$6</f>
        <v>66.69827727458717</v>
      </c>
      <c r="G19" s="1">
        <f>Table23[[#This Row],[PP]]/$N$2</f>
        <v>3.3349138637293585</v>
      </c>
      <c r="H19" s="2">
        <v>15</v>
      </c>
      <c r="I19" s="2">
        <f>Table23[[#This Row],[PPG]]*Table23[[#This Row],[Plays]]</f>
        <v>50.023707955940381</v>
      </c>
      <c r="J19" s="2">
        <v>55</v>
      </c>
      <c r="K19" s="10">
        <f>Table23[[#This Row],[APP]]/Table23[[#This Row],[Plays]]</f>
        <v>3.6666666666666665</v>
      </c>
    </row>
    <row r="20" spans="1:11" x14ac:dyDescent="0.3">
      <c r="A20" s="1" t="s">
        <v>109</v>
      </c>
      <c r="B20" s="1" t="s">
        <v>6</v>
      </c>
      <c r="C20" s="1" t="s">
        <v>70</v>
      </c>
      <c r="D20" s="1">
        <v>126.818418443311</v>
      </c>
      <c r="E20" s="1">
        <v>141.455586431889</v>
      </c>
      <c r="F20" s="1">
        <f>Table23[[#This Row],[ARIMAPP]]*$N$5+Table23[[#This Row],[LSTMPP]]*$N$6</f>
        <v>102.46111714540176</v>
      </c>
      <c r="G20" s="1">
        <f>Table23[[#This Row],[PP]]/$N$2</f>
        <v>5.1230558572700877</v>
      </c>
      <c r="H20" s="1">
        <v>9</v>
      </c>
      <c r="I20" s="1">
        <f>Table23[[#This Row],[PPG]]*Table23[[#This Row],[Plays]]</f>
        <v>46.10750271543079</v>
      </c>
      <c r="J20" s="1">
        <v>27</v>
      </c>
      <c r="K20" s="10">
        <f>Table23[[#This Row],[APP]]/Table23[[#This Row],[Plays]]</f>
        <v>3</v>
      </c>
    </row>
    <row r="21" spans="1:11" x14ac:dyDescent="0.3">
      <c r="A21" s="2" t="s">
        <v>111</v>
      </c>
      <c r="B21" s="2" t="s">
        <v>6</v>
      </c>
      <c r="C21" s="2" t="s">
        <v>70</v>
      </c>
      <c r="D21" s="2">
        <v>3.42857137049617</v>
      </c>
      <c r="E21" s="2">
        <v>85.067203669356104</v>
      </c>
      <c r="F21" s="1">
        <f>Table23[[#This Row],[ARIMAPP]]*$N$5+Table23[[#This Row],[LSTMPP]]*$N$6</f>
        <v>36.810094968206045</v>
      </c>
      <c r="G21" s="1">
        <f>Table23[[#This Row],[PP]]/$N$2</f>
        <v>1.8405047484103023</v>
      </c>
      <c r="H21" s="2">
        <v>1</v>
      </c>
      <c r="I21" s="2">
        <f>Table23[[#This Row],[PPG]]*Table23[[#This Row],[Plays]]</f>
        <v>1.8405047484103023</v>
      </c>
      <c r="J21" s="2">
        <v>1</v>
      </c>
      <c r="K21" s="10">
        <f>Table23[[#This Row],[APP]]/Table23[[#This Row],[Plays]]</f>
        <v>1</v>
      </c>
    </row>
    <row r="22" spans="1:11" x14ac:dyDescent="0.3">
      <c r="A22" s="1" t="s">
        <v>113</v>
      </c>
      <c r="B22" s="1" t="s">
        <v>6</v>
      </c>
      <c r="C22" s="1" t="s">
        <v>70</v>
      </c>
      <c r="D22" s="1">
        <v>3.33010926661788</v>
      </c>
      <c r="E22" s="1">
        <v>79.611333132951799</v>
      </c>
      <c r="F22" s="1">
        <f>Table23[[#This Row],[ARIMAPP]]*$N$5+Table23[[#This Row],[LSTMPP]]*$N$6</f>
        <v>34.490600816903935</v>
      </c>
      <c r="G22" s="1">
        <f>Table23[[#This Row],[PP]]/$N$2</f>
        <v>1.7245300408451967</v>
      </c>
      <c r="H22" s="1">
        <v>6</v>
      </c>
      <c r="I22" s="1">
        <f>Table23[[#This Row],[PPG]]*Table23[[#This Row],[Plays]]</f>
        <v>10.347180245071179</v>
      </c>
      <c r="J22" s="1">
        <v>10</v>
      </c>
      <c r="K22" s="10">
        <f>Table23[[#This Row],[APP]]/Table23[[#This Row],[Plays]]</f>
        <v>1.6666666666666667</v>
      </c>
    </row>
    <row r="23" spans="1:11" x14ac:dyDescent="0.3">
      <c r="A23" s="5" t="s">
        <v>115</v>
      </c>
      <c r="B23" s="5" t="s">
        <v>7</v>
      </c>
      <c r="C23" s="5" t="s">
        <v>70</v>
      </c>
      <c r="D23" s="5">
        <v>5.9341921007674898</v>
      </c>
      <c r="E23" s="5">
        <v>109.736617447039</v>
      </c>
      <c r="F23" s="1">
        <f>Table23[[#This Row],[ARIMAPP]]*$N$5+Table23[[#This Row],[LSTMPP]]*$N$6</f>
        <v>47.999729980031702</v>
      </c>
      <c r="G23" s="4">
        <f>Table23[[#This Row],[PP]]/$N$2</f>
        <v>2.3999864990015851</v>
      </c>
      <c r="H23" s="5">
        <v>3</v>
      </c>
      <c r="I23" s="5">
        <f>Table23[[#This Row],[PPG]]*Table23[[#This Row],[Plays]]</f>
        <v>7.1999594970047553</v>
      </c>
      <c r="J23" s="5">
        <v>3</v>
      </c>
      <c r="K23" s="12">
        <f>Table23[[#This Row],[APP]]/Table23[[#This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1857-2377-4A18-A649-9756F0E04110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119</v>
      </c>
      <c r="B2" s="1" t="s">
        <v>5</v>
      </c>
      <c r="C2" s="1" t="s">
        <v>120</v>
      </c>
      <c r="D2" s="1">
        <v>70.243770981229204</v>
      </c>
      <c r="E2" s="1">
        <v>172.637237227133</v>
      </c>
      <c r="F2" s="1">
        <f>Table25[[#This Row],[ARIMAPP]]*$N$5+Table25[[#This Row],[LSTMPP]]*$N$6</f>
        <v>64.338714891920603</v>
      </c>
      <c r="G2" s="1">
        <f>Table25[[#This Row],[PP]]/$N$2</f>
        <v>3.0637483281866955</v>
      </c>
      <c r="H2" s="1">
        <v>21</v>
      </c>
      <c r="I2" s="1">
        <f>Table25[[#This Row],[PPG]]*Table25[[#This Row],[Plays]]</f>
        <v>64.338714891920603</v>
      </c>
      <c r="J2" s="1">
        <v>65</v>
      </c>
      <c r="K2" s="11">
        <f>Table25[[#This Row],[APP]]/Table25[[#This Row],[Plays]]</f>
        <v>3.0952380952380953</v>
      </c>
      <c r="M2" t="s">
        <v>846</v>
      </c>
      <c r="N2">
        <v>21</v>
      </c>
    </row>
    <row r="3" spans="1:14" x14ac:dyDescent="0.3">
      <c r="A3" s="2" t="s">
        <v>122</v>
      </c>
      <c r="B3" s="2" t="s">
        <v>6</v>
      </c>
      <c r="C3" s="2" t="s">
        <v>120</v>
      </c>
      <c r="D3" s="2">
        <v>36.959203226236703</v>
      </c>
      <c r="E3" s="2">
        <v>159.86895431434101</v>
      </c>
      <c r="F3" s="1">
        <f>Table25[[#This Row],[ARIMAPP]]*$N$5+Table25[[#This Row],[LSTMPP]]*$N$6</f>
        <v>59.580211296866587</v>
      </c>
      <c r="G3" s="1">
        <f>Table25[[#This Row],[PP]]/$N$2</f>
        <v>2.837152918898409</v>
      </c>
      <c r="H3" s="2">
        <v>20</v>
      </c>
      <c r="I3" s="2">
        <f>Table25[[#This Row],[PPG]]*Table25[[#This Row],[Plays]]</f>
        <v>56.743058377968183</v>
      </c>
      <c r="J3" s="2">
        <v>48</v>
      </c>
      <c r="K3" s="10">
        <f>Table25[[#This Row],[APP]]/Table25[[#This Row],[Plays]]</f>
        <v>2.4</v>
      </c>
    </row>
    <row r="4" spans="1:14" x14ac:dyDescent="0.3">
      <c r="A4" s="1" t="s">
        <v>124</v>
      </c>
      <c r="B4" s="1" t="s">
        <v>7</v>
      </c>
      <c r="C4" s="1" t="s">
        <v>120</v>
      </c>
      <c r="D4" s="1">
        <v>252.27597530635899</v>
      </c>
      <c r="E4" s="1">
        <v>173.28320937391899</v>
      </c>
      <c r="F4" s="1">
        <f>Table25[[#This Row],[ARIMAPP]]*$N$5+Table25[[#This Row],[LSTMPP]]*$N$6</f>
        <v>64.579456799331368</v>
      </c>
      <c r="G4" s="1">
        <f>Table25[[#This Row],[PP]]/$N$2</f>
        <v>3.0752122285395891</v>
      </c>
      <c r="H4" s="1">
        <v>19</v>
      </c>
      <c r="I4" s="1">
        <f>Table25[[#This Row],[PPG]]*Table25[[#This Row],[Plays]]</f>
        <v>58.429032342252192</v>
      </c>
      <c r="J4" s="1">
        <v>62</v>
      </c>
      <c r="K4" s="10">
        <f>Table25[[#This Row],[APP]]/Table25[[#This Row],[Plays]]</f>
        <v>3.263157894736842</v>
      </c>
    </row>
    <row r="5" spans="1:14" x14ac:dyDescent="0.3">
      <c r="A5" s="2" t="s">
        <v>127</v>
      </c>
      <c r="B5" s="2" t="s">
        <v>4</v>
      </c>
      <c r="C5" s="2" t="s">
        <v>120</v>
      </c>
      <c r="D5" s="2">
        <v>-12.5420695465411</v>
      </c>
      <c r="E5" s="2">
        <v>140.78720615831901</v>
      </c>
      <c r="F5" s="1">
        <f>Table25[[#This Row],[ARIMAPP]]*$N$5+Table25[[#This Row],[LSTMPP]]*$N$6</f>
        <v>52.468795625666438</v>
      </c>
      <c r="G5" s="1">
        <f>Table25[[#This Row],[PP]]/$N$2</f>
        <v>2.4985140774126875</v>
      </c>
      <c r="H5" s="2">
        <v>9</v>
      </c>
      <c r="I5" s="2">
        <f>Table25[[#This Row],[PPG]]*Table25[[#This Row],[Plays]]</f>
        <v>22.486626696714186</v>
      </c>
      <c r="J5" s="2">
        <v>34</v>
      </c>
      <c r="K5" s="10">
        <f>Table25[[#This Row],[APP]]/Table25[[#This Row],[Plays]]</f>
        <v>3.7777777777777777</v>
      </c>
      <c r="M5" t="s">
        <v>9</v>
      </c>
      <c r="N5">
        <v>0</v>
      </c>
    </row>
    <row r="6" spans="1:14" x14ac:dyDescent="0.3">
      <c r="A6" s="1" t="s">
        <v>129</v>
      </c>
      <c r="B6" s="1" t="s">
        <v>6</v>
      </c>
      <c r="C6" s="1" t="s">
        <v>120</v>
      </c>
      <c r="D6" s="1">
        <v>63.0209439206197</v>
      </c>
      <c r="E6" s="1">
        <v>160.58863941810301</v>
      </c>
      <c r="F6" s="1">
        <f>Table25[[#This Row],[ARIMAPP]]*$N$5+Table25[[#This Row],[LSTMPP]]*$N$6</f>
        <v>59.848424664078813</v>
      </c>
      <c r="G6" s="1">
        <f>Table25[[#This Row],[PP]]/$N$2</f>
        <v>2.8499249840037528</v>
      </c>
      <c r="H6" s="1">
        <v>20</v>
      </c>
      <c r="I6" s="1">
        <f>Table25[[#This Row],[PPG]]*Table25[[#This Row],[Plays]]</f>
        <v>56.998499680075057</v>
      </c>
      <c r="J6" s="1">
        <v>59</v>
      </c>
      <c r="K6" s="10">
        <f>Table25[[#This Row],[APP]]/Table25[[#This Row],[Plays]]</f>
        <v>2.95</v>
      </c>
      <c r="M6" t="s">
        <v>10</v>
      </c>
      <c r="N6">
        <v>0.37268156004647085</v>
      </c>
    </row>
    <row r="7" spans="1:14" x14ac:dyDescent="0.3">
      <c r="A7" s="2" t="s">
        <v>131</v>
      </c>
      <c r="B7" s="2" t="s">
        <v>5</v>
      </c>
      <c r="C7" s="2" t="s">
        <v>120</v>
      </c>
      <c r="D7" s="2">
        <v>0</v>
      </c>
      <c r="E7" s="2">
        <v>163.711444865017</v>
      </c>
      <c r="F7" s="1">
        <f>Table25[[#This Row],[ARIMAPP]]*$N$5+Table25[[#This Row],[LSTMPP]]*$N$6</f>
        <v>61.012236669756334</v>
      </c>
      <c r="G7" s="1">
        <f>Table25[[#This Row],[PP]]/$N$2</f>
        <v>2.9053446033217303</v>
      </c>
      <c r="H7" s="2">
        <v>17</v>
      </c>
      <c r="I7" s="2">
        <f>Table25[[#This Row],[PPG]]*Table25[[#This Row],[Plays]]</f>
        <v>49.390858256469414</v>
      </c>
      <c r="J7" s="2">
        <v>55</v>
      </c>
      <c r="K7" s="10">
        <f>Table25[[#This Row],[APP]]/Table25[[#This Row],[Plays]]</f>
        <v>3.2352941176470589</v>
      </c>
    </row>
    <row r="8" spans="1:14" x14ac:dyDescent="0.3">
      <c r="A8" s="1" t="s">
        <v>133</v>
      </c>
      <c r="B8" s="1" t="s">
        <v>6</v>
      </c>
      <c r="C8" s="1" t="s">
        <v>120</v>
      </c>
      <c r="D8" s="1">
        <v>43.710683121536803</v>
      </c>
      <c r="E8" s="1">
        <v>153.387246998808</v>
      </c>
      <c r="F8" s="1">
        <f>Table25[[#This Row],[ARIMAPP]]*$N$5+Table25[[#This Row],[LSTMPP]]*$N$6</f>
        <v>57.164598502749115</v>
      </c>
      <c r="G8" s="1">
        <f>Table25[[#This Row],[PP]]/$N$2</f>
        <v>2.7221237382261485</v>
      </c>
      <c r="H8" s="1">
        <v>16</v>
      </c>
      <c r="I8" s="1">
        <f>Table25[[#This Row],[PPG]]*Table25[[#This Row],[Plays]]</f>
        <v>43.553979811618376</v>
      </c>
      <c r="J8" s="1">
        <v>47</v>
      </c>
      <c r="K8" s="10">
        <f>Table25[[#This Row],[APP]]/Table25[[#This Row],[Plays]]</f>
        <v>2.9375</v>
      </c>
      <c r="M8" t="s">
        <v>849</v>
      </c>
      <c r="N8" cm="1">
        <f t="array" ref="N8">(SUM(Table25[Tot]-Table25[APP]))^2</f>
        <v>8.0779356694631609E-28</v>
      </c>
    </row>
    <row r="9" spans="1:14" x14ac:dyDescent="0.3">
      <c r="A9" s="2" t="s">
        <v>135</v>
      </c>
      <c r="B9" s="2" t="s">
        <v>6</v>
      </c>
      <c r="C9" s="2" t="s">
        <v>120</v>
      </c>
      <c r="D9" s="2">
        <v>63.062105565096203</v>
      </c>
      <c r="E9" s="2">
        <v>144.55552437622799</v>
      </c>
      <c r="F9" s="1">
        <f>Table25[[#This Row],[ARIMAPP]]*$N$5+Table25[[#This Row],[LSTMPP]]*$N$6</f>
        <v>53.873178337868296</v>
      </c>
      <c r="G9" s="1">
        <f>Table25[[#This Row],[PP]]/$N$2</f>
        <v>2.5653894446603949</v>
      </c>
      <c r="H9" s="2">
        <v>11</v>
      </c>
      <c r="I9" s="2">
        <f>Table25[[#This Row],[PPG]]*Table25[[#This Row],[Plays]]</f>
        <v>28.219283891264343</v>
      </c>
      <c r="J9" s="2">
        <v>21</v>
      </c>
      <c r="K9" s="10">
        <f>Table25[[#This Row],[APP]]/Table25[[#This Row],[Plays]]</f>
        <v>1.9090909090909092</v>
      </c>
    </row>
    <row r="10" spans="1:14" x14ac:dyDescent="0.3">
      <c r="A10" s="1" t="s">
        <v>137</v>
      </c>
      <c r="B10" s="1" t="s">
        <v>6</v>
      </c>
      <c r="C10" s="1" t="s">
        <v>120</v>
      </c>
      <c r="D10" s="1">
        <v>316.48575698589099</v>
      </c>
      <c r="E10" s="1">
        <v>150.87165639017701</v>
      </c>
      <c r="F10" s="1">
        <f>Table25[[#This Row],[ARIMAPP]]*$N$5+Table25[[#This Row],[LSTMPP]]*$N$6</f>
        <v>56.227084270286269</v>
      </c>
      <c r="G10" s="1">
        <f>Table25[[#This Row],[PP]]/$N$2</f>
        <v>2.6774802033469651</v>
      </c>
      <c r="H10" s="1">
        <v>15</v>
      </c>
      <c r="I10" s="1">
        <f>Table25[[#This Row],[PPG]]*Table25[[#This Row],[Plays]]</f>
        <v>40.162203050204475</v>
      </c>
      <c r="J10" s="1">
        <v>28</v>
      </c>
      <c r="K10" s="10">
        <f>Table25[[#This Row],[APP]]/Table25[[#This Row],[Plays]]</f>
        <v>1.8666666666666667</v>
      </c>
    </row>
    <row r="11" spans="1:14" x14ac:dyDescent="0.3">
      <c r="A11" s="2" t="s">
        <v>138</v>
      </c>
      <c r="B11" s="2" t="s">
        <v>5</v>
      </c>
      <c r="C11" s="2" t="s">
        <v>120</v>
      </c>
      <c r="D11" s="2">
        <v>-3.4596052249790801</v>
      </c>
      <c r="E11" s="2">
        <v>95.520845232985295</v>
      </c>
      <c r="F11" s="1">
        <f>Table25[[#This Row],[ARIMAPP]]*$N$5+Table25[[#This Row],[LSTMPP]]*$N$6</f>
        <v>35.598857618386461</v>
      </c>
      <c r="G11" s="1">
        <f>Table25[[#This Row],[PP]]/$N$2</f>
        <v>1.6951836961136411</v>
      </c>
      <c r="H11" s="2">
        <v>6</v>
      </c>
      <c r="I11" s="2">
        <f>Table25[[#This Row],[PPG]]*Table25[[#This Row],[Plays]]</f>
        <v>10.171102176681845</v>
      </c>
      <c r="J11" s="2">
        <v>10</v>
      </c>
      <c r="K11" s="10">
        <f>Table25[[#This Row],[APP]]/Table25[[#This Row],[Plays]]</f>
        <v>1.6666666666666667</v>
      </c>
    </row>
    <row r="12" spans="1:14" x14ac:dyDescent="0.3">
      <c r="A12" s="1" t="s">
        <v>140</v>
      </c>
      <c r="B12" s="1" t="s">
        <v>7</v>
      </c>
      <c r="C12" s="1" t="s">
        <v>120</v>
      </c>
      <c r="D12" s="1">
        <v>27.571973754578501</v>
      </c>
      <c r="E12" s="1">
        <v>131.34504306122801</v>
      </c>
      <c r="F12" s="1">
        <f>Table25[[#This Row],[ARIMAPP]]*$N$5+Table25[[#This Row],[LSTMPP]]*$N$6</f>
        <v>48.949875552429347</v>
      </c>
      <c r="G12" s="1">
        <f>Table25[[#This Row],[PP]]/$N$2</f>
        <v>2.330946454877588</v>
      </c>
      <c r="H12" s="1">
        <v>6</v>
      </c>
      <c r="I12" s="1">
        <f>Table25[[#This Row],[PPG]]*Table25[[#This Row],[Plays]]</f>
        <v>13.985678729265528</v>
      </c>
      <c r="J12" s="1">
        <v>10</v>
      </c>
      <c r="K12" s="10">
        <f>Table25[[#This Row],[APP]]/Table25[[#This Row],[Plays]]</f>
        <v>1.6666666666666667</v>
      </c>
    </row>
    <row r="13" spans="1:14" x14ac:dyDescent="0.3">
      <c r="A13" s="2" t="s">
        <v>143</v>
      </c>
      <c r="B13" s="2" t="s">
        <v>5</v>
      </c>
      <c r="C13" s="2" t="s">
        <v>120</v>
      </c>
      <c r="D13" s="2">
        <v>11.3671308159939</v>
      </c>
      <c r="E13" s="2">
        <v>141.04988281892099</v>
      </c>
      <c r="F13" s="1">
        <f>Table25[[#This Row],[ARIMAPP]]*$N$5+Table25[[#This Row],[LSTMPP]]*$N$6</f>
        <v>52.566690373327383</v>
      </c>
      <c r="G13" s="1">
        <f>Table25[[#This Row],[PP]]/$N$2</f>
        <v>2.5031757320632089</v>
      </c>
      <c r="H13" s="2">
        <v>11</v>
      </c>
      <c r="I13" s="2">
        <f>Table25[[#This Row],[PPG]]*Table25[[#This Row],[Plays]]</f>
        <v>27.534933052695298</v>
      </c>
      <c r="J13" s="2">
        <v>25</v>
      </c>
      <c r="K13" s="10">
        <f>Table25[[#This Row],[APP]]/Table25[[#This Row],[Plays]]</f>
        <v>2.2727272727272729</v>
      </c>
    </row>
    <row r="14" spans="1:14" x14ac:dyDescent="0.3">
      <c r="A14" s="1" t="s">
        <v>145</v>
      </c>
      <c r="B14" s="1" t="s">
        <v>5</v>
      </c>
      <c r="C14" s="1" t="s">
        <v>120</v>
      </c>
      <c r="D14" s="1">
        <v>-4.5664251843940598</v>
      </c>
      <c r="E14" s="1">
        <v>130.624964772151</v>
      </c>
      <c r="F14" s="1">
        <f>Table25[[#This Row],[ARIMAPP]]*$N$5+Table25[[#This Row],[LSTMPP]]*$N$6</f>
        <v>48.681515652300533</v>
      </c>
      <c r="G14" s="1">
        <f>Table25[[#This Row],[PP]]/$N$2</f>
        <v>2.318167412014311</v>
      </c>
      <c r="H14" s="1">
        <v>4</v>
      </c>
      <c r="I14" s="1">
        <f>Table25[[#This Row],[PPG]]*Table25[[#This Row],[Plays]]</f>
        <v>9.2726696480572439</v>
      </c>
      <c r="J14" s="1">
        <v>5</v>
      </c>
      <c r="K14" s="10">
        <f>Table25[[#This Row],[APP]]/Table25[[#This Row],[Plays]]</f>
        <v>1.25</v>
      </c>
    </row>
    <row r="15" spans="1:14" x14ac:dyDescent="0.3">
      <c r="A15" s="2" t="s">
        <v>147</v>
      </c>
      <c r="B15" s="2" t="s">
        <v>5</v>
      </c>
      <c r="C15" s="2" t="s">
        <v>120</v>
      </c>
      <c r="D15" s="2">
        <v>63.859649492281498</v>
      </c>
      <c r="E15" s="2">
        <v>159.25799265059001</v>
      </c>
      <c r="F15" s="1">
        <f>Table25[[#This Row],[ARIMAPP]]*$N$5+Table25[[#This Row],[LSTMPP]]*$N$6</f>
        <v>59.352517150891273</v>
      </c>
      <c r="G15" s="1">
        <f>Table25[[#This Row],[PP]]/$N$2</f>
        <v>2.8263103405186323</v>
      </c>
      <c r="H15" s="2">
        <v>20</v>
      </c>
      <c r="I15" s="2">
        <f>Table25[[#This Row],[PPG]]*Table25[[#This Row],[Plays]]</f>
        <v>56.526206810372642</v>
      </c>
      <c r="J15" s="2">
        <v>59</v>
      </c>
      <c r="K15" s="10">
        <f>Table25[[#This Row],[APP]]/Table25[[#This Row],[Plays]]</f>
        <v>2.95</v>
      </c>
    </row>
    <row r="16" spans="1:14" x14ac:dyDescent="0.3">
      <c r="A16" s="1" t="s">
        <v>150</v>
      </c>
      <c r="B16" s="1" t="s">
        <v>6</v>
      </c>
      <c r="C16" s="1" t="s">
        <v>120</v>
      </c>
      <c r="D16" s="1">
        <v>3.8998740594628298</v>
      </c>
      <c r="E16" s="1">
        <v>98.514238743018197</v>
      </c>
      <c r="F16" s="1">
        <f>Table25[[#This Row],[ARIMAPP]]*$N$5+Table25[[#This Row],[LSTMPP]]*$N$6</f>
        <v>36.7144401815385</v>
      </c>
      <c r="G16" s="1">
        <f>Table25[[#This Row],[PP]]/$N$2</f>
        <v>1.7483066753113572</v>
      </c>
      <c r="H16" s="1">
        <v>18</v>
      </c>
      <c r="I16" s="1">
        <f>Table25[[#This Row],[PPG]]*Table25[[#This Row],[Plays]]</f>
        <v>31.469520155604428</v>
      </c>
      <c r="J16" s="1">
        <v>60</v>
      </c>
      <c r="K16" s="10">
        <f>Table25[[#This Row],[APP]]/Table25[[#This Row],[Plays]]</f>
        <v>3.3333333333333335</v>
      </c>
    </row>
    <row r="17" spans="1:11" x14ac:dyDescent="0.3">
      <c r="A17" s="2" t="s">
        <v>151</v>
      </c>
      <c r="B17" s="2" t="s">
        <v>6</v>
      </c>
      <c r="C17" s="2" t="s">
        <v>120</v>
      </c>
      <c r="D17" s="2">
        <v>4.3107962670494402</v>
      </c>
      <c r="E17" s="2">
        <v>131.94123560458399</v>
      </c>
      <c r="F17" s="1">
        <f>Table25[[#This Row],[ARIMAPP]]*$N$5+Table25[[#This Row],[LSTMPP]]*$N$6</f>
        <v>49.172065519575327</v>
      </c>
      <c r="G17" s="1">
        <f>Table25[[#This Row],[PP]]/$N$2</f>
        <v>2.341526929503587</v>
      </c>
      <c r="H17" s="2">
        <v>4</v>
      </c>
      <c r="I17" s="2">
        <f>Table25[[#This Row],[PPG]]*Table25[[#This Row],[Plays]]</f>
        <v>9.3661077180143479</v>
      </c>
      <c r="J17" s="2">
        <v>4</v>
      </c>
      <c r="K17" s="10">
        <f>Table25[[#This Row],[APP]]/Table25[[#This Row],[Plays]]</f>
        <v>1</v>
      </c>
    </row>
    <row r="18" spans="1:11" x14ac:dyDescent="0.3">
      <c r="A18" s="1" t="s">
        <v>153</v>
      </c>
      <c r="B18" s="1" t="s">
        <v>6</v>
      </c>
      <c r="C18" s="1" t="s">
        <v>120</v>
      </c>
      <c r="D18" s="1">
        <v>30.599798253020001</v>
      </c>
      <c r="E18" s="1">
        <v>113.215973845929</v>
      </c>
      <c r="F18" s="1">
        <f>Table25[[#This Row],[ARIMAPP]]*$N$5+Table25[[#This Row],[LSTMPP]]*$N$6</f>
        <v>42.193505755081262</v>
      </c>
      <c r="G18" s="1">
        <f>Table25[[#This Row],[PP]]/$N$2</f>
        <v>2.0092145597657742</v>
      </c>
      <c r="H18" s="1">
        <v>17</v>
      </c>
      <c r="I18" s="1">
        <f>Table25[[#This Row],[PPG]]*Table25[[#This Row],[Plays]]</f>
        <v>34.156647516018161</v>
      </c>
      <c r="J18" s="1">
        <v>31</v>
      </c>
      <c r="K18" s="10">
        <f>Table25[[#This Row],[APP]]/Table25[[#This Row],[Plays]]</f>
        <v>1.8235294117647058</v>
      </c>
    </row>
    <row r="19" spans="1:11" x14ac:dyDescent="0.3">
      <c r="A19" s="2" t="s">
        <v>155</v>
      </c>
      <c r="B19" s="2" t="s">
        <v>5</v>
      </c>
      <c r="C19" s="2" t="s">
        <v>120</v>
      </c>
      <c r="D19" s="2">
        <v>-4.7111065137240304</v>
      </c>
      <c r="E19" s="2">
        <v>141.53527318164601</v>
      </c>
      <c r="F19" s="1">
        <f>Table25[[#This Row],[ARIMAPP]]*$N$5+Table25[[#This Row],[LSTMPP]]*$N$6</f>
        <v>52.747586410939263</v>
      </c>
      <c r="G19" s="1">
        <f>Table25[[#This Row],[PP]]/$N$2</f>
        <v>2.5117898290923457</v>
      </c>
      <c r="H19" s="2">
        <v>9</v>
      </c>
      <c r="I19" s="2">
        <f>Table25[[#This Row],[PPG]]*Table25[[#This Row],[Plays]]</f>
        <v>22.606108461831113</v>
      </c>
      <c r="J19" s="2">
        <v>24</v>
      </c>
      <c r="K19" s="10">
        <f>Table25[[#This Row],[APP]]/Table25[[#This Row],[Plays]]</f>
        <v>2.6666666666666665</v>
      </c>
    </row>
    <row r="20" spans="1:11" x14ac:dyDescent="0.3">
      <c r="A20" s="1" t="s">
        <v>157</v>
      </c>
      <c r="B20" s="1" t="s">
        <v>5</v>
      </c>
      <c r="C20" s="1" t="s">
        <v>120</v>
      </c>
      <c r="D20" s="1">
        <v>1.0999960357666201</v>
      </c>
      <c r="E20" s="1">
        <v>131.93198318102</v>
      </c>
      <c r="F20" s="1">
        <f>Table25[[#This Row],[ARIMAPP]]*$N$5+Table25[[#This Row],[LSTMPP]]*$N$6</f>
        <v>49.168617311927285</v>
      </c>
      <c r="G20" s="1">
        <f>Table25[[#This Row],[PP]]/$N$2</f>
        <v>2.3413627291393944</v>
      </c>
      <c r="H20" s="1">
        <v>2</v>
      </c>
      <c r="I20" s="1">
        <f>Table25[[#This Row],[PPG]]*Table25[[#This Row],[Plays]]</f>
        <v>4.6827254582787887</v>
      </c>
      <c r="J20" s="1">
        <v>3</v>
      </c>
      <c r="K20" s="10">
        <f>Table25[[#This Row],[APP]]/Table25[[#This Row],[Plays]]</f>
        <v>1.5</v>
      </c>
    </row>
    <row r="21" spans="1:11" x14ac:dyDescent="0.3">
      <c r="A21" s="2" t="s">
        <v>159</v>
      </c>
      <c r="B21" s="2" t="s">
        <v>6</v>
      </c>
      <c r="C21" s="2" t="s">
        <v>120</v>
      </c>
      <c r="D21" s="2">
        <v>99.904365464370599</v>
      </c>
      <c r="E21" s="2">
        <v>150.615521090079</v>
      </c>
      <c r="F21" s="1">
        <f>Table25[[#This Row],[ARIMAPP]]*$N$5+Table25[[#This Row],[LSTMPP]]*$N$6</f>
        <v>56.131627367062777</v>
      </c>
      <c r="G21" s="1">
        <f>Table25[[#This Row],[PP]]/$N$2</f>
        <v>2.672934636526799</v>
      </c>
      <c r="H21" s="2">
        <v>15</v>
      </c>
      <c r="I21" s="2">
        <f>Table25[[#This Row],[PPG]]*Table25[[#This Row],[Plays]]</f>
        <v>40.094019547901986</v>
      </c>
      <c r="J21" s="2">
        <v>28</v>
      </c>
      <c r="K21" s="10">
        <f>Table25[[#This Row],[APP]]/Table25[[#This Row],[Plays]]</f>
        <v>1.8666666666666667</v>
      </c>
    </row>
    <row r="22" spans="1:11" x14ac:dyDescent="0.3">
      <c r="A22" s="1" t="s">
        <v>161</v>
      </c>
      <c r="B22" s="1" t="s">
        <v>6</v>
      </c>
      <c r="C22" s="1" t="s">
        <v>120</v>
      </c>
      <c r="D22" s="1">
        <v>25.627994695008699</v>
      </c>
      <c r="E22" s="1">
        <v>142.96927303749101</v>
      </c>
      <c r="F22" s="1">
        <f>Table25[[#This Row],[ARIMAPP]]*$N$5+Table25[[#This Row],[LSTMPP]]*$N$6</f>
        <v>53.282011714321989</v>
      </c>
      <c r="G22" s="1">
        <f>Table25[[#This Row],[PP]]/$N$2</f>
        <v>2.537238653062952</v>
      </c>
      <c r="H22" s="1">
        <v>13</v>
      </c>
      <c r="I22" s="1">
        <f>Table25[[#This Row],[PPG]]*Table25[[#This Row],[Plays]]</f>
        <v>32.984102489818376</v>
      </c>
      <c r="J22" s="1">
        <v>34</v>
      </c>
      <c r="K22" s="10">
        <f>Table25[[#This Row],[APP]]/Table25[[#This Row],[Plays]]</f>
        <v>2.6153846153846154</v>
      </c>
    </row>
    <row r="23" spans="1:11" x14ac:dyDescent="0.3">
      <c r="A23" s="2" t="s">
        <v>163</v>
      </c>
      <c r="B23" s="2" t="s">
        <v>4</v>
      </c>
      <c r="C23" s="2" t="s">
        <v>120</v>
      </c>
      <c r="D23" s="2">
        <v>400.90643210360298</v>
      </c>
      <c r="E23" s="2">
        <v>114.662272103129</v>
      </c>
      <c r="F23" s="1">
        <f>Table25[[#This Row],[ARIMAPP]]*$N$5+Table25[[#This Row],[LSTMPP]]*$N$6</f>
        <v>42.732514445867047</v>
      </c>
      <c r="G23" s="1">
        <f>Table25[[#This Row],[PP]]/$N$2</f>
        <v>2.0348816402793832</v>
      </c>
      <c r="H23" s="2">
        <v>13</v>
      </c>
      <c r="I23" s="2">
        <f>Table25[[#This Row],[PPG]]*Table25[[#This Row],[Plays]]</f>
        <v>26.453461323631981</v>
      </c>
      <c r="J23" s="2">
        <v>31</v>
      </c>
      <c r="K23" s="10">
        <f>Table25[[#This Row],[APP]]/Table25[[#This Row],[Plays]]</f>
        <v>2.3846153846153846</v>
      </c>
    </row>
    <row r="24" spans="1:11" x14ac:dyDescent="0.3">
      <c r="A24" s="1" t="s">
        <v>165</v>
      </c>
      <c r="B24" s="1" t="s">
        <v>5</v>
      </c>
      <c r="C24" s="1" t="s">
        <v>120</v>
      </c>
      <c r="D24" s="1">
        <v>1.08535318429827</v>
      </c>
      <c r="E24" s="1">
        <v>102.717344795633</v>
      </c>
      <c r="F24" s="1">
        <f>Table25[[#This Row],[ARIMAPP]]*$N$5+Table25[[#This Row],[LSTMPP]]*$N$6</f>
        <v>38.280860302267747</v>
      </c>
      <c r="G24" s="1">
        <f>Table25[[#This Row],[PP]]/$N$2</f>
        <v>1.8228981096317975</v>
      </c>
      <c r="H24" s="1">
        <v>1</v>
      </c>
      <c r="I24" s="1">
        <f>Table25[[#This Row],[PPG]]*Table25[[#This Row],[Plays]]</f>
        <v>1.8228981096317975</v>
      </c>
      <c r="J24" s="1">
        <v>1</v>
      </c>
      <c r="K24" s="10">
        <f>Table25[[#This Row],[APP]]/Table25[[#This Row],[Plays]]</f>
        <v>1</v>
      </c>
    </row>
    <row r="25" spans="1:11" x14ac:dyDescent="0.3">
      <c r="A25" s="5" t="s">
        <v>167</v>
      </c>
      <c r="B25" s="5" t="s">
        <v>5</v>
      </c>
      <c r="C25" s="5" t="s">
        <v>120</v>
      </c>
      <c r="D25" s="5">
        <v>57.141379669624797</v>
      </c>
      <c r="E25" s="5">
        <v>117.136692799304</v>
      </c>
      <c r="F25" s="1">
        <f>Table25[[#This Row],[ARIMAPP]]*$N$5+Table25[[#This Row],[LSTMPP]]*$N$6</f>
        <v>43.654685411128824</v>
      </c>
      <c r="G25" s="4">
        <f>Table25[[#This Row],[PP]]/$N$2</f>
        <v>2.0787945433870867</v>
      </c>
      <c r="H25" s="5">
        <v>7</v>
      </c>
      <c r="I25" s="5">
        <f>Table25[[#This Row],[PPG]]*Table25[[#This Row],[Plays]]</f>
        <v>14.551561803709607</v>
      </c>
      <c r="J25" s="5">
        <v>12</v>
      </c>
      <c r="K25" s="12">
        <f>Table25[[#This Row],[APP]]/Table25[[#This Row],[Plays]]</f>
        <v>1.7142857142857142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5DEA-E474-4741-BF22-EBA9C91AFFAC}">
  <dimension ref="A1:N21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170</v>
      </c>
      <c r="B2" s="1" t="s">
        <v>6</v>
      </c>
      <c r="C2" s="1" t="s">
        <v>171</v>
      </c>
      <c r="D2" s="1">
        <v>25.874419040392201</v>
      </c>
      <c r="E2" s="1">
        <v>42.603414198836496</v>
      </c>
      <c r="F2" s="1">
        <f>Table24[[#This Row],[ARIMAPP]]*$N$5+Table24[[#This Row],[LSTMPP]]*$N$6</f>
        <v>31.312717247556428</v>
      </c>
      <c r="G2" s="1">
        <f>Table24[[#This Row],[PP]]/$N$2</f>
        <v>1.5656358623778215</v>
      </c>
      <c r="H2" s="1">
        <v>17</v>
      </c>
      <c r="I2" s="1">
        <f>Table24[[#This Row],[PPG]]*Table24[[#This Row],[Plays]]</f>
        <v>26.615809660422965</v>
      </c>
      <c r="J2" s="1">
        <v>36</v>
      </c>
      <c r="K2" s="11">
        <f>Table24[[#This Row],[APP]]/Table24[[#This Row],[Plays]]</f>
        <v>2.1176470588235294</v>
      </c>
      <c r="M2" t="s">
        <v>846</v>
      </c>
      <c r="N2">
        <v>20</v>
      </c>
    </row>
    <row r="3" spans="1:14" x14ac:dyDescent="0.3">
      <c r="A3" s="2" t="s">
        <v>173</v>
      </c>
      <c r="B3" s="2" t="s">
        <v>4</v>
      </c>
      <c r="C3" s="2" t="s">
        <v>171</v>
      </c>
      <c r="D3" s="2">
        <v>0.74074072674769698</v>
      </c>
      <c r="E3" s="2">
        <v>44.008864851950797</v>
      </c>
      <c r="F3" s="1">
        <f>Table24[[#This Row],[ARIMAPP]]*$N$5+Table24[[#This Row],[LSTMPP]]*$N$6</f>
        <v>22.84430104279533</v>
      </c>
      <c r="G3" s="1">
        <f>Table24[[#This Row],[PP]]/$N$2</f>
        <v>1.1422150521397665</v>
      </c>
      <c r="H3" s="2">
        <v>1</v>
      </c>
      <c r="I3" s="2">
        <f>Table24[[#This Row],[PPG]]*Table24[[#This Row],[Plays]]</f>
        <v>1.1422150521397665</v>
      </c>
      <c r="J3" s="2">
        <v>2</v>
      </c>
      <c r="K3" s="10">
        <f>Table24[[#This Row],[APP]]/Table24[[#This Row],[Plays]]</f>
        <v>2</v>
      </c>
    </row>
    <row r="4" spans="1:14" x14ac:dyDescent="0.3">
      <c r="A4" s="1" t="s">
        <v>175</v>
      </c>
      <c r="B4" s="1" t="s">
        <v>6</v>
      </c>
      <c r="C4" s="1" t="s">
        <v>171</v>
      </c>
      <c r="D4" s="1">
        <v>46.196813291588398</v>
      </c>
      <c r="E4" s="1">
        <v>78.301419819339301</v>
      </c>
      <c r="F4" s="1">
        <f>Table24[[#This Row],[ARIMAPP]]*$N$5+Table24[[#This Row],[LSTMPP]]*$N$6</f>
        <v>57.053524532878228</v>
      </c>
      <c r="G4" s="1">
        <f>Table24[[#This Row],[PP]]/$N$2</f>
        <v>2.8526762266439114</v>
      </c>
      <c r="H4" s="1">
        <v>12</v>
      </c>
      <c r="I4" s="1">
        <f>Table24[[#This Row],[PPG]]*Table24[[#This Row],[Plays]]</f>
        <v>34.232114719726937</v>
      </c>
      <c r="J4" s="1">
        <v>32</v>
      </c>
      <c r="K4" s="10">
        <f>Table24[[#This Row],[APP]]/Table24[[#This Row],[Plays]]</f>
        <v>2.6666666666666665</v>
      </c>
    </row>
    <row r="5" spans="1:14" x14ac:dyDescent="0.3">
      <c r="A5" s="2" t="s">
        <v>177</v>
      </c>
      <c r="B5" s="2" t="s">
        <v>5</v>
      </c>
      <c r="C5" s="2" t="s">
        <v>171</v>
      </c>
      <c r="D5" s="2">
        <v>19.919945340770798</v>
      </c>
      <c r="E5" s="2">
        <v>36.735526305479702</v>
      </c>
      <c r="F5" s="1">
        <f>Table24[[#This Row],[ARIMAPP]]*$N$5+Table24[[#This Row],[LSTMPP]]*$N$6</f>
        <v>26.125840526128318</v>
      </c>
      <c r="G5" s="1">
        <f>Table24[[#This Row],[PP]]/$N$2</f>
        <v>1.3062920263064159</v>
      </c>
      <c r="H5" s="2">
        <v>13</v>
      </c>
      <c r="I5" s="2">
        <f>Table24[[#This Row],[PPG]]*Table24[[#This Row],[Plays]]</f>
        <v>16.981796341983408</v>
      </c>
      <c r="J5" s="2">
        <v>46</v>
      </c>
      <c r="K5" s="10">
        <f>Table24[[#This Row],[APP]]/Table24[[#This Row],[Plays]]</f>
        <v>3.5384615384615383</v>
      </c>
      <c r="M5" t="s">
        <v>9</v>
      </c>
      <c r="N5">
        <v>0.36561756265033835</v>
      </c>
    </row>
    <row r="6" spans="1:14" x14ac:dyDescent="0.3">
      <c r="A6" s="1" t="s">
        <v>179</v>
      </c>
      <c r="B6" s="1" t="s">
        <v>5</v>
      </c>
      <c r="C6" s="1" t="s">
        <v>171</v>
      </c>
      <c r="D6" s="1">
        <v>3.22695647422267</v>
      </c>
      <c r="E6" s="1">
        <v>24.69601239352</v>
      </c>
      <c r="F6" s="1">
        <f>Table24[[#This Row],[ARIMAPP]]*$N$5+Table24[[#This Row],[LSTMPP]]*$N$6</f>
        <v>13.847161063175504</v>
      </c>
      <c r="G6" s="1">
        <f>Table24[[#This Row],[PP]]/$N$2</f>
        <v>0.69235805315877519</v>
      </c>
      <c r="H6" s="1">
        <v>11</v>
      </c>
      <c r="I6" s="1">
        <f>Table24[[#This Row],[PPG]]*Table24[[#This Row],[Plays]]</f>
        <v>7.6159385847465266</v>
      </c>
      <c r="J6" s="1">
        <v>35</v>
      </c>
      <c r="K6" s="10">
        <f>Table24[[#This Row],[APP]]/Table24[[#This Row],[Plays]]</f>
        <v>3.1818181818181817</v>
      </c>
      <c r="M6" t="s">
        <v>10</v>
      </c>
      <c r="N6">
        <v>0.51293014031752227</v>
      </c>
    </row>
    <row r="7" spans="1:14" x14ac:dyDescent="0.3">
      <c r="A7" s="2" t="s">
        <v>181</v>
      </c>
      <c r="B7" s="2" t="s">
        <v>5</v>
      </c>
      <c r="C7" s="2" t="s">
        <v>171</v>
      </c>
      <c r="D7" s="2">
        <v>65.963726026392393</v>
      </c>
      <c r="E7" s="2">
        <v>93.862569431043099</v>
      </c>
      <c r="F7" s="1">
        <f>Table24[[#This Row],[ARIMAPP]]*$N$5+Table24[[#This Row],[LSTMPP]]*$N$6</f>
        <v>72.262437641932394</v>
      </c>
      <c r="G7" s="1">
        <f>Table24[[#This Row],[PP]]/$N$2</f>
        <v>3.6131218820966198</v>
      </c>
      <c r="H7" s="2">
        <v>13</v>
      </c>
      <c r="I7" s="2">
        <f>Table24[[#This Row],[PPG]]*Table24[[#This Row],[Plays]]</f>
        <v>46.97058446725606</v>
      </c>
      <c r="J7" s="2">
        <v>50</v>
      </c>
      <c r="K7" s="10">
        <f>Table24[[#This Row],[APP]]/Table24[[#This Row],[Plays]]</f>
        <v>3.8461538461538463</v>
      </c>
    </row>
    <row r="8" spans="1:14" x14ac:dyDescent="0.3">
      <c r="A8" s="1" t="s">
        <v>183</v>
      </c>
      <c r="B8" s="1" t="s">
        <v>6</v>
      </c>
      <c r="C8" s="1" t="s">
        <v>171</v>
      </c>
      <c r="D8" s="1">
        <v>27.329323059320998</v>
      </c>
      <c r="E8" s="1">
        <v>42.9548808945693</v>
      </c>
      <c r="F8" s="1">
        <f>Table24[[#This Row],[ARIMAPP]]*$N$5+Table24[[#This Row],[LSTMPP]]*$N$6</f>
        <v>32.024933570406517</v>
      </c>
      <c r="G8" s="1">
        <f>Table24[[#This Row],[PP]]/$N$2</f>
        <v>1.6012466785203259</v>
      </c>
      <c r="H8" s="1">
        <v>15</v>
      </c>
      <c r="I8" s="1">
        <f>Table24[[#This Row],[PPG]]*Table24[[#This Row],[Plays]]</f>
        <v>24.018700177804888</v>
      </c>
      <c r="J8" s="1">
        <v>30</v>
      </c>
      <c r="K8" s="10">
        <f>Table24[[#This Row],[APP]]/Table24[[#This Row],[Plays]]</f>
        <v>2</v>
      </c>
      <c r="M8" t="s">
        <v>849</v>
      </c>
      <c r="N8" cm="1">
        <f t="array" ref="N8">(SUM(Table24[Tot]-Table24[APP]))^2</f>
        <v>1.3915506368098648E-27</v>
      </c>
    </row>
    <row r="9" spans="1:14" x14ac:dyDescent="0.3">
      <c r="A9" s="2" t="s">
        <v>184</v>
      </c>
      <c r="B9" s="2" t="s">
        <v>5</v>
      </c>
      <c r="C9" s="2" t="s">
        <v>171</v>
      </c>
      <c r="D9" s="2">
        <v>-72.944135199313493</v>
      </c>
      <c r="E9" s="2">
        <v>22.243995514072001</v>
      </c>
      <c r="F9" s="1">
        <f>Table24[[#This Row],[ARIMAPP]]*$N$5+Table24[[#This Row],[LSTMPP]]*$N$6</f>
        <v>-15.260041180954463</v>
      </c>
      <c r="G9" s="1">
        <f>Table24[[#This Row],[PP]]/$N$2</f>
        <v>-0.76300205904772311</v>
      </c>
      <c r="H9" s="2">
        <v>10</v>
      </c>
      <c r="I9" s="2">
        <f>Table24[[#This Row],[PPG]]*Table24[[#This Row],[Plays]]</f>
        <v>-7.6300205904772316</v>
      </c>
      <c r="J9" s="2">
        <v>24</v>
      </c>
      <c r="K9" s="10">
        <f>Table24[[#This Row],[APP]]/Table24[[#This Row],[Plays]]</f>
        <v>2.4</v>
      </c>
    </row>
    <row r="10" spans="1:14" x14ac:dyDescent="0.3">
      <c r="A10" s="1" t="s">
        <v>186</v>
      </c>
      <c r="B10" s="1" t="s">
        <v>5</v>
      </c>
      <c r="C10" s="1" t="s">
        <v>171</v>
      </c>
      <c r="D10" s="1">
        <v>57.7148954358615</v>
      </c>
      <c r="E10" s="1">
        <v>75.037930297558006</v>
      </c>
      <c r="F10" s="1">
        <f>Table24[[#This Row],[ARIMAPP]]*$N$5+Table24[[#This Row],[LSTMPP]]*$N$6</f>
        <v>59.590795514541696</v>
      </c>
      <c r="G10" s="1">
        <f>Table24[[#This Row],[PP]]/$N$2</f>
        <v>2.9795397757270847</v>
      </c>
      <c r="H10" s="1">
        <v>5</v>
      </c>
      <c r="I10" s="1">
        <f>Table24[[#This Row],[PPG]]*Table24[[#This Row],[Plays]]</f>
        <v>14.897698878635424</v>
      </c>
      <c r="J10" s="1">
        <v>41</v>
      </c>
      <c r="K10" s="10">
        <f>Table24[[#This Row],[APP]]/Table24[[#This Row],[Plays]]</f>
        <v>8.1999999999999993</v>
      </c>
    </row>
    <row r="11" spans="1:14" x14ac:dyDescent="0.3">
      <c r="A11" s="2" t="s">
        <v>188</v>
      </c>
      <c r="B11" s="2" t="s">
        <v>7</v>
      </c>
      <c r="C11" s="2" t="s">
        <v>171</v>
      </c>
      <c r="D11" s="2">
        <v>135.304347845162</v>
      </c>
      <c r="E11" s="2">
        <v>94.240450467637302</v>
      </c>
      <c r="F11" s="1">
        <f>Table24[[#This Row],[ARIMAPP]]*$N$5+Table24[[#This Row],[LSTMPP]]*$N$6</f>
        <v>97.8084133570934</v>
      </c>
      <c r="G11" s="1">
        <f>Table24[[#This Row],[PP]]/$N$2</f>
        <v>4.89042066785467</v>
      </c>
      <c r="H11" s="2">
        <v>17</v>
      </c>
      <c r="I11" s="2">
        <f>Table24[[#This Row],[PPG]]*Table24[[#This Row],[Plays]]</f>
        <v>83.13715135352939</v>
      </c>
      <c r="J11" s="2">
        <v>73</v>
      </c>
      <c r="K11" s="10">
        <f>Table24[[#This Row],[APP]]/Table24[[#This Row],[Plays]]</f>
        <v>4.2941176470588234</v>
      </c>
    </row>
    <row r="12" spans="1:14" x14ac:dyDescent="0.3">
      <c r="A12" s="1" t="s">
        <v>190</v>
      </c>
      <c r="B12" s="1" t="s">
        <v>6</v>
      </c>
      <c r="C12" s="1" t="s">
        <v>171</v>
      </c>
      <c r="D12" s="1">
        <v>65.802314048852693</v>
      </c>
      <c r="E12" s="1">
        <v>95.029860962129703</v>
      </c>
      <c r="F12" s="1">
        <f>Table24[[#This Row],[ARIMAPP]]*$N$5+Table24[[#This Row],[LSTMPP]]*$N$6</f>
        <v>72.802161596953454</v>
      </c>
      <c r="G12" s="1">
        <f>Table24[[#This Row],[PP]]/$N$2</f>
        <v>3.6401080798476726</v>
      </c>
      <c r="H12" s="1">
        <v>18</v>
      </c>
      <c r="I12" s="1">
        <f>Table24[[#This Row],[PPG]]*Table24[[#This Row],[Plays]]</f>
        <v>65.521945437258111</v>
      </c>
      <c r="J12" s="1">
        <v>72</v>
      </c>
      <c r="K12" s="10">
        <f>Table24[[#This Row],[APP]]/Table24[[#This Row],[Plays]]</f>
        <v>4</v>
      </c>
    </row>
    <row r="13" spans="1:14" x14ac:dyDescent="0.3">
      <c r="A13" s="2" t="s">
        <v>194</v>
      </c>
      <c r="B13" s="2" t="s">
        <v>4</v>
      </c>
      <c r="C13" s="2" t="s">
        <v>171</v>
      </c>
      <c r="D13" s="2">
        <v>69.244046772303093</v>
      </c>
      <c r="E13" s="2">
        <v>99.771386742062404</v>
      </c>
      <c r="F13" s="1">
        <f>Table24[[#This Row],[ARIMAPP]]*$N$5+Table24[[#This Row],[LSTMPP]]*$N$6</f>
        <v>76.492591010215335</v>
      </c>
      <c r="G13" s="1">
        <f>Table24[[#This Row],[PP]]/$N$2</f>
        <v>3.8246295505107666</v>
      </c>
      <c r="H13" s="2">
        <v>18</v>
      </c>
      <c r="I13" s="2">
        <f>Table24[[#This Row],[PPG]]*Table24[[#This Row],[Plays]]</f>
        <v>68.843331909193793</v>
      </c>
      <c r="J13" s="2">
        <v>69</v>
      </c>
      <c r="K13" s="10">
        <f>Table24[[#This Row],[APP]]/Table24[[#This Row],[Plays]]</f>
        <v>3.8333333333333335</v>
      </c>
    </row>
    <row r="14" spans="1:14" x14ac:dyDescent="0.3">
      <c r="A14" s="1" t="s">
        <v>196</v>
      </c>
      <c r="B14" s="1" t="s">
        <v>6</v>
      </c>
      <c r="C14" s="1" t="s">
        <v>171</v>
      </c>
      <c r="D14" s="1">
        <v>29.194445451040799</v>
      </c>
      <c r="E14" s="1">
        <v>46.726750946628798</v>
      </c>
      <c r="F14" s="1">
        <f>Table24[[#This Row],[ARIMAPP]]*$N$5+Table24[[#This Row],[LSTMPP]]*$N$6</f>
        <v>34.641560908374018</v>
      </c>
      <c r="G14" s="1">
        <f>Table24[[#This Row],[PP]]/$N$2</f>
        <v>1.7320780454187008</v>
      </c>
      <c r="H14" s="1">
        <v>13</v>
      </c>
      <c r="I14" s="1">
        <f>Table24[[#This Row],[PPG]]*Table24[[#This Row],[Plays]]</f>
        <v>22.517014590443111</v>
      </c>
      <c r="J14" s="1">
        <v>30</v>
      </c>
      <c r="K14" s="10">
        <f>Table24[[#This Row],[APP]]/Table24[[#This Row],[Plays]]</f>
        <v>2.3076923076923075</v>
      </c>
    </row>
    <row r="15" spans="1:14" x14ac:dyDescent="0.3">
      <c r="A15" s="2" t="s">
        <v>198</v>
      </c>
      <c r="B15" s="2" t="s">
        <v>6</v>
      </c>
      <c r="C15" s="2" t="s">
        <v>171</v>
      </c>
      <c r="D15" s="2">
        <v>696.87058756148599</v>
      </c>
      <c r="E15" s="2">
        <v>31.601010120236602</v>
      </c>
      <c r="F15" s="1">
        <f>Table24[[#This Row],[ARIMAPP]]*$N$5+Table24[[#This Row],[LSTMPP]]*$N$6</f>
        <v>270.99723626208811</v>
      </c>
      <c r="G15" s="1">
        <f>Table24[[#This Row],[PP]]/$N$2</f>
        <v>13.549861813104405</v>
      </c>
      <c r="H15" s="2">
        <v>4</v>
      </c>
      <c r="I15" s="2">
        <f>Table24[[#This Row],[PPG]]*Table24[[#This Row],[Plays]]</f>
        <v>54.19944725241762</v>
      </c>
      <c r="J15" s="2">
        <v>5</v>
      </c>
      <c r="K15" s="10">
        <f>Table24[[#This Row],[APP]]/Table24[[#This Row],[Plays]]</f>
        <v>1.25</v>
      </c>
    </row>
    <row r="16" spans="1:14" x14ac:dyDescent="0.3">
      <c r="A16" s="1" t="s">
        <v>200</v>
      </c>
      <c r="B16" s="1" t="s">
        <v>6</v>
      </c>
      <c r="C16" s="1" t="s">
        <v>171</v>
      </c>
      <c r="D16" s="1">
        <v>53.515151515151501</v>
      </c>
      <c r="E16" s="1">
        <v>59.553784072842198</v>
      </c>
      <c r="F16" s="1">
        <f>Table24[[#This Row],[ARIMAPP]]*$N$5+Table24[[#This Row],[LSTMPP]]*$N$6</f>
        <v>50.113010082755622</v>
      </c>
      <c r="G16" s="1">
        <f>Table24[[#This Row],[PP]]/$N$2</f>
        <v>2.505650504137781</v>
      </c>
      <c r="H16" s="1">
        <v>14</v>
      </c>
      <c r="I16" s="1">
        <f>Table24[[#This Row],[PPG]]*Table24[[#This Row],[Plays]]</f>
        <v>35.079107057928937</v>
      </c>
      <c r="J16" s="1">
        <v>51</v>
      </c>
      <c r="K16" s="10">
        <f>Table24[[#This Row],[APP]]/Table24[[#This Row],[Plays]]</f>
        <v>3.6428571428571428</v>
      </c>
    </row>
    <row r="17" spans="1:11" x14ac:dyDescent="0.3">
      <c r="A17" s="2" t="s">
        <v>202</v>
      </c>
      <c r="B17" s="2" t="s">
        <v>6</v>
      </c>
      <c r="C17" s="2" t="s">
        <v>171</v>
      </c>
      <c r="D17" s="2">
        <v>30.142375699833</v>
      </c>
      <c r="E17" s="2">
        <v>82.973474829964104</v>
      </c>
      <c r="F17" s="1">
        <f>Table24[[#This Row],[ARIMAPP]]*$N$5+Table24[[#This Row],[LSTMPP]]*$N$6</f>
        <v>53.580178023029617</v>
      </c>
      <c r="G17" s="1">
        <f>Table24[[#This Row],[PP]]/$N$2</f>
        <v>2.679008901151481</v>
      </c>
      <c r="H17" s="2">
        <v>18</v>
      </c>
      <c r="I17" s="2">
        <f>Table24[[#This Row],[PPG]]*Table24[[#This Row],[Plays]]</f>
        <v>48.222160220726657</v>
      </c>
      <c r="J17" s="2">
        <v>43</v>
      </c>
      <c r="K17" s="10">
        <f>Table24[[#This Row],[APP]]/Table24[[#This Row],[Plays]]</f>
        <v>2.3888888888888888</v>
      </c>
    </row>
    <row r="18" spans="1:11" x14ac:dyDescent="0.3">
      <c r="A18" s="1" t="s">
        <v>203</v>
      </c>
      <c r="B18" s="1" t="s">
        <v>7</v>
      </c>
      <c r="C18" s="1" t="s">
        <v>171</v>
      </c>
      <c r="D18" s="1">
        <v>31.247872973639598</v>
      </c>
      <c r="E18" s="1">
        <v>50.1308316166986</v>
      </c>
      <c r="F18" s="1">
        <f>Table24[[#This Row],[ARIMAPP]]*$N$5+Table24[[#This Row],[LSTMPP]]*$N$6</f>
        <v>37.138385650016787</v>
      </c>
      <c r="G18" s="1">
        <f>Table24[[#This Row],[PP]]/$N$2</f>
        <v>1.8569192825008394</v>
      </c>
      <c r="H18" s="1">
        <v>7</v>
      </c>
      <c r="I18" s="1">
        <f>Table24[[#This Row],[PPG]]*Table24[[#This Row],[Plays]]</f>
        <v>12.998434977505875</v>
      </c>
      <c r="J18" s="1">
        <v>22</v>
      </c>
      <c r="K18" s="10">
        <f>Table24[[#This Row],[APP]]/Table24[[#This Row],[Plays]]</f>
        <v>3.1428571428571428</v>
      </c>
    </row>
    <row r="19" spans="1:11" x14ac:dyDescent="0.3">
      <c r="A19" s="2" t="s">
        <v>205</v>
      </c>
      <c r="B19" s="2" t="s">
        <v>6</v>
      </c>
      <c r="C19" s="2" t="s">
        <v>171</v>
      </c>
      <c r="D19" s="2">
        <v>171.374787208161</v>
      </c>
      <c r="E19" s="2">
        <v>148.95491379132099</v>
      </c>
      <c r="F19" s="1">
        <f>Table24[[#This Row],[ARIMAPP]]*$N$5+Table24[[#This Row],[LSTMPP]]*$N$6</f>
        <v>139.0610968307349</v>
      </c>
      <c r="G19" s="1">
        <f>Table24[[#This Row],[PP]]/$N$2</f>
        <v>6.953054841536745</v>
      </c>
      <c r="H19" s="2">
        <v>11</v>
      </c>
      <c r="I19" s="2">
        <f>Table24[[#This Row],[PPG]]*Table24[[#This Row],[Plays]]</f>
        <v>76.483603256904189</v>
      </c>
      <c r="J19" s="2">
        <v>35</v>
      </c>
      <c r="K19" s="10">
        <f>Table24[[#This Row],[APP]]/Table24[[#This Row],[Plays]]</f>
        <v>3.1818181818181817</v>
      </c>
    </row>
    <row r="20" spans="1:11" x14ac:dyDescent="0.3">
      <c r="A20" s="1" t="s">
        <v>209</v>
      </c>
      <c r="B20" s="1" t="s">
        <v>5</v>
      </c>
      <c r="C20" s="1" t="s">
        <v>171</v>
      </c>
      <c r="D20" s="1">
        <v>149</v>
      </c>
      <c r="E20" s="1">
        <v>156.52031768632901</v>
      </c>
      <c r="F20" s="1">
        <f>Table24[[#This Row],[ARIMAPP]]*$N$5+Table24[[#This Row],[LSTMPP]]*$N$6</f>
        <v>134.76100534829231</v>
      </c>
      <c r="G20" s="1">
        <f>Table24[[#This Row],[PP]]/$N$2</f>
        <v>6.7380502674146161</v>
      </c>
      <c r="H20" s="1">
        <v>19</v>
      </c>
      <c r="I20" s="1">
        <f>Table24[[#This Row],[PPG]]*Table24[[#This Row],[Plays]]</f>
        <v>128.02295508087769</v>
      </c>
      <c r="J20" s="1">
        <v>68</v>
      </c>
      <c r="K20" s="10">
        <f>Table24[[#This Row],[APP]]/Table24[[#This Row],[Plays]]</f>
        <v>3.5789473684210527</v>
      </c>
    </row>
    <row r="21" spans="1:11" x14ac:dyDescent="0.3">
      <c r="A21" s="5" t="s">
        <v>211</v>
      </c>
      <c r="B21" s="5" t="s">
        <v>6</v>
      </c>
      <c r="C21" s="5" t="s">
        <v>171</v>
      </c>
      <c r="D21" s="5">
        <v>3.33333315672024</v>
      </c>
      <c r="E21" s="5">
        <v>117.133671513832</v>
      </c>
      <c r="F21" s="1">
        <f>Table24[[#This Row],[ARIMAPP]]*$N$5+Table24[[#This Row],[LSTMPP]]*$N$6</f>
        <v>61.300115709758018</v>
      </c>
      <c r="G21" s="4">
        <f>Table24[[#This Row],[PP]]/$N$2</f>
        <v>3.0650057854879007</v>
      </c>
      <c r="H21" s="5">
        <v>2</v>
      </c>
      <c r="I21" s="5">
        <f>Table24[[#This Row],[PPG]]*Table24[[#This Row],[Plays]]</f>
        <v>6.1300115709758014</v>
      </c>
      <c r="J21" s="5">
        <v>2</v>
      </c>
      <c r="K21" s="12">
        <f>Table24[[#This Row],[APP]]/Table24[[#This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ED4B-93AF-436E-9450-652B4BDC1C9E}">
  <dimension ref="A1:N21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214</v>
      </c>
      <c r="B2" s="1" t="s">
        <v>5</v>
      </c>
      <c r="C2" s="1" t="s">
        <v>215</v>
      </c>
      <c r="D2" s="1">
        <v>53.2572703171897</v>
      </c>
      <c r="E2" s="1">
        <v>54.4810558386216</v>
      </c>
      <c r="F2" s="1">
        <f>Table26[[#This Row],[ARIMAPP]]*$N$5+Table26[[#This Row],[LSTMPP]]*$N$6</f>
        <v>49.34188754966867</v>
      </c>
      <c r="G2" s="1">
        <f>Table26[[#This Row],[PP]]/$N$2</f>
        <v>2.9024639735099216</v>
      </c>
      <c r="H2" s="1">
        <v>16</v>
      </c>
      <c r="I2" s="1">
        <f>Table26[[#This Row],[PPG]]*Table26[[#This Row],[Plays]]</f>
        <v>46.439423576158745</v>
      </c>
      <c r="J2" s="1">
        <v>39</v>
      </c>
      <c r="K2" s="11">
        <f>Table26[[#This Row],[APP]]/Table26[[#This Row],[Plays]]</f>
        <v>2.4375</v>
      </c>
      <c r="M2" t="s">
        <v>846</v>
      </c>
      <c r="N2">
        <v>17</v>
      </c>
    </row>
    <row r="3" spans="1:14" x14ac:dyDescent="0.3">
      <c r="A3" s="2" t="s">
        <v>218</v>
      </c>
      <c r="B3" s="2" t="s">
        <v>5</v>
      </c>
      <c r="C3" s="2" t="s">
        <v>215</v>
      </c>
      <c r="D3" s="2">
        <v>23.962441857339002</v>
      </c>
      <c r="E3" s="2">
        <v>32.950722918027999</v>
      </c>
      <c r="F3" s="1">
        <f>Table26[[#This Row],[ARIMAPP]]*$N$5+Table26[[#This Row],[LSTMPP]]*$N$6</f>
        <v>26.682032385096448</v>
      </c>
      <c r="G3" s="1">
        <f>Table26[[#This Row],[PP]]/$N$2</f>
        <v>1.5695313167703793</v>
      </c>
      <c r="H3" s="2">
        <v>4</v>
      </c>
      <c r="I3" s="2">
        <f>Table26[[#This Row],[PPG]]*Table26[[#This Row],[Plays]]</f>
        <v>6.2781252670815171</v>
      </c>
      <c r="J3" s="2">
        <v>4</v>
      </c>
      <c r="K3" s="10">
        <f>Table26[[#This Row],[APP]]/Table26[[#This Row],[Plays]]</f>
        <v>1</v>
      </c>
    </row>
    <row r="4" spans="1:14" x14ac:dyDescent="0.3">
      <c r="A4" s="1" t="s">
        <v>220</v>
      </c>
      <c r="B4" s="1" t="s">
        <v>6</v>
      </c>
      <c r="C4" s="1" t="s">
        <v>215</v>
      </c>
      <c r="D4" s="1">
        <v>21.267777250815101</v>
      </c>
      <c r="E4" s="1">
        <v>32.311144375839802</v>
      </c>
      <c r="F4" s="1">
        <f>Table26[[#This Row],[ARIMAPP]]*$N$5+Table26[[#This Row],[LSTMPP]]*$N$6</f>
        <v>25.309824310917108</v>
      </c>
      <c r="G4" s="1">
        <f>Table26[[#This Row],[PP]]/$N$2</f>
        <v>1.48881319475983</v>
      </c>
      <c r="H4" s="1">
        <v>8</v>
      </c>
      <c r="I4" s="1">
        <f>Table26[[#This Row],[PPG]]*Table26[[#This Row],[Plays]]</f>
        <v>11.91050555807864</v>
      </c>
      <c r="J4" s="1">
        <v>16</v>
      </c>
      <c r="K4" s="10">
        <f>Table26[[#This Row],[APP]]/Table26[[#This Row],[Plays]]</f>
        <v>2</v>
      </c>
    </row>
    <row r="5" spans="1:14" x14ac:dyDescent="0.3">
      <c r="A5" s="2" t="s">
        <v>222</v>
      </c>
      <c r="B5" s="2" t="s">
        <v>6</v>
      </c>
      <c r="C5" s="2" t="s">
        <v>215</v>
      </c>
      <c r="D5" s="2">
        <v>0.91409999548628396</v>
      </c>
      <c r="E5" s="2">
        <v>49.212163739146803</v>
      </c>
      <c r="F5" s="1">
        <f>Table26[[#This Row],[ARIMAPP]]*$N$5+Table26[[#This Row],[LSTMPP]]*$N$6</f>
        <v>26.487013897821193</v>
      </c>
      <c r="G5" s="1">
        <f>Table26[[#This Row],[PP]]/$N$2</f>
        <v>1.5580596410483054</v>
      </c>
      <c r="H5" s="2">
        <v>1</v>
      </c>
      <c r="I5" s="2">
        <f>Table26[[#This Row],[PPG]]*Table26[[#This Row],[Plays]]</f>
        <v>1.5580596410483054</v>
      </c>
      <c r="J5" s="2">
        <v>1</v>
      </c>
      <c r="K5" s="10">
        <f>Table26[[#This Row],[APP]]/Table26[[#This Row],[Plays]]</f>
        <v>1</v>
      </c>
      <c r="M5" t="s">
        <v>9</v>
      </c>
      <c r="N5">
        <v>0.38317408503239392</v>
      </c>
    </row>
    <row r="6" spans="1:14" x14ac:dyDescent="0.3">
      <c r="A6" s="1" t="s">
        <v>226</v>
      </c>
      <c r="B6" s="1" t="s">
        <v>7</v>
      </c>
      <c r="C6" s="1" t="s">
        <v>215</v>
      </c>
      <c r="D6" s="1">
        <v>15.6453902135618</v>
      </c>
      <c r="E6" s="1">
        <v>57.742621050904901</v>
      </c>
      <c r="F6" s="1">
        <f>Table26[[#This Row],[ARIMAPP]]*$N$5+Table26[[#This Row],[LSTMPP]]*$N$6</f>
        <v>36.66221864112692</v>
      </c>
      <c r="G6" s="1">
        <f>Table26[[#This Row],[PP]]/$N$2</f>
        <v>2.1566010965368778</v>
      </c>
      <c r="H6" s="1">
        <v>13</v>
      </c>
      <c r="I6" s="1">
        <f>Table26[[#This Row],[PPG]]*Table26[[#This Row],[Plays]]</f>
        <v>28.03581425497941</v>
      </c>
      <c r="J6" s="1">
        <v>15</v>
      </c>
      <c r="K6" s="10">
        <f>Table26[[#This Row],[APP]]/Table26[[#This Row],[Plays]]</f>
        <v>1.1538461538461537</v>
      </c>
      <c r="M6" t="s">
        <v>10</v>
      </c>
      <c r="N6">
        <v>0.53110354194062015</v>
      </c>
    </row>
    <row r="7" spans="1:14" x14ac:dyDescent="0.3">
      <c r="A7" s="2" t="s">
        <v>227</v>
      </c>
      <c r="B7" s="2" t="s">
        <v>7</v>
      </c>
      <c r="C7" s="2" t="s">
        <v>215</v>
      </c>
      <c r="D7" s="2">
        <v>-3.6849931546007602</v>
      </c>
      <c r="E7" s="2">
        <v>32.684478228435601</v>
      </c>
      <c r="F7" s="1">
        <f>Table26[[#This Row],[ARIMAPP]]*$N$5+Table26[[#This Row],[LSTMPP]]*$N$6</f>
        <v>15.946848273238453</v>
      </c>
      <c r="G7" s="1">
        <f>Table26[[#This Row],[PP]]/$N$2</f>
        <v>0.93804989842579134</v>
      </c>
      <c r="H7" s="2">
        <v>8</v>
      </c>
      <c r="I7" s="2">
        <f>Table26[[#This Row],[PPG]]*Table26[[#This Row],[Plays]]</f>
        <v>7.5043991874063307</v>
      </c>
      <c r="J7" s="2">
        <v>9</v>
      </c>
      <c r="K7" s="10">
        <f>Table26[[#This Row],[APP]]/Table26[[#This Row],[Plays]]</f>
        <v>1.125</v>
      </c>
    </row>
    <row r="8" spans="1:14" x14ac:dyDescent="0.3">
      <c r="A8" s="1" t="s">
        <v>228</v>
      </c>
      <c r="B8" s="1" t="s">
        <v>5</v>
      </c>
      <c r="C8" s="1" t="s">
        <v>215</v>
      </c>
      <c r="D8" s="1">
        <v>44.795592660741796</v>
      </c>
      <c r="E8" s="1">
        <v>67.923945786263403</v>
      </c>
      <c r="F8" s="1">
        <f>Table26[[#This Row],[ARIMAPP]]*$N$5+Table26[[#This Row],[LSTMPP]]*$N$6</f>
        <v>53.239158420930707</v>
      </c>
      <c r="G8" s="1">
        <f>Table26[[#This Row],[PP]]/$N$2</f>
        <v>3.1317152012312182</v>
      </c>
      <c r="H8" s="1">
        <v>13</v>
      </c>
      <c r="I8" s="1">
        <f>Table26[[#This Row],[PPG]]*Table26[[#This Row],[Plays]]</f>
        <v>40.712297616005834</v>
      </c>
      <c r="J8" s="1">
        <v>34</v>
      </c>
      <c r="K8" s="10">
        <f>Table26[[#This Row],[APP]]/Table26[[#This Row],[Plays]]</f>
        <v>2.6153846153846154</v>
      </c>
      <c r="M8" t="s">
        <v>849</v>
      </c>
      <c r="N8" cm="1">
        <f t="array" ref="N8">(SUM(Table26[Tot]-Table26[APP]))^2</f>
        <v>1.669229675447661E-27</v>
      </c>
    </row>
    <row r="9" spans="1:14" x14ac:dyDescent="0.3">
      <c r="A9" s="2" t="s">
        <v>229</v>
      </c>
      <c r="B9" s="2" t="s">
        <v>6</v>
      </c>
      <c r="C9" s="2" t="s">
        <v>215</v>
      </c>
      <c r="D9" s="2">
        <v>2.1122726786344099</v>
      </c>
      <c r="E9" s="2">
        <v>21.865761594688699</v>
      </c>
      <c r="F9" s="1">
        <f>Table26[[#This Row],[ARIMAPP]]*$N$5+Table26[[#This Row],[LSTMPP]]*$N$6</f>
        <v>12.422351581143014</v>
      </c>
      <c r="G9" s="1">
        <f>Table26[[#This Row],[PP]]/$N$2</f>
        <v>0.73072656359664789</v>
      </c>
      <c r="H9" s="2">
        <v>15</v>
      </c>
      <c r="I9" s="2">
        <f>Table26[[#This Row],[PPG]]*Table26[[#This Row],[Plays]]</f>
        <v>10.960898453949719</v>
      </c>
      <c r="J9" s="2">
        <v>41</v>
      </c>
      <c r="K9" s="10">
        <f>Table26[[#This Row],[APP]]/Table26[[#This Row],[Plays]]</f>
        <v>2.7333333333333334</v>
      </c>
    </row>
    <row r="10" spans="1:14" x14ac:dyDescent="0.3">
      <c r="A10" s="1" t="s">
        <v>231</v>
      </c>
      <c r="B10" s="1" t="s">
        <v>6</v>
      </c>
      <c r="C10" s="1" t="s">
        <v>215</v>
      </c>
      <c r="D10" s="1">
        <v>20.115995284211198</v>
      </c>
      <c r="E10" s="1">
        <v>58.075470431537099</v>
      </c>
      <c r="F10" s="1">
        <f>Table26[[#This Row],[ARIMAPP]]*$N$5+Table26[[#This Row],[LSTMPP]]*$N$6</f>
        <v>38.552016133600688</v>
      </c>
      <c r="G10" s="1">
        <f>Table26[[#This Row],[PP]]/$N$2</f>
        <v>2.2677656549176874</v>
      </c>
      <c r="H10" s="1">
        <v>17</v>
      </c>
      <c r="I10" s="1">
        <f>Table26[[#This Row],[PPG]]*Table26[[#This Row],[Plays]]</f>
        <v>38.552016133600688</v>
      </c>
      <c r="J10" s="1">
        <v>32</v>
      </c>
      <c r="K10" s="10">
        <f>Table26[[#This Row],[APP]]/Table26[[#This Row],[Plays]]</f>
        <v>1.8823529411764706</v>
      </c>
    </row>
    <row r="11" spans="1:14" x14ac:dyDescent="0.3">
      <c r="A11" s="2" t="s">
        <v>232</v>
      </c>
      <c r="B11" s="2" t="s">
        <v>5</v>
      </c>
      <c r="C11" s="2" t="s">
        <v>215</v>
      </c>
      <c r="D11" s="2">
        <v>34.801336425418299</v>
      </c>
      <c r="E11" s="2">
        <v>48.055779412222897</v>
      </c>
      <c r="F11" s="1">
        <f>Table26[[#This Row],[ARIMAPP]]*$N$5+Table26[[#This Row],[LSTMPP]]*$N$6</f>
        <v>38.85756489926289</v>
      </c>
      <c r="G11" s="1">
        <f>Table26[[#This Row],[PP]]/$N$2</f>
        <v>2.2857391117213464</v>
      </c>
      <c r="H11" s="2">
        <v>17</v>
      </c>
      <c r="I11" s="2">
        <f>Table26[[#This Row],[PPG]]*Table26[[#This Row],[Plays]]</f>
        <v>38.85756489926289</v>
      </c>
      <c r="J11" s="2">
        <v>55</v>
      </c>
      <c r="K11" s="10">
        <f>Table26[[#This Row],[APP]]/Table26[[#This Row],[Plays]]</f>
        <v>3.2352941176470589</v>
      </c>
    </row>
    <row r="12" spans="1:14" x14ac:dyDescent="0.3">
      <c r="A12" s="1" t="s">
        <v>234</v>
      </c>
      <c r="B12" s="1" t="s">
        <v>7</v>
      </c>
      <c r="C12" s="1" t="s">
        <v>215</v>
      </c>
      <c r="D12" s="1">
        <v>22.198530333323099</v>
      </c>
      <c r="E12" s="1">
        <v>36.497347443152997</v>
      </c>
      <c r="F12" s="1">
        <f>Table26[[#This Row],[ARIMAPP]]*$N$5+Table26[[#This Row],[LSTMPP]]*$N$6</f>
        <v>27.889772048030913</v>
      </c>
      <c r="G12" s="1">
        <f>Table26[[#This Row],[PP]]/$N$2</f>
        <v>1.6405748263547597</v>
      </c>
      <c r="H12" s="1">
        <v>15</v>
      </c>
      <c r="I12" s="1">
        <f>Table26[[#This Row],[PPG]]*Table26[[#This Row],[Plays]]</f>
        <v>24.608622395321397</v>
      </c>
      <c r="J12" s="1">
        <v>25</v>
      </c>
      <c r="K12" s="10">
        <f>Table26[[#This Row],[APP]]/Table26[[#This Row],[Plays]]</f>
        <v>1.6666666666666667</v>
      </c>
    </row>
    <row r="13" spans="1:14" x14ac:dyDescent="0.3">
      <c r="A13" s="2" t="s">
        <v>236</v>
      </c>
      <c r="B13" s="2" t="s">
        <v>4</v>
      </c>
      <c r="C13" s="2" t="s">
        <v>215</v>
      </c>
      <c r="D13" s="2">
        <v>67.114977997574996</v>
      </c>
      <c r="E13" s="2">
        <v>82.967444811635801</v>
      </c>
      <c r="F13" s="1">
        <f>Table26[[#This Row],[ARIMAPP]]*$N$5+Table26[[#This Row],[LSTMPP]]*$N$6</f>
        <v>69.781024091412746</v>
      </c>
      <c r="G13" s="1">
        <f>Table26[[#This Row],[PP]]/$N$2</f>
        <v>4.1047661230242793</v>
      </c>
      <c r="H13" s="2">
        <v>15</v>
      </c>
      <c r="I13" s="2">
        <f>Table26[[#This Row],[PPG]]*Table26[[#This Row],[Plays]]</f>
        <v>61.571491845364193</v>
      </c>
      <c r="J13" s="2">
        <v>47</v>
      </c>
      <c r="K13" s="10">
        <f>Table26[[#This Row],[APP]]/Table26[[#This Row],[Plays]]</f>
        <v>3.1333333333333333</v>
      </c>
    </row>
    <row r="14" spans="1:14" x14ac:dyDescent="0.3">
      <c r="A14" s="1" t="s">
        <v>206</v>
      </c>
      <c r="B14" s="1" t="s">
        <v>5</v>
      </c>
      <c r="C14" s="1" t="s">
        <v>215</v>
      </c>
      <c r="D14" s="1">
        <v>38.727080934594099</v>
      </c>
      <c r="E14" s="1">
        <v>48.794891310306703</v>
      </c>
      <c r="F14" s="1">
        <f>Table26[[#This Row],[ARIMAPP]]*$N$5+Table26[[#This Row],[LSTMPP]]*$N$6</f>
        <v>40.754353406600039</v>
      </c>
      <c r="G14" s="1">
        <f>Table26[[#This Row],[PP]]/$N$2</f>
        <v>2.3973149062705907</v>
      </c>
      <c r="H14" s="1">
        <v>16</v>
      </c>
      <c r="I14" s="1">
        <f>Table26[[#This Row],[PPG]]*Table26[[#This Row],[Plays]]</f>
        <v>38.357038500329452</v>
      </c>
      <c r="J14" s="1">
        <v>45</v>
      </c>
      <c r="K14" s="10">
        <f>Table26[[#This Row],[APP]]/Table26[[#This Row],[Plays]]</f>
        <v>2.8125</v>
      </c>
    </row>
    <row r="15" spans="1:14" x14ac:dyDescent="0.3">
      <c r="A15" s="2" t="s">
        <v>238</v>
      </c>
      <c r="B15" s="2" t="s">
        <v>6</v>
      </c>
      <c r="C15" s="2" t="s">
        <v>215</v>
      </c>
      <c r="D15" s="2">
        <v>26.999701762109598</v>
      </c>
      <c r="E15" s="2">
        <v>47.769620925600698</v>
      </c>
      <c r="F15" s="1">
        <f>Table26[[#This Row],[ARIMAPP]]*$N$5+Table26[[#This Row],[LSTMPP]]*$N$6</f>
        <v>35.716200889591157</v>
      </c>
      <c r="G15" s="1">
        <f>Table26[[#This Row],[PP]]/$N$2</f>
        <v>2.1009529935053624</v>
      </c>
      <c r="H15" s="2">
        <v>15</v>
      </c>
      <c r="I15" s="2">
        <f>Table26[[#This Row],[PPG]]*Table26[[#This Row],[Plays]]</f>
        <v>31.514294902580435</v>
      </c>
      <c r="J15" s="2">
        <v>26</v>
      </c>
      <c r="K15" s="10">
        <f>Table26[[#This Row],[APP]]/Table26[[#This Row],[Plays]]</f>
        <v>1.7333333333333334</v>
      </c>
    </row>
    <row r="16" spans="1:14" x14ac:dyDescent="0.3">
      <c r="A16" s="1" t="s">
        <v>240</v>
      </c>
      <c r="B16" s="1" t="s">
        <v>6</v>
      </c>
      <c r="C16" s="1" t="s">
        <v>215</v>
      </c>
      <c r="D16" s="1">
        <v>15.0573780498574</v>
      </c>
      <c r="E16" s="1">
        <v>22.233013801315099</v>
      </c>
      <c r="F16" s="1">
        <f>Table26[[#This Row],[ARIMAPP]]*$N$5+Table26[[#This Row],[LSTMPP]]*$N$6</f>
        <v>17.577629435134099</v>
      </c>
      <c r="G16" s="1">
        <f>Table26[[#This Row],[PP]]/$N$2</f>
        <v>1.0339782020667116</v>
      </c>
      <c r="H16" s="1">
        <v>17</v>
      </c>
      <c r="I16" s="1">
        <f>Table26[[#This Row],[PPG]]*Table26[[#This Row],[Plays]]</f>
        <v>17.577629435134099</v>
      </c>
      <c r="J16" s="1">
        <v>40</v>
      </c>
      <c r="K16" s="10">
        <f>Table26[[#This Row],[APP]]/Table26[[#This Row],[Plays]]</f>
        <v>2.3529411764705883</v>
      </c>
    </row>
    <row r="17" spans="1:11" x14ac:dyDescent="0.3">
      <c r="A17" s="2" t="s">
        <v>241</v>
      </c>
      <c r="B17" s="2" t="s">
        <v>5</v>
      </c>
      <c r="C17" s="2" t="s">
        <v>215</v>
      </c>
      <c r="D17" s="2">
        <v>17.970684812656899</v>
      </c>
      <c r="E17" s="2">
        <v>89.448600520683399</v>
      </c>
      <c r="F17" s="1">
        <f>Table26[[#This Row],[ARIMAPP]]*$N$5+Table26[[#This Row],[LSTMPP]]*$N$6</f>
        <v>54.392369268661895</v>
      </c>
      <c r="G17" s="1">
        <f>Table26[[#This Row],[PP]]/$N$2</f>
        <v>3.1995511334506999</v>
      </c>
      <c r="H17" s="2">
        <v>5</v>
      </c>
      <c r="I17" s="2">
        <f>Table26[[#This Row],[PPG]]*Table26[[#This Row],[Plays]]</f>
        <v>15.9977556672535</v>
      </c>
      <c r="J17" s="2">
        <v>15</v>
      </c>
      <c r="K17" s="10">
        <f>Table26[[#This Row],[APP]]/Table26[[#This Row],[Plays]]</f>
        <v>3</v>
      </c>
    </row>
    <row r="18" spans="1:11" x14ac:dyDescent="0.3">
      <c r="A18" s="1" t="s">
        <v>243</v>
      </c>
      <c r="B18" s="1" t="s">
        <v>4</v>
      </c>
      <c r="C18" s="1" t="s">
        <v>215</v>
      </c>
      <c r="D18" s="1">
        <v>2.63701032834601</v>
      </c>
      <c r="E18" s="1">
        <v>22.079879528481499</v>
      </c>
      <c r="F18" s="1">
        <f>Table26[[#This Row],[ARIMAPP]]*$N$5+Table26[[#This Row],[LSTMPP]]*$N$6</f>
        <v>12.73713624298367</v>
      </c>
      <c r="G18" s="1">
        <f>Table26[[#This Row],[PP]]/$N$2</f>
        <v>0.74924330841080411</v>
      </c>
      <c r="H18" s="1">
        <v>2</v>
      </c>
      <c r="I18" s="1">
        <f>Table26[[#This Row],[PPG]]*Table26[[#This Row],[Plays]]</f>
        <v>1.4984866168216082</v>
      </c>
      <c r="J18" s="1">
        <v>4</v>
      </c>
      <c r="K18" s="10">
        <f>Table26[[#This Row],[APP]]/Table26[[#This Row],[Plays]]</f>
        <v>2</v>
      </c>
    </row>
    <row r="19" spans="1:11" x14ac:dyDescent="0.3">
      <c r="A19" s="2" t="s">
        <v>244</v>
      </c>
      <c r="B19" s="2" t="s">
        <v>6</v>
      </c>
      <c r="C19" s="2" t="s">
        <v>215</v>
      </c>
      <c r="D19" s="2">
        <v>9.2745189739752298</v>
      </c>
      <c r="E19" s="2">
        <v>42.406859453687098</v>
      </c>
      <c r="F19" s="1">
        <f>Table26[[#This Row],[ARIMAPP]]*$N$5+Table26[[#This Row],[LSTMPP]]*$N$6</f>
        <v>26.076188580399823</v>
      </c>
      <c r="G19" s="1">
        <f>Table26[[#This Row],[PP]]/$N$2</f>
        <v>1.533893445905872</v>
      </c>
      <c r="H19" s="2">
        <v>8</v>
      </c>
      <c r="I19" s="2">
        <f>Table26[[#This Row],[PPG]]*Table26[[#This Row],[Plays]]</f>
        <v>12.271147567246976</v>
      </c>
      <c r="J19" s="2">
        <v>14</v>
      </c>
      <c r="K19" s="10">
        <f>Table26[[#This Row],[APP]]/Table26[[#This Row],[Plays]]</f>
        <v>1.75</v>
      </c>
    </row>
    <row r="20" spans="1:11" x14ac:dyDescent="0.3">
      <c r="A20" s="1" t="s">
        <v>246</v>
      </c>
      <c r="B20" s="1" t="s">
        <v>6</v>
      </c>
      <c r="C20" s="1" t="s">
        <v>215</v>
      </c>
      <c r="D20" s="1">
        <v>63.8573046332884</v>
      </c>
      <c r="E20" s="1">
        <v>140.47755047531601</v>
      </c>
      <c r="F20" s="1">
        <f>Table26[[#This Row],[ARIMAPP]]*$N$5+Table26[[#This Row],[LSTMPP]]*$N$6</f>
        <v>99.076588896077723</v>
      </c>
      <c r="G20" s="1">
        <f>Table26[[#This Row],[PP]]/$N$2</f>
        <v>5.8280346409457486</v>
      </c>
      <c r="H20" s="1">
        <v>13</v>
      </c>
      <c r="I20" s="1">
        <f>Table26[[#This Row],[PPG]]*Table26[[#This Row],[Plays]]</f>
        <v>75.764450332294729</v>
      </c>
      <c r="J20" s="1">
        <v>50</v>
      </c>
      <c r="K20" s="10">
        <f>Table26[[#This Row],[APP]]/Table26[[#This Row],[Plays]]</f>
        <v>3.8461538461538463</v>
      </c>
    </row>
    <row r="21" spans="1:11" x14ac:dyDescent="0.3">
      <c r="A21" s="5" t="s">
        <v>207</v>
      </c>
      <c r="B21" s="5" t="s">
        <v>5</v>
      </c>
      <c r="C21" s="5" t="s">
        <v>215</v>
      </c>
      <c r="D21" s="5">
        <v>1.1143119146184699</v>
      </c>
      <c r="E21" s="5">
        <v>96.182098346415103</v>
      </c>
      <c r="F21" s="1">
        <f>Table26[[#This Row],[ARIMAPP]]*$N$5+Table26[[#This Row],[LSTMPP]]*$N$6</f>
        <v>51.509628551386754</v>
      </c>
      <c r="G21" s="4">
        <f>Table26[[#This Row],[PP]]/$N$2</f>
        <v>3.0299781500815737</v>
      </c>
      <c r="H21" s="5">
        <v>1</v>
      </c>
      <c r="I21" s="5">
        <f>Table26[[#This Row],[PPG]]*Table26[[#This Row],[Plays]]</f>
        <v>3.0299781500815737</v>
      </c>
      <c r="J21" s="5">
        <v>1</v>
      </c>
      <c r="K21" s="12">
        <f>Table26[[#This Row],[APP]]/Table26[[#This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47AF-B0FB-4C3A-97DF-7CCD4E85175C}">
  <dimension ref="A1:O24"/>
  <sheetViews>
    <sheetView workbookViewId="0">
      <selection activeCell="O6" sqref="O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5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5" x14ac:dyDescent="0.3">
      <c r="A2" s="1" t="s">
        <v>249</v>
      </c>
      <c r="B2" s="1" t="s">
        <v>5</v>
      </c>
      <c r="C2" s="1" t="s">
        <v>250</v>
      </c>
      <c r="D2" s="1">
        <v>67.128431906127304</v>
      </c>
      <c r="E2" s="1">
        <v>96.4272309675152</v>
      </c>
      <c r="F2" s="1">
        <f>Table27[[#This Row],[ARIMAPP]]*$O$5+Table27[[#This Row],[LSTMPP]]*$O$6</f>
        <v>89.104861453186757</v>
      </c>
      <c r="G2" s="1">
        <f>Table27[[#This Row],[PP]]/$O$2</f>
        <v>4.0502209751448524</v>
      </c>
      <c r="H2" s="1">
        <v>15</v>
      </c>
      <c r="I2" s="1">
        <f>Table27[[#This Row],[PPG]]*Table27[[#This Row],[Plays]]</f>
        <v>60.753314627172784</v>
      </c>
      <c r="J2" s="1">
        <v>59</v>
      </c>
      <c r="K2" s="7">
        <f>Table27[[#This Row],[APP]]/Table27[[#This Row],[Plays]]</f>
        <v>3.9333333333333331</v>
      </c>
      <c r="N2" t="s">
        <v>846</v>
      </c>
      <c r="O2">
        <v>22</v>
      </c>
    </row>
    <row r="3" spans="1:15" x14ac:dyDescent="0.3">
      <c r="A3" s="2" t="s">
        <v>253</v>
      </c>
      <c r="B3" s="2" t="s">
        <v>5</v>
      </c>
      <c r="C3" s="2" t="s">
        <v>250</v>
      </c>
      <c r="D3" s="2">
        <v>98.485374699737605</v>
      </c>
      <c r="E3" s="2">
        <v>183.55011908173199</v>
      </c>
      <c r="F3" s="1">
        <f>Table27[[#This Row],[ARIMAPP]]*$O$5+Table27[[#This Row],[LSTMPP]]*$O$6</f>
        <v>157.13285180900621</v>
      </c>
      <c r="G3" s="1">
        <f>Table27[[#This Row],[PP]]/$O$2</f>
        <v>7.1424023549548279</v>
      </c>
      <c r="H3" s="2">
        <v>18</v>
      </c>
      <c r="I3" s="2">
        <f>Table27[[#This Row],[PPG]]*Table27[[#This Row],[Plays]]</f>
        <v>128.56324238918691</v>
      </c>
      <c r="J3" s="2">
        <v>77</v>
      </c>
      <c r="K3" s="6">
        <f>Table27[[#This Row],[APP]]/Table27[[#This Row],[Plays]]</f>
        <v>4.2777777777777777</v>
      </c>
    </row>
    <row r="4" spans="1:15" x14ac:dyDescent="0.3">
      <c r="A4" s="1" t="s">
        <v>255</v>
      </c>
      <c r="B4" s="1" t="s">
        <v>5</v>
      </c>
      <c r="C4" s="1" t="s">
        <v>250</v>
      </c>
      <c r="D4" s="1">
        <v>52.576443162830799</v>
      </c>
      <c r="E4" s="1">
        <v>90.395249244058206</v>
      </c>
      <c r="F4" s="1">
        <f>Table27[[#This Row],[ARIMAPP]]*$O$5+Table27[[#This Row],[LSTMPP]]*$O$6</f>
        <v>79.120735274285082</v>
      </c>
      <c r="G4" s="1">
        <f>Table27[[#This Row],[PP]]/$O$2</f>
        <v>3.596397057922049</v>
      </c>
      <c r="H4" s="1">
        <v>16</v>
      </c>
      <c r="I4" s="1">
        <f>Table27[[#This Row],[PPG]]*Table27[[#This Row],[Plays]]</f>
        <v>57.542352926752784</v>
      </c>
      <c r="J4" s="1">
        <v>72</v>
      </c>
      <c r="K4" s="6">
        <f>Table27[[#This Row],[APP]]/Table27[[#This Row],[Plays]]</f>
        <v>4.5</v>
      </c>
    </row>
    <row r="5" spans="1:15" x14ac:dyDescent="0.3">
      <c r="A5" s="2" t="s">
        <v>258</v>
      </c>
      <c r="B5" s="2" t="s">
        <v>6</v>
      </c>
      <c r="C5" s="2" t="s">
        <v>250</v>
      </c>
      <c r="D5" s="2">
        <v>127.208791208791</v>
      </c>
      <c r="E5" s="2">
        <v>79.930564871507499</v>
      </c>
      <c r="F5" s="1">
        <f>Table27[[#This Row],[ARIMAPP]]*$O$5+Table27[[#This Row],[LSTMPP]]*$O$6</f>
        <v>104.34678003393333</v>
      </c>
      <c r="G5" s="1">
        <f>Table27[[#This Row],[PP]]/$O$2</f>
        <v>4.7430354560878785</v>
      </c>
      <c r="H5" s="2">
        <v>18</v>
      </c>
      <c r="I5" s="2">
        <f>Table27[[#This Row],[PPG]]*Table27[[#This Row],[Plays]]</f>
        <v>85.374638209581818</v>
      </c>
      <c r="J5" s="2">
        <v>79</v>
      </c>
      <c r="K5" s="6">
        <f>Table27[[#This Row],[APP]]/Table27[[#This Row],[Plays]]</f>
        <v>4.3888888888888893</v>
      </c>
      <c r="N5" t="s">
        <v>9</v>
      </c>
      <c r="O5">
        <v>0.42599097465910873</v>
      </c>
    </row>
    <row r="6" spans="1:15" x14ac:dyDescent="0.3">
      <c r="A6" s="1" t="s">
        <v>260</v>
      </c>
      <c r="B6" s="1" t="s">
        <v>6</v>
      </c>
      <c r="C6" s="1" t="s">
        <v>250</v>
      </c>
      <c r="D6" s="1">
        <v>30.796466322545601</v>
      </c>
      <c r="E6" s="1">
        <v>46.030453442515601</v>
      </c>
      <c r="F6" s="1">
        <f>Table27[[#This Row],[ARIMAPP]]*$O$5+Table27[[#This Row],[LSTMPP]]*$O$6</f>
        <v>42.003445061714174</v>
      </c>
      <c r="G6" s="1">
        <f>Table27[[#This Row],[PP]]/$O$2</f>
        <v>1.9092475028051898</v>
      </c>
      <c r="H6" s="1">
        <v>5</v>
      </c>
      <c r="I6" s="1">
        <f>Table27[[#This Row],[PPG]]*Table27[[#This Row],[Plays]]</f>
        <v>9.5462375140259486</v>
      </c>
      <c r="J6" s="1">
        <v>7</v>
      </c>
      <c r="K6" s="6">
        <f>Table27[[#This Row],[APP]]/Table27[[#This Row],[Plays]]</f>
        <v>1.4</v>
      </c>
      <c r="N6" t="s">
        <v>10</v>
      </c>
      <c r="O6">
        <v>0.62750692632190597</v>
      </c>
    </row>
    <row r="7" spans="1:15" x14ac:dyDescent="0.3">
      <c r="A7" s="2" t="s">
        <v>262</v>
      </c>
      <c r="B7" s="2" t="s">
        <v>6</v>
      </c>
      <c r="C7" s="2" t="s">
        <v>250</v>
      </c>
      <c r="D7" s="2">
        <v>41.953097684543501</v>
      </c>
      <c r="E7" s="2">
        <v>55.902113739581999</v>
      </c>
      <c r="F7" s="1">
        <f>Table27[[#This Row],[ARIMAPP]]*$O$5+Table27[[#This Row],[LSTMPP]]*$O$6</f>
        <v>52.950604540230174</v>
      </c>
      <c r="G7" s="1">
        <f>Table27[[#This Row],[PP]]/$O$2</f>
        <v>2.4068456609195534</v>
      </c>
      <c r="H7" s="2">
        <v>14</v>
      </c>
      <c r="I7" s="2">
        <f>Table27[[#This Row],[PPG]]*Table27[[#This Row],[Plays]]</f>
        <v>33.695839252873746</v>
      </c>
      <c r="J7" s="2">
        <v>60</v>
      </c>
      <c r="K7" s="6">
        <f>Table27[[#This Row],[APP]]/Table27[[#This Row],[Plays]]</f>
        <v>4.2857142857142856</v>
      </c>
    </row>
    <row r="8" spans="1:15" x14ac:dyDescent="0.3">
      <c r="A8" s="1" t="s">
        <v>264</v>
      </c>
      <c r="B8" s="1" t="s">
        <v>5</v>
      </c>
      <c r="C8" s="1" t="s">
        <v>250</v>
      </c>
      <c r="D8" s="1">
        <v>53.510869209744598</v>
      </c>
      <c r="E8" s="1">
        <v>74.868846812722495</v>
      </c>
      <c r="F8" s="1">
        <f>Table27[[#This Row],[ARIMAPP]]*$O$5+Table27[[#This Row],[LSTMPP]]*$O$6</f>
        <v>69.775867270232311</v>
      </c>
      <c r="G8" s="1">
        <f>Table27[[#This Row],[PP]]/$O$2</f>
        <v>3.171630330465105</v>
      </c>
      <c r="H8" s="1">
        <v>21</v>
      </c>
      <c r="I8" s="1">
        <f>Table27[[#This Row],[PPG]]*Table27[[#This Row],[Plays]]</f>
        <v>66.604236939767205</v>
      </c>
      <c r="J8" s="1">
        <v>94</v>
      </c>
      <c r="K8" s="6">
        <f>Table27[[#This Row],[APP]]/Table27[[#This Row],[Plays]]</f>
        <v>4.4761904761904763</v>
      </c>
      <c r="N8" t="s">
        <v>849</v>
      </c>
      <c r="O8" cm="1">
        <f t="array" ref="O8">(SUM(Table27[Tot]-Table27[APP]))^2</f>
        <v>1.174140571330954E-26</v>
      </c>
    </row>
    <row r="9" spans="1:15" x14ac:dyDescent="0.3">
      <c r="A9" s="2" t="s">
        <v>266</v>
      </c>
      <c r="B9" s="2" t="s">
        <v>4</v>
      </c>
      <c r="C9" s="2" t="s">
        <v>250</v>
      </c>
      <c r="D9" s="2">
        <v>28.050571647025201</v>
      </c>
      <c r="E9" s="2">
        <v>40.411744446936403</v>
      </c>
      <c r="F9" s="1">
        <f>Table27[[#This Row],[ARIMAPP]]*$O$5+Table27[[#This Row],[LSTMPP]]*$O$6</f>
        <v>37.307939900864838</v>
      </c>
      <c r="G9" s="1">
        <f>Table27[[#This Row],[PP]]/$O$2</f>
        <v>1.6958154500393108</v>
      </c>
      <c r="H9" s="2">
        <v>2</v>
      </c>
      <c r="I9" s="2">
        <f>Table27[[#This Row],[PPG]]*Table27[[#This Row],[Plays]]</f>
        <v>3.3916309000786216</v>
      </c>
      <c r="J9" s="2">
        <v>9</v>
      </c>
      <c r="K9" s="6">
        <f>Table27[[#This Row],[APP]]/Table27[[#This Row],[Plays]]</f>
        <v>4.5</v>
      </c>
    </row>
    <row r="10" spans="1:15" x14ac:dyDescent="0.3">
      <c r="A10" s="1" t="s">
        <v>268</v>
      </c>
      <c r="B10" s="1" t="s">
        <v>6</v>
      </c>
      <c r="C10" s="1" t="s">
        <v>250</v>
      </c>
      <c r="D10" s="1">
        <v>76.505494505494397</v>
      </c>
      <c r="E10" s="1">
        <v>74.340948608661193</v>
      </c>
      <c r="F10" s="1">
        <f>Table27[[#This Row],[ARIMAPP]]*$O$5+Table27[[#This Row],[LSTMPP]]*$O$6</f>
        <v>79.24011033244841</v>
      </c>
      <c r="G10" s="1">
        <f>Table27[[#This Row],[PP]]/$O$2</f>
        <v>3.6018231969294732</v>
      </c>
      <c r="H10" s="1">
        <v>13</v>
      </c>
      <c r="I10" s="1">
        <f>Table27[[#This Row],[PPG]]*Table27[[#This Row],[Plays]]</f>
        <v>46.823701560083151</v>
      </c>
      <c r="J10" s="1">
        <v>39</v>
      </c>
      <c r="K10" s="6">
        <f>Table27[[#This Row],[APP]]/Table27[[#This Row],[Plays]]</f>
        <v>3</v>
      </c>
    </row>
    <row r="11" spans="1:15" x14ac:dyDescent="0.3">
      <c r="A11" s="2" t="s">
        <v>270</v>
      </c>
      <c r="B11" s="2" t="s">
        <v>6</v>
      </c>
      <c r="C11" s="2" t="s">
        <v>250</v>
      </c>
      <c r="D11" s="2">
        <v>31.382255217460301</v>
      </c>
      <c r="E11" s="2">
        <v>68.213251751370507</v>
      </c>
      <c r="F11" s="1">
        <f>Table27[[#This Row],[ARIMAPP]]*$O$5+Table27[[#This Row],[LSTMPP]]*$O$6</f>
        <v>56.172845428011684</v>
      </c>
      <c r="G11" s="1">
        <f>Table27[[#This Row],[PP]]/$O$2</f>
        <v>2.5533111558187129</v>
      </c>
      <c r="H11" s="2">
        <v>11</v>
      </c>
      <c r="I11" s="2">
        <f>Table27[[#This Row],[PPG]]*Table27[[#This Row],[Plays]]</f>
        <v>28.086422714005842</v>
      </c>
      <c r="J11" s="2">
        <v>32</v>
      </c>
      <c r="K11" s="6">
        <f>Table27[[#This Row],[APP]]/Table27[[#This Row],[Plays]]</f>
        <v>2.9090909090909092</v>
      </c>
    </row>
    <row r="12" spans="1:15" x14ac:dyDescent="0.3">
      <c r="A12" s="1" t="s">
        <v>272</v>
      </c>
      <c r="B12" s="1" t="s">
        <v>6</v>
      </c>
      <c r="C12" s="1" t="s">
        <v>250</v>
      </c>
      <c r="D12" s="1">
        <v>8.4161652058531597</v>
      </c>
      <c r="E12" s="1">
        <v>71.324907832590299</v>
      </c>
      <c r="F12" s="1">
        <f>Table27[[#This Row],[ARIMAPP]]*$O$5+Table27[[#This Row],[LSTMPP]]*$O$6</f>
        <v>48.342084103155436</v>
      </c>
      <c r="G12" s="1">
        <f>Table27[[#This Row],[PP]]/$O$2</f>
        <v>2.197367459234338</v>
      </c>
      <c r="H12" s="1">
        <v>12</v>
      </c>
      <c r="I12" s="1">
        <f>Table27[[#This Row],[PPG]]*Table27[[#This Row],[Plays]]</f>
        <v>26.368409510812057</v>
      </c>
      <c r="J12" s="1">
        <v>30</v>
      </c>
      <c r="K12" s="6">
        <f>Table27[[#This Row],[APP]]/Table27[[#This Row],[Plays]]</f>
        <v>2.5</v>
      </c>
    </row>
    <row r="13" spans="1:15" x14ac:dyDescent="0.3">
      <c r="A13" s="2" t="s">
        <v>274</v>
      </c>
      <c r="B13" s="2" t="s">
        <v>5</v>
      </c>
      <c r="C13" s="2" t="s">
        <v>250</v>
      </c>
      <c r="D13" s="2">
        <v>19.9059432058366</v>
      </c>
      <c r="E13" s="2">
        <v>49.569834518421303</v>
      </c>
      <c r="F13" s="1">
        <f>Table27[[#This Row],[ARIMAPP]]*$O$5+Table27[[#This Row],[LSTMPP]]*$O$6</f>
        <v>39.585166644703264</v>
      </c>
      <c r="G13" s="1">
        <f>Table27[[#This Row],[PP]]/$O$2</f>
        <v>1.799325756577421</v>
      </c>
      <c r="H13" s="2">
        <v>13</v>
      </c>
      <c r="I13" s="2">
        <f>Table27[[#This Row],[PPG]]*Table27[[#This Row],[Plays]]</f>
        <v>23.391234835506474</v>
      </c>
      <c r="J13" s="2">
        <v>41</v>
      </c>
      <c r="K13" s="6">
        <f>Table27[[#This Row],[APP]]/Table27[[#This Row],[Plays]]</f>
        <v>3.1538461538461537</v>
      </c>
    </row>
    <row r="14" spans="1:15" x14ac:dyDescent="0.3">
      <c r="A14" s="1" t="s">
        <v>276</v>
      </c>
      <c r="B14" s="1" t="s">
        <v>7</v>
      </c>
      <c r="C14" s="1" t="s">
        <v>250</v>
      </c>
      <c r="D14" s="1">
        <v>56.593779196458598</v>
      </c>
      <c r="E14" s="1">
        <v>77.080076200693199</v>
      </c>
      <c r="F14" s="1">
        <f>Table27[[#This Row],[ARIMAPP]]*$O$5+Table27[[#This Row],[LSTMPP]]*$O$6</f>
        <v>72.476720856897074</v>
      </c>
      <c r="G14" s="1">
        <f>Table27[[#This Row],[PP]]/$O$2</f>
        <v>3.2943964025862305</v>
      </c>
      <c r="H14" s="1">
        <v>13</v>
      </c>
      <c r="I14" s="1">
        <f>Table27[[#This Row],[PPG]]*Table27[[#This Row],[Plays]]</f>
        <v>42.827153233620997</v>
      </c>
      <c r="J14" s="1">
        <v>23</v>
      </c>
      <c r="K14" s="6">
        <f>Table27[[#This Row],[APP]]/Table27[[#This Row],[Plays]]</f>
        <v>1.7692307692307692</v>
      </c>
    </row>
    <row r="15" spans="1:15" x14ac:dyDescent="0.3">
      <c r="A15" s="2" t="s">
        <v>278</v>
      </c>
      <c r="B15" s="2" t="s">
        <v>5</v>
      </c>
      <c r="C15" s="2" t="s">
        <v>250</v>
      </c>
      <c r="D15" s="2">
        <v>68.072031629073905</v>
      </c>
      <c r="E15" s="2">
        <v>97.625985847397004</v>
      </c>
      <c r="F15" s="1">
        <f>Table27[[#This Row],[ARIMAPP]]*$O$5+Table27[[#This Row],[LSTMPP]]*$O$6</f>
        <v>90.259053408940858</v>
      </c>
      <c r="G15" s="1">
        <f>Table27[[#This Row],[PP]]/$O$2</f>
        <v>4.1026842458609485</v>
      </c>
      <c r="H15" s="2">
        <v>6</v>
      </c>
      <c r="I15" s="2">
        <f>Table27[[#This Row],[PPG]]*Table27[[#This Row],[Plays]]</f>
        <v>24.616105475165689</v>
      </c>
      <c r="J15" s="2">
        <v>54</v>
      </c>
      <c r="K15" s="6">
        <f>Table27[[#This Row],[APP]]/Table27[[#This Row],[Plays]]</f>
        <v>9</v>
      </c>
    </row>
    <row r="16" spans="1:15" x14ac:dyDescent="0.3">
      <c r="A16" s="1" t="s">
        <v>279</v>
      </c>
      <c r="B16" s="1" t="s">
        <v>6</v>
      </c>
      <c r="C16" s="1" t="s">
        <v>250</v>
      </c>
      <c r="D16" s="1">
        <v>57.156801020450096</v>
      </c>
      <c r="E16" s="1">
        <v>83.6564133069121</v>
      </c>
      <c r="F16" s="1">
        <f>Table27[[#This Row],[ARIMAPP]]*$O$5+Table27[[#This Row],[LSTMPP]]*$O$6</f>
        <v>76.843260156433686</v>
      </c>
      <c r="G16" s="1">
        <f>Table27[[#This Row],[PP]]/$O$2</f>
        <v>3.4928754616560767</v>
      </c>
      <c r="H16" s="1">
        <v>12</v>
      </c>
      <c r="I16" s="1">
        <f>Table27[[#This Row],[PPG]]*Table27[[#This Row],[Plays]]</f>
        <v>41.91450553987292</v>
      </c>
      <c r="J16" s="1">
        <v>37</v>
      </c>
      <c r="K16" s="6">
        <f>Table27[[#This Row],[APP]]/Table27[[#This Row],[Plays]]</f>
        <v>3.0833333333333335</v>
      </c>
    </row>
    <row r="17" spans="1:11" x14ac:dyDescent="0.3">
      <c r="A17" s="2" t="s">
        <v>281</v>
      </c>
      <c r="B17" s="2" t="s">
        <v>6</v>
      </c>
      <c r="C17" s="2" t="s">
        <v>250</v>
      </c>
      <c r="D17" s="2">
        <v>127.58241758179</v>
      </c>
      <c r="E17" s="2">
        <v>117.340475067402</v>
      </c>
      <c r="F17" s="1">
        <f>Table27[[#This Row],[ARIMAPP]]*$O$5+Table27[[#This Row],[LSTMPP]]*$O$6</f>
        <v>127.98091925772979</v>
      </c>
      <c r="G17" s="1">
        <f>Table27[[#This Row],[PP]]/$O$2</f>
        <v>5.8173145117149909</v>
      </c>
      <c r="H17" s="2">
        <v>19</v>
      </c>
      <c r="I17" s="2">
        <f>Table27[[#This Row],[PPG]]*Table27[[#This Row],[Plays]]</f>
        <v>110.52897572258483</v>
      </c>
      <c r="J17" s="2">
        <v>96</v>
      </c>
      <c r="K17" s="6">
        <f>Table27[[#This Row],[APP]]/Table27[[#This Row],[Plays]]</f>
        <v>5.0526315789473681</v>
      </c>
    </row>
    <row r="18" spans="1:11" x14ac:dyDescent="0.3">
      <c r="A18" s="1" t="s">
        <v>284</v>
      </c>
      <c r="B18" s="1" t="s">
        <v>6</v>
      </c>
      <c r="C18" s="1" t="s">
        <v>250</v>
      </c>
      <c r="D18" s="1">
        <v>93.867924528301899</v>
      </c>
      <c r="E18" s="1">
        <v>82.961248243786699</v>
      </c>
      <c r="F18" s="1">
        <f>Table27[[#This Row],[ARIMAPP]]*$O$5+Table27[[#This Row],[LSTMPP]]*$O$6</f>
        <v>92.045646548326189</v>
      </c>
      <c r="G18" s="1">
        <f>Table27[[#This Row],[PP]]/$O$2</f>
        <v>4.1838930249239175</v>
      </c>
      <c r="H18" s="1">
        <v>15</v>
      </c>
      <c r="I18" s="1">
        <f>Table27[[#This Row],[PPG]]*Table27[[#This Row],[Plays]]</f>
        <v>62.758395373858761</v>
      </c>
      <c r="J18" s="1">
        <v>49</v>
      </c>
      <c r="K18" s="6">
        <f>Table27[[#This Row],[APP]]/Table27[[#This Row],[Plays]]</f>
        <v>3.2666666666666666</v>
      </c>
    </row>
    <row r="19" spans="1:11" x14ac:dyDescent="0.3">
      <c r="A19" s="2" t="s">
        <v>213</v>
      </c>
      <c r="B19" s="2" t="s">
        <v>5</v>
      </c>
      <c r="C19" s="2" t="s">
        <v>250</v>
      </c>
      <c r="D19" s="2">
        <v>59.298561690268002</v>
      </c>
      <c r="E19" s="2">
        <v>76.828469115498606</v>
      </c>
      <c r="F19" s="1">
        <f>Table27[[#This Row],[ARIMAPP]]*$O$5+Table27[[#This Row],[LSTMPP]]*$O$6</f>
        <v>73.471048599004561</v>
      </c>
      <c r="G19" s="1">
        <f>Table27[[#This Row],[PP]]/$O$2</f>
        <v>3.339593118136571</v>
      </c>
      <c r="H19" s="2">
        <v>16</v>
      </c>
      <c r="I19" s="2">
        <f>Table27[[#This Row],[PPG]]*Table27[[#This Row],[Plays]]</f>
        <v>53.433489890185136</v>
      </c>
      <c r="J19" s="2">
        <v>91</v>
      </c>
      <c r="K19" s="6">
        <f>Table27[[#This Row],[APP]]/Table27[[#This Row],[Plays]]</f>
        <v>5.6875</v>
      </c>
    </row>
    <row r="20" spans="1:11" x14ac:dyDescent="0.3">
      <c r="A20" s="1" t="s">
        <v>287</v>
      </c>
      <c r="B20" s="1" t="s">
        <v>4</v>
      </c>
      <c r="C20" s="1" t="s">
        <v>250</v>
      </c>
      <c r="D20" s="1">
        <v>153.254901960784</v>
      </c>
      <c r="E20" s="1">
        <v>109.19465151175601</v>
      </c>
      <c r="F20" s="1">
        <f>Table27[[#This Row],[ARIMAPP]]*$O$5+Table27[[#This Row],[LSTMPP]]*$O$6</f>
        <v>133.80560519849422</v>
      </c>
      <c r="G20" s="1">
        <f>Table27[[#This Row],[PP]]/$O$2</f>
        <v>6.0820729635679189</v>
      </c>
      <c r="H20" s="1">
        <v>20</v>
      </c>
      <c r="I20" s="1">
        <f>Table27[[#This Row],[PPG]]*Table27[[#This Row],[Plays]]</f>
        <v>121.64145927135837</v>
      </c>
      <c r="J20" s="1">
        <v>83</v>
      </c>
      <c r="K20" s="6">
        <f>Table27[[#This Row],[APP]]/Table27[[#This Row],[Plays]]</f>
        <v>4.1500000000000004</v>
      </c>
    </row>
    <row r="21" spans="1:11" x14ac:dyDescent="0.3">
      <c r="A21" s="2" t="s">
        <v>289</v>
      </c>
      <c r="B21" s="2" t="s">
        <v>5</v>
      </c>
      <c r="C21" s="2" t="s">
        <v>250</v>
      </c>
      <c r="D21" s="2">
        <v>11.8086710750294</v>
      </c>
      <c r="E21" s="2">
        <v>127.52135010066</v>
      </c>
      <c r="F21" s="1">
        <f>Table27[[#This Row],[ARIMAPP]]*$O$5+Table27[[#This Row],[LSTMPP]]*$O$6</f>
        <v>85.050917742765435</v>
      </c>
      <c r="G21" s="1">
        <f>Table27[[#This Row],[PP]]/$O$2</f>
        <v>3.8659508064893378</v>
      </c>
      <c r="H21" s="2">
        <v>2</v>
      </c>
      <c r="I21" s="2">
        <f>Table27[[#This Row],[PPG]]*Table27[[#This Row],[Plays]]</f>
        <v>7.7319016129786755</v>
      </c>
      <c r="J21" s="2">
        <v>10</v>
      </c>
      <c r="K21" s="6">
        <f>Table27[[#This Row],[APP]]/Table27[[#This Row],[Plays]]</f>
        <v>5</v>
      </c>
    </row>
    <row r="22" spans="1:11" x14ac:dyDescent="0.3">
      <c r="A22" s="1" t="s">
        <v>291</v>
      </c>
      <c r="B22" s="1" t="s">
        <v>5</v>
      </c>
      <c r="C22" s="1" t="s">
        <v>250</v>
      </c>
      <c r="D22" s="1">
        <v>61.642940719111699</v>
      </c>
      <c r="E22" s="1">
        <v>153.14863841250499</v>
      </c>
      <c r="F22" s="1">
        <f>Table27[[#This Row],[ARIMAPP]]*$O$5+Table27[[#This Row],[LSTMPP]]*$O$6</f>
        <v>122.36116775840404</v>
      </c>
      <c r="G22" s="1">
        <f>Table27[[#This Row],[PP]]/$O$2</f>
        <v>5.5618712617456376</v>
      </c>
      <c r="H22" s="1">
        <v>14</v>
      </c>
      <c r="I22" s="1">
        <f>Table27[[#This Row],[PPG]]*Table27[[#This Row],[Plays]]</f>
        <v>77.866197664438928</v>
      </c>
      <c r="J22" s="1">
        <v>57</v>
      </c>
      <c r="K22" s="6">
        <f>Table27[[#This Row],[APP]]/Table27[[#This Row],[Plays]]</f>
        <v>4.0714285714285712</v>
      </c>
    </row>
    <row r="23" spans="1:11" x14ac:dyDescent="0.3">
      <c r="A23" s="2" t="s">
        <v>293</v>
      </c>
      <c r="B23" s="2" t="s">
        <v>7</v>
      </c>
      <c r="C23" s="2" t="s">
        <v>250</v>
      </c>
      <c r="D23" s="2">
        <v>18.908088202570799</v>
      </c>
      <c r="E23" s="2">
        <v>59.954480308565103</v>
      </c>
      <c r="F23" s="1">
        <f>Table27[[#This Row],[ARIMAPP]]*$O$5+Table27[[#This Row],[LSTMPP]]*$O$6</f>
        <v>45.676526580008449</v>
      </c>
      <c r="G23" s="1">
        <f>Table27[[#This Row],[PP]]/$O$2</f>
        <v>2.0762057536367475</v>
      </c>
      <c r="H23" s="2">
        <v>14</v>
      </c>
      <c r="I23" s="2">
        <f>Table27[[#This Row],[PPG]]*Table27[[#This Row],[Plays]]</f>
        <v>29.066880550914465</v>
      </c>
      <c r="J23" s="2">
        <v>55</v>
      </c>
      <c r="K23" s="6">
        <f>Table27[[#This Row],[APP]]/Table27[[#This Row],[Plays]]</f>
        <v>3.9285714285714284</v>
      </c>
    </row>
    <row r="24" spans="1:11" x14ac:dyDescent="0.3">
      <c r="A24" s="4" t="s">
        <v>294</v>
      </c>
      <c r="B24" s="4" t="s">
        <v>6</v>
      </c>
      <c r="C24" s="4" t="s">
        <v>250</v>
      </c>
      <c r="D24" s="4">
        <v>3.54093212664969</v>
      </c>
      <c r="E24" s="4">
        <v>106.095660357348</v>
      </c>
      <c r="F24" s="1">
        <f>Table27[[#This Row],[ARIMAPP]]*$O$5+Table27[[#This Row],[LSTMPP]]*$O$6</f>
        <v>68.084166854765584</v>
      </c>
      <c r="G24" s="4">
        <f>Table27[[#This Row],[PP]]/$O$2</f>
        <v>3.0947348570347994</v>
      </c>
      <c r="H24" s="4">
        <v>5</v>
      </c>
      <c r="I24" s="4">
        <f>Table27[[#This Row],[PPG]]*Table27[[#This Row],[Plays]]</f>
        <v>15.473674285173997</v>
      </c>
      <c r="J24" s="4">
        <v>4</v>
      </c>
      <c r="K24" s="8">
        <f>Table27[[#This Row],[APP]]/Table27[[#This Row],[Plays]]</f>
        <v>0.8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3E2-D67D-4675-9386-204AE89B7CF0}">
  <dimension ref="A1:N25"/>
  <sheetViews>
    <sheetView workbookViewId="0">
      <selection activeCell="F3" sqref="F3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297</v>
      </c>
      <c r="B2" s="1" t="s">
        <v>6</v>
      </c>
      <c r="C2" s="1" t="s">
        <v>298</v>
      </c>
      <c r="D2" s="1">
        <v>60.751668190455803</v>
      </c>
      <c r="E2" s="1">
        <v>96.2538547294685</v>
      </c>
      <c r="F2" s="1">
        <f>Table28[[#This Row],[ARIMAPP]]*$N$5+Table28[[#This Row],[LSTMPP]]*$N$6</f>
        <v>67.79676727861056</v>
      </c>
      <c r="G2" s="1">
        <f>Table28[[#This Row],[PP]]/$N$2</f>
        <v>3.2284174894576458</v>
      </c>
      <c r="H2" s="1">
        <v>18</v>
      </c>
      <c r="I2" s="1">
        <f>Table28[[#This Row],[PPG]]*Table28[[#This Row],[Plays]]</f>
        <v>58.111514810237622</v>
      </c>
      <c r="J2" s="1">
        <v>100</v>
      </c>
      <c r="K2" s="11">
        <f>Table28[[#This Row],[APP]]/Table28[[#This Row],[Plays]]</f>
        <v>5.5555555555555554</v>
      </c>
      <c r="M2" t="s">
        <v>846</v>
      </c>
      <c r="N2">
        <v>21</v>
      </c>
    </row>
    <row r="3" spans="1:14" x14ac:dyDescent="0.3">
      <c r="A3" s="2" t="s">
        <v>300</v>
      </c>
      <c r="B3" s="2" t="s">
        <v>4</v>
      </c>
      <c r="C3" s="2" t="s">
        <v>298</v>
      </c>
      <c r="D3" s="2">
        <v>68.909637628316005</v>
      </c>
      <c r="E3" s="2">
        <v>94.367914543363298</v>
      </c>
      <c r="F3" s="1">
        <f>Table28[[#This Row],[ARIMAPP]]*$N$5+Table28[[#This Row],[LSTMPP]]*$N$6</f>
        <v>69.891219335464655</v>
      </c>
      <c r="G3" s="2">
        <f>Table28[[#This Row],[PP]]/$N$2</f>
        <v>3.328153301688793</v>
      </c>
      <c r="H3" s="2">
        <v>18</v>
      </c>
      <c r="I3" s="2">
        <f>Table28[[#This Row],[PPG]]*Table28[[#This Row],[Plays]]</f>
        <v>59.906759430398274</v>
      </c>
      <c r="J3" s="2">
        <v>61</v>
      </c>
      <c r="K3" s="10">
        <f>Table28[[#This Row],[APP]]/Table28[[#This Row],[Plays]]</f>
        <v>3.3888888888888888</v>
      </c>
    </row>
    <row r="4" spans="1:14" x14ac:dyDescent="0.3">
      <c r="A4" s="1" t="s">
        <v>301</v>
      </c>
      <c r="B4" s="1" t="s">
        <v>5</v>
      </c>
      <c r="C4" s="1" t="s">
        <v>298</v>
      </c>
      <c r="D4" s="1">
        <v>17.7523436818656</v>
      </c>
      <c r="E4" s="1">
        <v>36.061202234261103</v>
      </c>
      <c r="F4" s="1">
        <f>Table28[[#This Row],[ARIMAPP]]*$N$5+Table28[[#This Row],[LSTMPP]]*$N$6</f>
        <v>23.566168918152364</v>
      </c>
      <c r="G4" s="1">
        <f>Table28[[#This Row],[PP]]/$N$2</f>
        <v>1.1221985199120172</v>
      </c>
      <c r="H4" s="1">
        <v>8</v>
      </c>
      <c r="I4" s="1">
        <f>Table28[[#This Row],[PPG]]*Table28[[#This Row],[Plays]]</f>
        <v>8.977588159296138</v>
      </c>
      <c r="J4" s="1">
        <v>17</v>
      </c>
      <c r="K4" s="10">
        <f>Table28[[#This Row],[APP]]/Table28[[#This Row],[Plays]]</f>
        <v>2.125</v>
      </c>
    </row>
    <row r="5" spans="1:14" x14ac:dyDescent="0.3">
      <c r="A5" s="2" t="s">
        <v>302</v>
      </c>
      <c r="B5" s="2" t="s">
        <v>6</v>
      </c>
      <c r="C5" s="2" t="s">
        <v>298</v>
      </c>
      <c r="D5" s="2">
        <v>37.891341230364802</v>
      </c>
      <c r="E5" s="2">
        <v>47.826537824115199</v>
      </c>
      <c r="F5" s="1">
        <f>Table28[[#This Row],[ARIMAPP]]*$N$5+Table28[[#This Row],[LSTMPP]]*$N$6</f>
        <v>36.507977095080427</v>
      </c>
      <c r="G5" s="2">
        <f>Table28[[#This Row],[PP]]/$N$2</f>
        <v>1.7384750997657346</v>
      </c>
      <c r="H5" s="2">
        <v>11</v>
      </c>
      <c r="I5" s="2">
        <f>Table28[[#This Row],[PPG]]*Table28[[#This Row],[Plays]]</f>
        <v>19.123226097423078</v>
      </c>
      <c r="J5" s="2">
        <v>33</v>
      </c>
      <c r="K5" s="10">
        <f>Table28[[#This Row],[APP]]/Table28[[#This Row],[Plays]]</f>
        <v>3</v>
      </c>
      <c r="M5" t="s">
        <v>9</v>
      </c>
      <c r="N5">
        <v>0.36614365864232062</v>
      </c>
    </row>
    <row r="6" spans="1:14" x14ac:dyDescent="0.3">
      <c r="A6" s="1" t="s">
        <v>303</v>
      </c>
      <c r="B6" s="1" t="s">
        <v>7</v>
      </c>
      <c r="C6" s="1" t="s">
        <v>298</v>
      </c>
      <c r="D6" s="1">
        <v>41.203296855547201</v>
      </c>
      <c r="E6" s="1">
        <v>58.183887462666803</v>
      </c>
      <c r="F6" s="1">
        <f>Table28[[#This Row],[ARIMAPP]]*$N$5+Table28[[#This Row],[LSTMPP]]*$N$6</f>
        <v>42.622329634528676</v>
      </c>
      <c r="G6" s="1">
        <f>Table28[[#This Row],[PP]]/$N$2</f>
        <v>2.0296347445013656</v>
      </c>
      <c r="H6" s="1">
        <v>20</v>
      </c>
      <c r="I6" s="1">
        <f>Table28[[#This Row],[PPG]]*Table28[[#This Row],[Plays]]</f>
        <v>40.59269489002731</v>
      </c>
      <c r="J6" s="1">
        <v>53</v>
      </c>
      <c r="K6" s="10">
        <f>Table28[[#This Row],[APP]]/Table28[[#This Row],[Plays]]</f>
        <v>2.65</v>
      </c>
      <c r="M6" t="s">
        <v>10</v>
      </c>
      <c r="N6">
        <v>0.47325823310416032</v>
      </c>
    </row>
    <row r="7" spans="1:14" x14ac:dyDescent="0.3">
      <c r="A7" s="2" t="s">
        <v>305</v>
      </c>
      <c r="B7" s="2" t="s">
        <v>5</v>
      </c>
      <c r="C7" s="2" t="s">
        <v>298</v>
      </c>
      <c r="D7" s="2">
        <v>48.461538726327198</v>
      </c>
      <c r="E7" s="2">
        <v>84.152510234032704</v>
      </c>
      <c r="F7" s="1">
        <f>Table28[[#This Row],[ARIMAPP]]*$N$5+Table28[[#This Row],[LSTMPP]]*$N$6</f>
        <v>57.569753397332036</v>
      </c>
      <c r="G7" s="2">
        <f>Table28[[#This Row],[PP]]/$N$2</f>
        <v>2.7414168284443825</v>
      </c>
      <c r="H7" s="2">
        <v>17</v>
      </c>
      <c r="I7" s="2">
        <f>Table28[[#This Row],[PPG]]*Table28[[#This Row],[Plays]]</f>
        <v>46.604086083554506</v>
      </c>
      <c r="J7" s="2">
        <v>53</v>
      </c>
      <c r="K7" s="10">
        <f>Table28[[#This Row],[APP]]/Table28[[#This Row],[Plays]]</f>
        <v>3.1176470588235294</v>
      </c>
    </row>
    <row r="8" spans="1:14" x14ac:dyDescent="0.3">
      <c r="A8" s="1" t="s">
        <v>307</v>
      </c>
      <c r="B8" s="1" t="s">
        <v>6</v>
      </c>
      <c r="C8" s="1" t="s">
        <v>298</v>
      </c>
      <c r="D8" s="1">
        <v>35.183110216580999</v>
      </c>
      <c r="E8" s="1">
        <v>45.205145095494998</v>
      </c>
      <c r="F8" s="1">
        <f>Table28[[#This Row],[ARIMAPP]]*$N$5+Table28[[#This Row],[LSTMPP]]*$N$6</f>
        <v>34.275779792226139</v>
      </c>
      <c r="G8" s="1">
        <f>Table28[[#This Row],[PP]]/$N$2</f>
        <v>1.6321799901060066</v>
      </c>
      <c r="H8" s="1">
        <v>10</v>
      </c>
      <c r="I8" s="1">
        <f>Table28[[#This Row],[PPG]]*Table28[[#This Row],[Plays]]</f>
        <v>16.321799901060064</v>
      </c>
      <c r="J8" s="1">
        <v>15</v>
      </c>
      <c r="K8" s="10">
        <f>Table28[[#This Row],[APP]]/Table28[[#This Row],[Plays]]</f>
        <v>1.5</v>
      </c>
      <c r="M8" t="s">
        <v>849</v>
      </c>
      <c r="N8" cm="1">
        <f t="array" ref="N8">(SUM(Table28[Tot]-Table28[APP]))^2</f>
        <v>2.473867798773093E-27</v>
      </c>
    </row>
    <row r="9" spans="1:14" x14ac:dyDescent="0.3">
      <c r="A9" s="2" t="s">
        <v>309</v>
      </c>
      <c r="B9" s="2" t="s">
        <v>7</v>
      </c>
      <c r="C9" s="2" t="s">
        <v>298</v>
      </c>
      <c r="D9" s="2">
        <v>53.972377151090697</v>
      </c>
      <c r="E9" s="2">
        <v>83.494665608386001</v>
      </c>
      <c r="F9" s="1">
        <f>Table28[[#This Row],[ARIMAPP]]*$N$5+Table28[[#This Row],[LSTMPP]]*$N$6</f>
        <v>59.276181555171</v>
      </c>
      <c r="G9" s="2">
        <f>Table28[[#This Row],[PP]]/$N$2</f>
        <v>2.822675312151</v>
      </c>
      <c r="H9" s="2">
        <v>19</v>
      </c>
      <c r="I9" s="2">
        <f>Table28[[#This Row],[PPG]]*Table28[[#This Row],[Plays]]</f>
        <v>53.630830930869003</v>
      </c>
      <c r="J9" s="2">
        <v>46</v>
      </c>
      <c r="K9" s="10">
        <f>Table28[[#This Row],[APP]]/Table28[[#This Row],[Plays]]</f>
        <v>2.4210526315789473</v>
      </c>
    </row>
    <row r="10" spans="1:14" x14ac:dyDescent="0.3">
      <c r="A10" s="1" t="s">
        <v>311</v>
      </c>
      <c r="B10" s="1" t="s">
        <v>6</v>
      </c>
      <c r="C10" s="1" t="s">
        <v>298</v>
      </c>
      <c r="D10" s="1">
        <v>104.153846153846</v>
      </c>
      <c r="E10" s="1">
        <v>72.989696611372594</v>
      </c>
      <c r="F10" s="1">
        <f>Table28[[#This Row],[ARIMAPP]]*$N$5+Table28[[#This Row],[LSTMPP]]*$N$6</f>
        <v>72.678245145545475</v>
      </c>
      <c r="G10" s="1">
        <f>Table28[[#This Row],[PP]]/$N$2</f>
        <v>3.4608688164545462</v>
      </c>
      <c r="H10" s="1">
        <v>17</v>
      </c>
      <c r="I10" s="1">
        <f>Table28[[#This Row],[PPG]]*Table28[[#This Row],[Plays]]</f>
        <v>58.83476987972729</v>
      </c>
      <c r="J10" s="1">
        <v>61</v>
      </c>
      <c r="K10" s="10">
        <f>Table28[[#This Row],[APP]]/Table28[[#This Row],[Plays]]</f>
        <v>3.5882352941176472</v>
      </c>
    </row>
    <row r="11" spans="1:14" x14ac:dyDescent="0.3">
      <c r="A11" s="2" t="s">
        <v>313</v>
      </c>
      <c r="B11" s="2" t="s">
        <v>6</v>
      </c>
      <c r="C11" s="2" t="s">
        <v>298</v>
      </c>
      <c r="D11" s="2">
        <v>32.939575710223799</v>
      </c>
      <c r="E11" s="2">
        <v>73.560371617692894</v>
      </c>
      <c r="F11" s="1">
        <f>Table28[[#This Row],[ARIMAPP]]*$N$5+Table28[[#This Row],[LSTMPP]]*$N$6</f>
        <v>46.87366826294182</v>
      </c>
      <c r="G11" s="2">
        <f>Table28[[#This Row],[PP]]/$N$2</f>
        <v>2.2320794410924676</v>
      </c>
      <c r="H11" s="2">
        <v>16</v>
      </c>
      <c r="I11" s="2">
        <f>Table28[[#This Row],[PPG]]*Table28[[#This Row],[Plays]]</f>
        <v>35.713271057479481</v>
      </c>
      <c r="J11" s="2">
        <v>38</v>
      </c>
      <c r="K11" s="10">
        <f>Table28[[#This Row],[APP]]/Table28[[#This Row],[Plays]]</f>
        <v>2.375</v>
      </c>
    </row>
    <row r="12" spans="1:14" x14ac:dyDescent="0.3">
      <c r="A12" s="1" t="s">
        <v>314</v>
      </c>
      <c r="B12" s="1" t="s">
        <v>4</v>
      </c>
      <c r="C12" s="1" t="s">
        <v>298</v>
      </c>
      <c r="D12" s="1">
        <v>0.78209924656710506</v>
      </c>
      <c r="E12" s="1">
        <v>50.417948281995599</v>
      </c>
      <c r="F12" s="1">
        <f>Table28[[#This Row],[ARIMAPP]]*$N$5+Table28[[#This Row],[LSTMPP]]*$N$6</f>
        <v>24.147069800233655</v>
      </c>
      <c r="G12" s="1">
        <f>Table28[[#This Row],[PP]]/$N$2</f>
        <v>1.1498604666777932</v>
      </c>
      <c r="H12" s="1">
        <v>3</v>
      </c>
      <c r="I12" s="1">
        <f>Table28[[#This Row],[PPG]]*Table28[[#This Row],[Plays]]</f>
        <v>3.4495814000333795</v>
      </c>
      <c r="J12" s="1">
        <v>14</v>
      </c>
      <c r="K12" s="10">
        <f>Table28[[#This Row],[APP]]/Table28[[#This Row],[Plays]]</f>
        <v>4.666666666666667</v>
      </c>
    </row>
    <row r="13" spans="1:14" x14ac:dyDescent="0.3">
      <c r="A13" s="2" t="s">
        <v>316</v>
      </c>
      <c r="B13" s="2" t="s">
        <v>6</v>
      </c>
      <c r="C13" s="2" t="s">
        <v>298</v>
      </c>
      <c r="D13" s="2">
        <v>19.9350583602134</v>
      </c>
      <c r="E13" s="2">
        <v>39.065060518249403</v>
      </c>
      <c r="F13" s="1">
        <f>Table28[[#This Row],[ARIMAPP]]*$N$5+Table28[[#This Row],[LSTMPP]]*$N$6</f>
        <v>25.786956720230521</v>
      </c>
      <c r="G13" s="2">
        <f>Table28[[#This Row],[PP]]/$N$2</f>
        <v>1.2279503200109771</v>
      </c>
      <c r="H13" s="2">
        <v>3</v>
      </c>
      <c r="I13" s="2">
        <f>Table28[[#This Row],[PPG]]*Table28[[#This Row],[Plays]]</f>
        <v>3.6838509600329314</v>
      </c>
      <c r="J13" s="2">
        <v>4</v>
      </c>
      <c r="K13" s="10">
        <f>Table28[[#This Row],[APP]]/Table28[[#This Row],[Plays]]</f>
        <v>1.3333333333333333</v>
      </c>
    </row>
    <row r="14" spans="1:14" x14ac:dyDescent="0.3">
      <c r="A14" s="1" t="s">
        <v>318</v>
      </c>
      <c r="B14" s="1" t="s">
        <v>7</v>
      </c>
      <c r="C14" s="1" t="s">
        <v>298</v>
      </c>
      <c r="D14" s="1">
        <v>29.8235290988403</v>
      </c>
      <c r="E14" s="1">
        <v>84.790401213400102</v>
      </c>
      <c r="F14" s="1">
        <f>Table28[[#This Row],[ARIMAPP]]*$N$5+Table28[[#This Row],[LSTMPP]]*$N$6</f>
        <v>51.047451520321687</v>
      </c>
      <c r="G14" s="1">
        <f>Table28[[#This Row],[PP]]/$N$2</f>
        <v>2.4308310247772233</v>
      </c>
      <c r="H14" s="1">
        <v>6</v>
      </c>
      <c r="I14" s="1">
        <f>Table28[[#This Row],[PPG]]*Table28[[#This Row],[Plays]]</f>
        <v>14.58498614866334</v>
      </c>
      <c r="J14" s="1">
        <v>11</v>
      </c>
      <c r="K14" s="10">
        <f>Table28[[#This Row],[APP]]/Table28[[#This Row],[Plays]]</f>
        <v>1.8333333333333333</v>
      </c>
    </row>
    <row r="15" spans="1:14" x14ac:dyDescent="0.3">
      <c r="A15" s="2" t="s">
        <v>320</v>
      </c>
      <c r="B15" s="2" t="s">
        <v>6</v>
      </c>
      <c r="C15" s="2" t="s">
        <v>298</v>
      </c>
      <c r="D15" s="2">
        <v>40.826591341058801</v>
      </c>
      <c r="E15" s="2">
        <v>67.674727839331197</v>
      </c>
      <c r="F15" s="1">
        <f>Table28[[#This Row],[ARIMAPP]]*$N$5+Table28[[#This Row],[LSTMPP]]*$N$6</f>
        <v>46.976019646556963</v>
      </c>
      <c r="G15" s="2">
        <f>Table28[[#This Row],[PP]]/$N$2</f>
        <v>2.2369533165027127</v>
      </c>
      <c r="H15" s="2">
        <v>3</v>
      </c>
      <c r="I15" s="2">
        <f>Table28[[#This Row],[PPG]]*Table28[[#This Row],[Plays]]</f>
        <v>6.710859949508138</v>
      </c>
      <c r="J15" s="2">
        <v>4</v>
      </c>
      <c r="K15" s="10">
        <f>Table28[[#This Row],[APP]]/Table28[[#This Row],[Plays]]</f>
        <v>1.3333333333333333</v>
      </c>
    </row>
    <row r="16" spans="1:14" x14ac:dyDescent="0.3">
      <c r="A16" s="1" t="s">
        <v>212</v>
      </c>
      <c r="B16" s="1" t="s">
        <v>5</v>
      </c>
      <c r="C16" s="1" t="s">
        <v>298</v>
      </c>
      <c r="D16" s="1">
        <v>0.396226386520244</v>
      </c>
      <c r="E16" s="1">
        <v>46.732049478794401</v>
      </c>
      <c r="F16" s="1">
        <f>Table28[[#This Row],[ARIMAPP]]*$N$5+Table28[[#This Row],[LSTMPP]]*$N$6</f>
        <v>22.261402944481581</v>
      </c>
      <c r="G16" s="1">
        <f>Table28[[#This Row],[PP]]/$N$2</f>
        <v>1.0600668068800754</v>
      </c>
      <c r="H16" s="1">
        <v>1</v>
      </c>
      <c r="I16" s="1">
        <f>Table28[[#This Row],[PPG]]*Table28[[#This Row],[Plays]]</f>
        <v>1.0600668068800754</v>
      </c>
      <c r="J16" s="1">
        <v>1</v>
      </c>
      <c r="K16" s="10">
        <f>Table28[[#This Row],[APP]]/Table28[[#This Row],[Plays]]</f>
        <v>1</v>
      </c>
    </row>
    <row r="17" spans="1:11" x14ac:dyDescent="0.3">
      <c r="A17" s="2" t="s">
        <v>322</v>
      </c>
      <c r="B17" s="2" t="s">
        <v>5</v>
      </c>
      <c r="C17" s="2" t="s">
        <v>298</v>
      </c>
      <c r="D17" s="2">
        <v>29.539311594247799</v>
      </c>
      <c r="E17" s="2">
        <v>56.446211446335603</v>
      </c>
      <c r="F17" s="1">
        <f>Table28[[#This Row],[ARIMAPP]]*$N$5+Table28[[#This Row],[LSTMPP]]*$N$6</f>
        <v>37.529265915410022</v>
      </c>
      <c r="G17" s="2">
        <f>Table28[[#This Row],[PP]]/$N$2</f>
        <v>1.7871079007338107</v>
      </c>
      <c r="H17" s="2">
        <v>21</v>
      </c>
      <c r="I17" s="2">
        <f>Table28[[#This Row],[PPG]]*Table28[[#This Row],[Plays]]</f>
        <v>37.529265915410022</v>
      </c>
      <c r="J17" s="2">
        <v>59</v>
      </c>
      <c r="K17" s="10">
        <f>Table28[[#This Row],[APP]]/Table28[[#This Row],[Plays]]</f>
        <v>2.8095238095238093</v>
      </c>
    </row>
    <row r="18" spans="1:11" x14ac:dyDescent="0.3">
      <c r="A18" s="1" t="s">
        <v>323</v>
      </c>
      <c r="B18" s="1" t="s">
        <v>6</v>
      </c>
      <c r="C18" s="1" t="s">
        <v>298</v>
      </c>
      <c r="D18" s="1">
        <v>30.267163670898299</v>
      </c>
      <c r="E18" s="1">
        <v>56.468430263659897</v>
      </c>
      <c r="F18" s="1">
        <f>Table28[[#This Row],[ARIMAPP]]*$N$5+Table28[[#This Row],[LSTMPP]]*$N$6</f>
        <v>37.806279575933814</v>
      </c>
      <c r="G18" s="1">
        <f>Table28[[#This Row],[PP]]/$N$2</f>
        <v>1.8002990274254198</v>
      </c>
      <c r="H18" s="1">
        <v>7</v>
      </c>
      <c r="I18" s="1">
        <f>Table28[[#This Row],[PPG]]*Table28[[#This Row],[Plays]]</f>
        <v>12.602093191977939</v>
      </c>
      <c r="J18" s="1">
        <v>21</v>
      </c>
      <c r="K18" s="10">
        <f>Table28[[#This Row],[APP]]/Table28[[#This Row],[Plays]]</f>
        <v>3</v>
      </c>
    </row>
    <row r="19" spans="1:11" x14ac:dyDescent="0.3">
      <c r="A19" s="2" t="s">
        <v>325</v>
      </c>
      <c r="B19" s="2" t="s">
        <v>6</v>
      </c>
      <c r="C19" s="2" t="s">
        <v>298</v>
      </c>
      <c r="D19" s="2">
        <v>33.463010456550897</v>
      </c>
      <c r="E19" s="2">
        <v>156.85494245973101</v>
      </c>
      <c r="F19" s="1">
        <f>Table28[[#This Row],[ARIMAPP]]*$N$5+Table28[[#This Row],[LSTMPP]]*$N$6</f>
        <v>86.485161999894814</v>
      </c>
      <c r="G19" s="2">
        <f>Table28[[#This Row],[PP]]/$N$2</f>
        <v>4.118341047614039</v>
      </c>
      <c r="H19" s="2">
        <v>14</v>
      </c>
      <c r="I19" s="2">
        <f>Table28[[#This Row],[PPG]]*Table28[[#This Row],[Plays]]</f>
        <v>57.656774666596547</v>
      </c>
      <c r="J19" s="2">
        <v>38</v>
      </c>
      <c r="K19" s="10">
        <f>Table28[[#This Row],[APP]]/Table28[[#This Row],[Plays]]</f>
        <v>2.7142857142857144</v>
      </c>
    </row>
    <row r="20" spans="1:11" x14ac:dyDescent="0.3">
      <c r="A20" s="1" t="s">
        <v>327</v>
      </c>
      <c r="B20" s="1" t="s">
        <v>5</v>
      </c>
      <c r="C20" s="1" t="s">
        <v>298</v>
      </c>
      <c r="D20" s="1">
        <v>40.149068967086897</v>
      </c>
      <c r="E20" s="1">
        <v>51.800384561299602</v>
      </c>
      <c r="F20" s="1">
        <f>Table28[[#This Row],[ARIMAPP]]*$N$5+Table28[[#This Row],[LSTMPP]]*$N$6</f>
        <v>39.215285474288727</v>
      </c>
      <c r="G20" s="1">
        <f>Table28[[#This Row],[PP]]/$N$2</f>
        <v>1.8673945463947013</v>
      </c>
      <c r="H20" s="1">
        <v>20</v>
      </c>
      <c r="I20" s="1">
        <f>Table28[[#This Row],[PPG]]*Table28[[#This Row],[Plays]]</f>
        <v>37.347890927894028</v>
      </c>
      <c r="J20" s="1">
        <v>47</v>
      </c>
      <c r="K20" s="10">
        <f>Table28[[#This Row],[APP]]/Table28[[#This Row],[Plays]]</f>
        <v>2.35</v>
      </c>
    </row>
    <row r="21" spans="1:11" x14ac:dyDescent="0.3">
      <c r="A21" s="2" t="s">
        <v>328</v>
      </c>
      <c r="B21" s="2" t="s">
        <v>5</v>
      </c>
      <c r="C21" s="2" t="s">
        <v>298</v>
      </c>
      <c r="D21" s="2">
        <v>67.900456374868597</v>
      </c>
      <c r="E21" s="2">
        <v>169.81775867988901</v>
      </c>
      <c r="F21" s="1">
        <f>Table28[[#This Row],[ARIMAPP]]*$N$5+Table28[[#This Row],[LSTMPP]]*$N$6</f>
        <v>105.22897394313064</v>
      </c>
      <c r="G21" s="2">
        <f>Table28[[#This Row],[PP]]/$N$2</f>
        <v>5.0109035211014588</v>
      </c>
      <c r="H21" s="2">
        <v>20</v>
      </c>
      <c r="I21" s="2">
        <f>Table28[[#This Row],[PPG]]*Table28[[#This Row],[Plays]]</f>
        <v>100.21807042202917</v>
      </c>
      <c r="J21" s="2">
        <v>63</v>
      </c>
      <c r="K21" s="10">
        <f>Table28[[#This Row],[APP]]/Table28[[#This Row],[Plays]]</f>
        <v>3.15</v>
      </c>
    </row>
    <row r="22" spans="1:11" x14ac:dyDescent="0.3">
      <c r="A22" s="1" t="s">
        <v>330</v>
      </c>
      <c r="B22" s="1" t="s">
        <v>5</v>
      </c>
      <c r="C22" s="1" t="s">
        <v>298</v>
      </c>
      <c r="D22" s="1">
        <v>114.125</v>
      </c>
      <c r="E22" s="1">
        <v>85.9862402402821</v>
      </c>
      <c r="F22" s="1">
        <f>Table28[[#This Row],[ARIMAPP]]*$N$5+Table28[[#This Row],[LSTMPP]]*$N$6</f>
        <v>82.479841169940599</v>
      </c>
      <c r="G22" s="1">
        <f>Table28[[#This Row],[PP]]/$N$2</f>
        <v>3.9276114842828855</v>
      </c>
      <c r="H22" s="1">
        <v>17</v>
      </c>
      <c r="I22" s="1">
        <f>Table28[[#This Row],[PPG]]*Table28[[#This Row],[Plays]]</f>
        <v>66.76939523280906</v>
      </c>
      <c r="J22" s="1">
        <v>49</v>
      </c>
      <c r="K22" s="10">
        <f>Table28[[#This Row],[APP]]/Table28[[#This Row],[Plays]]</f>
        <v>2.8823529411764706</v>
      </c>
    </row>
    <row r="23" spans="1:11" x14ac:dyDescent="0.3">
      <c r="A23" s="2" t="s">
        <v>332</v>
      </c>
      <c r="B23" s="2" t="s">
        <v>5</v>
      </c>
      <c r="C23" s="2" t="s">
        <v>298</v>
      </c>
      <c r="D23" s="2">
        <v>12.229796034369301</v>
      </c>
      <c r="E23" s="2">
        <v>58.031071580458097</v>
      </c>
      <c r="F23" s="1">
        <f>Table28[[#This Row],[ARIMAPP]]*$N$5+Table28[[#This Row],[LSTMPP]]*$N$6</f>
        <v>31.941544665781972</v>
      </c>
      <c r="G23" s="2">
        <f>Table28[[#This Row],[PP]]/$N$2</f>
        <v>1.5210259364658083</v>
      </c>
      <c r="H23" s="2">
        <v>2</v>
      </c>
      <c r="I23" s="2">
        <f>Table28[[#This Row],[PPG]]*Table28[[#This Row],[Plays]]</f>
        <v>3.0420518729316166</v>
      </c>
      <c r="J23" s="2">
        <v>2</v>
      </c>
      <c r="K23" s="10">
        <f>Table28[[#This Row],[APP]]/Table28[[#This Row],[Plays]]</f>
        <v>1</v>
      </c>
    </row>
    <row r="24" spans="1:11" x14ac:dyDescent="0.3">
      <c r="A24" s="1" t="s">
        <v>334</v>
      </c>
      <c r="B24" s="1" t="s">
        <v>6</v>
      </c>
      <c r="C24" s="1" t="s">
        <v>298</v>
      </c>
      <c r="D24" s="1">
        <v>0.87499982510664398</v>
      </c>
      <c r="E24" s="1">
        <v>99.502765714749103</v>
      </c>
      <c r="F24" s="1">
        <f>Table28[[#This Row],[ARIMAPP]]*$N$5+Table28[[#This Row],[LSTMPP]]*$N$6</f>
        <v>47.410878728415319</v>
      </c>
      <c r="G24" s="1">
        <f>Table28[[#This Row],[PP]]/$N$2</f>
        <v>2.2576608918293011</v>
      </c>
      <c r="H24" s="1">
        <v>1</v>
      </c>
      <c r="I24" s="1">
        <f>Table28[[#This Row],[PPG]]*Table28[[#This Row],[Plays]]</f>
        <v>2.2576608918293011</v>
      </c>
      <c r="J24" s="1">
        <v>1</v>
      </c>
      <c r="K24" s="10">
        <f>Table28[[#This Row],[APP]]/Table28[[#This Row],[Plays]]</f>
        <v>1</v>
      </c>
    </row>
    <row r="25" spans="1:11" x14ac:dyDescent="0.3">
      <c r="A25" s="5" t="s">
        <v>286</v>
      </c>
      <c r="B25" s="5" t="s">
        <v>7</v>
      </c>
      <c r="C25" s="5" t="s">
        <v>298</v>
      </c>
      <c r="D25" s="5">
        <v>78.544787838885696</v>
      </c>
      <c r="E25" s="5">
        <v>182.80132987707901</v>
      </c>
      <c r="F25" s="1">
        <f>Table28[[#This Row],[ARIMAPP]]*$N$5+Table28[[#This Row],[LSTMPP]]*$N$6</f>
        <v>115.27091037333163</v>
      </c>
      <c r="G25" s="5">
        <f>Table28[[#This Row],[PP]]/$N$2</f>
        <v>5.4890909701586494</v>
      </c>
      <c r="H25" s="5">
        <v>21</v>
      </c>
      <c r="I25" s="5">
        <f>Table28[[#This Row],[PPG]]*Table28[[#This Row],[Plays]]</f>
        <v>115.27091037333165</v>
      </c>
      <c r="J25" s="5">
        <v>69</v>
      </c>
      <c r="K25" s="12">
        <f>Table28[[#This Row],[APP]]/Table28[[#This Row],[Plays]]</f>
        <v>3.2857142857142856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0D0A-12C3-4BB7-AC5C-659FE1DAC89F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338</v>
      </c>
      <c r="B2" s="1" t="s">
        <v>6</v>
      </c>
      <c r="C2" s="1" t="s">
        <v>339</v>
      </c>
      <c r="D2" s="1">
        <v>7.3345616499122999</v>
      </c>
      <c r="E2" s="1">
        <v>28.004455824937001</v>
      </c>
      <c r="F2" s="1">
        <f>Table29[[#This Row],[ARIMAPP]]*$N$5+Table29[[#This Row],[LSTMPP]]*$N$6</f>
        <v>16.827286563897694</v>
      </c>
      <c r="G2" s="1">
        <f>Table29[[#This Row],[PP]]/$N$2</f>
        <v>0.88564666125777336</v>
      </c>
      <c r="H2" s="1">
        <v>6</v>
      </c>
      <c r="I2" s="1">
        <f>Table29[[#This Row],[PPG]]*Table29[[#This Row],[Plays]]</f>
        <v>5.3138799675466402</v>
      </c>
      <c r="J2" s="1">
        <v>6</v>
      </c>
      <c r="K2" s="11">
        <f>Table29[[#This Row],[APP]]/Table29[[#This Row],[Plays]]</f>
        <v>1</v>
      </c>
      <c r="M2" t="s">
        <v>846</v>
      </c>
      <c r="N2">
        <v>19</v>
      </c>
    </row>
    <row r="3" spans="1:14" x14ac:dyDescent="0.3">
      <c r="A3" s="2" t="s">
        <v>341</v>
      </c>
      <c r="B3" s="2" t="s">
        <v>5</v>
      </c>
      <c r="C3" s="2" t="s">
        <v>339</v>
      </c>
      <c r="D3" s="2">
        <v>32.8442970827154</v>
      </c>
      <c r="E3" s="2">
        <v>47.056503716257602</v>
      </c>
      <c r="F3" s="1">
        <f>Table29[[#This Row],[ARIMAPP]]*$N$5+Table29[[#This Row],[LSTMPP]]*$N$6</f>
        <v>35.759935741616331</v>
      </c>
      <c r="G3" s="2">
        <f>Table29[[#This Row],[PP]]/$N$2</f>
        <v>1.8821018811377017</v>
      </c>
      <c r="H3" s="2">
        <v>15</v>
      </c>
      <c r="I3" s="2">
        <f>Table29[[#This Row],[PPG]]*Table29[[#This Row],[Plays]]</f>
        <v>28.231528217065527</v>
      </c>
      <c r="J3" s="2">
        <v>29</v>
      </c>
      <c r="K3" s="10">
        <f>Table29[[#This Row],[APP]]/Table29[[#This Row],[Plays]]</f>
        <v>1.9333333333333333</v>
      </c>
    </row>
    <row r="4" spans="1:14" x14ac:dyDescent="0.3">
      <c r="A4" s="1" t="s">
        <v>342</v>
      </c>
      <c r="B4" s="1" t="s">
        <v>5</v>
      </c>
      <c r="C4" s="1" t="s">
        <v>339</v>
      </c>
      <c r="D4" s="1">
        <v>62.977272727272698</v>
      </c>
      <c r="E4" s="1">
        <v>62.710838329595198</v>
      </c>
      <c r="F4" s="1">
        <f>Table29[[#This Row],[ARIMAPP]]*$N$5+Table29[[#This Row],[LSTMPP]]*$N$6</f>
        <v>54.661897119771695</v>
      </c>
      <c r="G4" s="1">
        <f>Table29[[#This Row],[PP]]/$N$2</f>
        <v>2.8769419536721945</v>
      </c>
      <c r="H4" s="1">
        <v>19</v>
      </c>
      <c r="I4" s="1">
        <f>Table29[[#This Row],[PPG]]*Table29[[#This Row],[Plays]]</f>
        <v>54.661897119771695</v>
      </c>
      <c r="J4" s="1">
        <v>54</v>
      </c>
      <c r="K4" s="10">
        <f>Table29[[#This Row],[APP]]/Table29[[#This Row],[Plays]]</f>
        <v>2.8421052631578947</v>
      </c>
    </row>
    <row r="5" spans="1:14" x14ac:dyDescent="0.3">
      <c r="A5" s="2" t="s">
        <v>343</v>
      </c>
      <c r="B5" s="2" t="s">
        <v>4</v>
      </c>
      <c r="C5" s="2" t="s">
        <v>339</v>
      </c>
      <c r="D5" s="2">
        <v>58.563663585103697</v>
      </c>
      <c r="E5" s="2">
        <v>82.108173620069195</v>
      </c>
      <c r="F5" s="1">
        <f>Table29[[#This Row],[ARIMAPP]]*$N$5+Table29[[#This Row],[LSTMPP]]*$N$6</f>
        <v>62.854420067234841</v>
      </c>
      <c r="G5" s="2">
        <f>Table29[[#This Row],[PP]]/$N$2</f>
        <v>3.3081273719597286</v>
      </c>
      <c r="H5" s="2">
        <v>18</v>
      </c>
      <c r="I5" s="2">
        <f>Table29[[#This Row],[PPG]]*Table29[[#This Row],[Plays]]</f>
        <v>59.546292695275113</v>
      </c>
      <c r="J5" s="2">
        <v>52</v>
      </c>
      <c r="K5" s="10">
        <f>Table29[[#This Row],[APP]]/Table29[[#This Row],[Plays]]</f>
        <v>2.8888888888888888</v>
      </c>
      <c r="M5" t="s">
        <v>9</v>
      </c>
      <c r="N5">
        <v>0.36475255581820165</v>
      </c>
    </row>
    <row r="6" spans="1:14" x14ac:dyDescent="0.3">
      <c r="A6" s="1" t="s">
        <v>344</v>
      </c>
      <c r="B6" s="1" t="s">
        <v>6</v>
      </c>
      <c r="C6" s="1" t="s">
        <v>339</v>
      </c>
      <c r="D6" s="1">
        <v>44.961880530649701</v>
      </c>
      <c r="E6" s="1">
        <v>66.076470234960297</v>
      </c>
      <c r="F6" s="1">
        <f>Table29[[#This Row],[ARIMAPP]]*$N$5+Table29[[#This Row],[LSTMPP]]*$N$6</f>
        <v>49.791551008096334</v>
      </c>
      <c r="G6" s="1">
        <f>Table29[[#This Row],[PP]]/$N$2</f>
        <v>2.6206079477945439</v>
      </c>
      <c r="H6" s="1">
        <v>16</v>
      </c>
      <c r="I6" s="1">
        <f>Table29[[#This Row],[PPG]]*Table29[[#This Row],[Plays]]</f>
        <v>41.929727164712702</v>
      </c>
      <c r="J6" s="1">
        <v>44</v>
      </c>
      <c r="K6" s="10">
        <f>Table29[[#This Row],[APP]]/Table29[[#This Row],[Plays]]</f>
        <v>2.75</v>
      </c>
      <c r="M6" t="s">
        <v>10</v>
      </c>
      <c r="N6">
        <v>0.50534766841225898</v>
      </c>
    </row>
    <row r="7" spans="1:14" x14ac:dyDescent="0.3">
      <c r="A7" s="2" t="s">
        <v>348</v>
      </c>
      <c r="B7" s="2" t="s">
        <v>6</v>
      </c>
      <c r="C7" s="2" t="s">
        <v>339</v>
      </c>
      <c r="D7" s="2">
        <v>19.621096015842902</v>
      </c>
      <c r="E7" s="2">
        <v>35.511355084050798</v>
      </c>
      <c r="F7" s="1">
        <f>Table29[[#This Row],[ARIMAPP]]*$N$5+Table29[[#This Row],[LSTMPP]]*$N$6</f>
        <v>25.102425413617922</v>
      </c>
      <c r="G7" s="2">
        <f>Table29[[#This Row],[PP]]/$N$2</f>
        <v>1.3211802849272591</v>
      </c>
      <c r="H7" s="2">
        <v>8</v>
      </c>
      <c r="I7" s="2">
        <f>Table29[[#This Row],[PPG]]*Table29[[#This Row],[Plays]]</f>
        <v>10.569442279418073</v>
      </c>
      <c r="J7" s="2">
        <v>13</v>
      </c>
      <c r="K7" s="10">
        <f>Table29[[#This Row],[APP]]/Table29[[#This Row],[Plays]]</f>
        <v>1.625</v>
      </c>
    </row>
    <row r="8" spans="1:14" x14ac:dyDescent="0.3">
      <c r="A8" s="1" t="s">
        <v>350</v>
      </c>
      <c r="B8" s="1" t="s">
        <v>6</v>
      </c>
      <c r="C8" s="1" t="s">
        <v>339</v>
      </c>
      <c r="D8" s="1">
        <v>51.653388722525897</v>
      </c>
      <c r="E8" s="1">
        <v>58.795705479861397</v>
      </c>
      <c r="F8" s="1">
        <f>Table29[[#This Row],[ARIMAPP]]*$N$5+Table29[[#This Row],[LSTMPP]]*$N$6</f>
        <v>48.552978230114235</v>
      </c>
      <c r="G8" s="1">
        <f>Table29[[#This Row],[PP]]/$N$2</f>
        <v>2.5554199068481176</v>
      </c>
      <c r="H8" s="1">
        <v>15</v>
      </c>
      <c r="I8" s="1">
        <f>Table29[[#This Row],[PPG]]*Table29[[#This Row],[Plays]]</f>
        <v>38.331298602721766</v>
      </c>
      <c r="J8" s="1">
        <v>61</v>
      </c>
      <c r="K8" s="10">
        <f>Table29[[#This Row],[APP]]/Table29[[#This Row],[Plays]]</f>
        <v>4.0666666666666664</v>
      </c>
      <c r="M8" t="s">
        <v>849</v>
      </c>
      <c r="N8" cm="1">
        <f t="array" ref="N8">(SUM(Table29[Tot]-Table29[APP]))^2</f>
        <v>3.594247499413235E-27</v>
      </c>
    </row>
    <row r="9" spans="1:14" x14ac:dyDescent="0.3">
      <c r="A9" s="2" t="s">
        <v>352</v>
      </c>
      <c r="B9" s="2" t="s">
        <v>6</v>
      </c>
      <c r="C9" s="2" t="s">
        <v>339</v>
      </c>
      <c r="D9" s="2">
        <v>69.090909090909093</v>
      </c>
      <c r="E9" s="2">
        <v>43.122773489215</v>
      </c>
      <c r="F9" s="1">
        <f>Table29[[#This Row],[ARIMAPP]]*$N$5+Table29[[#This Row],[LSTMPP]]*$N$6</f>
        <v>46.993078712956887</v>
      </c>
      <c r="G9" s="2">
        <f>Table29[[#This Row],[PP]]/$N$2</f>
        <v>2.473319932260889</v>
      </c>
      <c r="H9" s="2">
        <v>13</v>
      </c>
      <c r="I9" s="2">
        <f>Table29[[#This Row],[PPG]]*Table29[[#This Row],[Plays]]</f>
        <v>32.15315911939156</v>
      </c>
      <c r="J9" s="2">
        <v>32</v>
      </c>
      <c r="K9" s="10">
        <f>Table29[[#This Row],[APP]]/Table29[[#This Row],[Plays]]</f>
        <v>2.4615384615384617</v>
      </c>
    </row>
    <row r="10" spans="1:14" x14ac:dyDescent="0.3">
      <c r="A10" s="1" t="s">
        <v>354</v>
      </c>
      <c r="B10" s="1" t="s">
        <v>5</v>
      </c>
      <c r="C10" s="1" t="s">
        <v>339</v>
      </c>
      <c r="D10" s="1">
        <v>35.1380654973456</v>
      </c>
      <c r="E10" s="1">
        <v>67.161065831881501</v>
      </c>
      <c r="F10" s="1">
        <f>Table29[[#This Row],[ARIMAPP]]*$N$5+Table29[[#This Row],[LSTMPP]]*$N$6</f>
        <v>46.756387222887724</v>
      </c>
      <c r="G10" s="1">
        <f>Table29[[#This Row],[PP]]/$N$2</f>
        <v>2.4608624854151433</v>
      </c>
      <c r="H10" s="1">
        <v>8</v>
      </c>
      <c r="I10" s="1">
        <f>Table29[[#This Row],[PPG]]*Table29[[#This Row],[Plays]]</f>
        <v>19.686899883321146</v>
      </c>
      <c r="J10" s="1">
        <v>14</v>
      </c>
      <c r="K10" s="10">
        <f>Table29[[#This Row],[APP]]/Table29[[#This Row],[Plays]]</f>
        <v>1.75</v>
      </c>
    </row>
    <row r="11" spans="1:14" x14ac:dyDescent="0.3">
      <c r="A11" s="2" t="s">
        <v>356</v>
      </c>
      <c r="B11" s="2" t="s">
        <v>6</v>
      </c>
      <c r="C11" s="2" t="s">
        <v>339</v>
      </c>
      <c r="D11" s="2">
        <v>39.965909090909101</v>
      </c>
      <c r="E11" s="2">
        <v>37.706631871735603</v>
      </c>
      <c r="F11" s="1">
        <f>Table29[[#This Row],[ARIMAPP]]*$N$5+Table29[[#This Row],[LSTMPP]]*$N$6</f>
        <v>33.632625986567952</v>
      </c>
      <c r="G11" s="2">
        <f>Table29[[#This Row],[PP]]/$N$2</f>
        <v>1.7701382098193659</v>
      </c>
      <c r="H11" s="2">
        <v>5</v>
      </c>
      <c r="I11" s="2">
        <f>Table29[[#This Row],[PPG]]*Table29[[#This Row],[Plays]]</f>
        <v>8.8506910490968291</v>
      </c>
      <c r="J11" s="2">
        <v>11</v>
      </c>
      <c r="K11" s="10">
        <f>Table29[[#This Row],[APP]]/Table29[[#This Row],[Plays]]</f>
        <v>2.2000000000000002</v>
      </c>
    </row>
    <row r="12" spans="1:14" x14ac:dyDescent="0.3">
      <c r="A12" s="1" t="s">
        <v>357</v>
      </c>
      <c r="B12" s="1" t="s">
        <v>7</v>
      </c>
      <c r="C12" s="1" t="s">
        <v>339</v>
      </c>
      <c r="D12" s="1">
        <v>63.784462742543298</v>
      </c>
      <c r="E12" s="1">
        <v>64.581662636044697</v>
      </c>
      <c r="F12" s="1">
        <f>Table29[[#This Row],[ARIMAPP]]*$N$5+Table29[[#This Row],[LSTMPP]]*$N$6</f>
        <v>55.90173844214582</v>
      </c>
      <c r="G12" s="1">
        <f>Table29[[#This Row],[PP]]/$N$2</f>
        <v>2.942196760112938</v>
      </c>
      <c r="H12" s="1">
        <v>5</v>
      </c>
      <c r="I12" s="1">
        <f>Table29[[#This Row],[PPG]]*Table29[[#This Row],[Plays]]</f>
        <v>14.710983800564691</v>
      </c>
      <c r="J12" s="1">
        <v>25</v>
      </c>
      <c r="K12" s="10">
        <f>Table29[[#This Row],[APP]]/Table29[[#This Row],[Plays]]</f>
        <v>5</v>
      </c>
    </row>
    <row r="13" spans="1:14" x14ac:dyDescent="0.3">
      <c r="A13" s="2" t="s">
        <v>358</v>
      </c>
      <c r="B13" s="2" t="s">
        <v>5</v>
      </c>
      <c r="C13" s="2" t="s">
        <v>339</v>
      </c>
      <c r="D13" s="2">
        <v>31.360527473525401</v>
      </c>
      <c r="E13" s="2">
        <v>44.696916577752098</v>
      </c>
      <c r="F13" s="1">
        <f>Table29[[#This Row],[ARIMAPP]]*$N$5+Table29[[#This Row],[LSTMPP]]*$N$6</f>
        <v>34.026315125559591</v>
      </c>
      <c r="G13" s="2">
        <f>Table29[[#This Row],[PP]]/$N$2</f>
        <v>1.7908586908189259</v>
      </c>
      <c r="H13" s="2">
        <v>8</v>
      </c>
      <c r="I13" s="2">
        <f>Table29[[#This Row],[PPG]]*Table29[[#This Row],[Plays]]</f>
        <v>14.326869526551407</v>
      </c>
      <c r="J13" s="2">
        <v>11</v>
      </c>
      <c r="K13" s="10">
        <f>Table29[[#This Row],[APP]]/Table29[[#This Row],[Plays]]</f>
        <v>1.375</v>
      </c>
    </row>
    <row r="14" spans="1:14" x14ac:dyDescent="0.3">
      <c r="A14" s="1" t="s">
        <v>359</v>
      </c>
      <c r="B14" s="1" t="s">
        <v>5</v>
      </c>
      <c r="C14" s="1" t="s">
        <v>339</v>
      </c>
      <c r="D14" s="1">
        <v>30.814666296895801</v>
      </c>
      <c r="E14" s="1">
        <v>48.570848985582302</v>
      </c>
      <c r="F14" s="1">
        <f>Table29[[#This Row],[ARIMAPP]]*$N$5+Table29[[#This Row],[LSTMPP]]*$N$6</f>
        <v>35.784893576145691</v>
      </c>
      <c r="G14" s="1">
        <f>Table29[[#This Row],[PP]]/$N$2</f>
        <v>1.883415451376089</v>
      </c>
      <c r="H14" s="1">
        <v>16</v>
      </c>
      <c r="I14" s="1">
        <f>Table29[[#This Row],[PPG]]*Table29[[#This Row],[Plays]]</f>
        <v>30.134647222017424</v>
      </c>
      <c r="J14" s="1">
        <v>28</v>
      </c>
      <c r="K14" s="10">
        <f>Table29[[#This Row],[APP]]/Table29[[#This Row],[Plays]]</f>
        <v>1.75</v>
      </c>
    </row>
    <row r="15" spans="1:14" x14ac:dyDescent="0.3">
      <c r="A15" s="2" t="s">
        <v>360</v>
      </c>
      <c r="B15" s="2" t="s">
        <v>7</v>
      </c>
      <c r="C15" s="2" t="s">
        <v>339</v>
      </c>
      <c r="D15" s="2">
        <v>66.6881068925954</v>
      </c>
      <c r="E15" s="2">
        <v>88.446736205171206</v>
      </c>
      <c r="F15" s="1">
        <f>Table29[[#This Row],[ARIMAPP]]*$N$5+Table29[[#This Row],[LSTMPP]]*$N$6</f>
        <v>69.021009351709012</v>
      </c>
      <c r="G15" s="2">
        <f>Table29[[#This Row],[PP]]/$N$2</f>
        <v>3.632684702721527</v>
      </c>
      <c r="H15" s="2">
        <v>12</v>
      </c>
      <c r="I15" s="2">
        <f>Table29[[#This Row],[PPG]]*Table29[[#This Row],[Plays]]</f>
        <v>43.592216432658326</v>
      </c>
      <c r="J15" s="2">
        <v>46</v>
      </c>
      <c r="K15" s="10">
        <f>Table29[[#This Row],[APP]]/Table29[[#This Row],[Plays]]</f>
        <v>3.8333333333333335</v>
      </c>
    </row>
    <row r="16" spans="1:14" x14ac:dyDescent="0.3">
      <c r="A16" s="1" t="s">
        <v>363</v>
      </c>
      <c r="B16" s="1" t="s">
        <v>4</v>
      </c>
      <c r="C16" s="1" t="s">
        <v>339</v>
      </c>
      <c r="D16" s="1">
        <v>2.1176470180084199</v>
      </c>
      <c r="E16" s="1">
        <v>93.283737200635898</v>
      </c>
      <c r="F16" s="1">
        <f>Table29[[#This Row],[ARIMAPP]]*$N$5+Table29[[#This Row],[LSTMPP]]*$N$6</f>
        <v>47.913136257262622</v>
      </c>
      <c r="G16" s="1">
        <f>Table29[[#This Row],[PP]]/$N$2</f>
        <v>2.5217440135401379</v>
      </c>
      <c r="H16" s="1">
        <v>1</v>
      </c>
      <c r="I16" s="1">
        <f>Table29[[#This Row],[PPG]]*Table29[[#This Row],[Plays]]</f>
        <v>2.5217440135401379</v>
      </c>
      <c r="J16" s="1">
        <v>1</v>
      </c>
      <c r="K16" s="10">
        <f>Table29[[#This Row],[APP]]/Table29[[#This Row],[Plays]]</f>
        <v>1</v>
      </c>
    </row>
    <row r="17" spans="1:11" x14ac:dyDescent="0.3">
      <c r="A17" s="2" t="s">
        <v>365</v>
      </c>
      <c r="B17" s="2" t="s">
        <v>6</v>
      </c>
      <c r="C17" s="2" t="s">
        <v>339</v>
      </c>
      <c r="D17" s="2">
        <v>39.990242679135797</v>
      </c>
      <c r="E17" s="2">
        <v>56.733044031894501</v>
      </c>
      <c r="F17" s="1">
        <f>Table29[[#This Row],[ARIMAPP]]*$N$5+Table29[[#This Row],[LSTMPP]]*$N$6</f>
        <v>43.256454748452825</v>
      </c>
      <c r="G17" s="2">
        <f>Table29[[#This Row],[PP]]/$N$2</f>
        <v>2.2766555130764643</v>
      </c>
      <c r="H17" s="2">
        <v>16</v>
      </c>
      <c r="I17" s="2">
        <f>Table29[[#This Row],[PPG]]*Table29[[#This Row],[Plays]]</f>
        <v>36.426488209223429</v>
      </c>
      <c r="J17" s="2">
        <v>60</v>
      </c>
      <c r="K17" s="10">
        <f>Table29[[#This Row],[APP]]/Table29[[#This Row],[Plays]]</f>
        <v>3.75</v>
      </c>
    </row>
    <row r="18" spans="1:11" x14ac:dyDescent="0.3">
      <c r="A18" s="1" t="s">
        <v>367</v>
      </c>
      <c r="B18" s="1" t="s">
        <v>6</v>
      </c>
      <c r="C18" s="1" t="s">
        <v>339</v>
      </c>
      <c r="D18" s="1">
        <v>24.670398445641801</v>
      </c>
      <c r="E18" s="1">
        <v>43.567670127906098</v>
      </c>
      <c r="F18" s="1">
        <f>Table29[[#This Row],[ARIMAPP]]*$N$5+Table29[[#This Row],[LSTMPP]]*$N$6</f>
        <v>31.01541140339301</v>
      </c>
      <c r="G18" s="1">
        <f>Table29[[#This Row],[PP]]/$N$2</f>
        <v>1.6323900738627899</v>
      </c>
      <c r="H18" s="1">
        <v>18</v>
      </c>
      <c r="I18" s="1">
        <f>Table29[[#This Row],[PPG]]*Table29[[#This Row],[Plays]]</f>
        <v>29.383021329530219</v>
      </c>
      <c r="J18" s="1">
        <v>70</v>
      </c>
      <c r="K18" s="10">
        <f>Table29[[#This Row],[APP]]/Table29[[#This Row],[Plays]]</f>
        <v>3.8888888888888888</v>
      </c>
    </row>
    <row r="19" spans="1:11" x14ac:dyDescent="0.3">
      <c r="A19" s="2" t="s">
        <v>369</v>
      </c>
      <c r="B19" s="2" t="s">
        <v>5</v>
      </c>
      <c r="C19" s="2" t="s">
        <v>339</v>
      </c>
      <c r="D19" s="2">
        <v>8.4199999923557005</v>
      </c>
      <c r="E19" s="2">
        <v>45.012600278928701</v>
      </c>
      <c r="F19" s="1">
        <f>Table29[[#This Row],[ARIMAPP]]*$N$5+Table29[[#This Row],[LSTMPP]]*$N$6</f>
        <v>25.818229117330599</v>
      </c>
      <c r="G19" s="2">
        <f>Table29[[#This Row],[PP]]/$N$2</f>
        <v>1.3588541640700316</v>
      </c>
      <c r="H19" s="2">
        <v>3</v>
      </c>
      <c r="I19" s="2">
        <f>Table29[[#This Row],[PPG]]*Table29[[#This Row],[Plays]]</f>
        <v>4.0765624922100949</v>
      </c>
      <c r="J19" s="2">
        <v>6</v>
      </c>
      <c r="K19" s="10">
        <f>Table29[[#This Row],[APP]]/Table29[[#This Row],[Plays]]</f>
        <v>2</v>
      </c>
    </row>
    <row r="20" spans="1:11" x14ac:dyDescent="0.3">
      <c r="A20" s="1" t="s">
        <v>371</v>
      </c>
      <c r="B20" s="1" t="s">
        <v>6</v>
      </c>
      <c r="C20" s="1" t="s">
        <v>339</v>
      </c>
      <c r="D20" s="1">
        <v>158.01304750674001</v>
      </c>
      <c r="E20" s="1">
        <v>37.954815361128396</v>
      </c>
      <c r="F20" s="1">
        <f>Table29[[#This Row],[ARIMAPP]]*$N$5+Table29[[#This Row],[LSTMPP]]*$N$6</f>
        <v>76.816040378470362</v>
      </c>
      <c r="G20" s="1">
        <f>Table29[[#This Row],[PP]]/$N$2</f>
        <v>4.0429494936037029</v>
      </c>
      <c r="H20" s="1">
        <v>16</v>
      </c>
      <c r="I20" s="1">
        <f>Table29[[#This Row],[PPG]]*Table29[[#This Row],[Plays]]</f>
        <v>64.687191897659247</v>
      </c>
      <c r="J20" s="1">
        <v>39</v>
      </c>
      <c r="K20" s="10">
        <f>Table29[[#This Row],[APP]]/Table29[[#This Row],[Plays]]</f>
        <v>2.4375</v>
      </c>
    </row>
    <row r="21" spans="1:11" x14ac:dyDescent="0.3">
      <c r="A21" s="2" t="s">
        <v>372</v>
      </c>
      <c r="B21" s="2" t="s">
        <v>6</v>
      </c>
      <c r="C21" s="2" t="s">
        <v>339</v>
      </c>
      <c r="D21" s="2">
        <v>4.7418293857031898E-4</v>
      </c>
      <c r="E21" s="2">
        <v>25.2526172055037</v>
      </c>
      <c r="F21" s="1">
        <f>Table29[[#This Row],[ARIMAPP]]*$N$5+Table29[[#This Row],[LSTMPP]]*$N$6</f>
        <v>12.761524185547358</v>
      </c>
      <c r="G21" s="2">
        <f>Table29[[#This Row],[PP]]/$N$2</f>
        <v>0.67165916766038725</v>
      </c>
      <c r="H21" s="2">
        <v>3</v>
      </c>
      <c r="I21" s="2">
        <f>Table29[[#This Row],[PPG]]*Table29[[#This Row],[Plays]]</f>
        <v>2.0149775029811616</v>
      </c>
      <c r="J21" s="2">
        <v>3</v>
      </c>
      <c r="K21" s="10">
        <f>Table29[[#This Row],[APP]]/Table29[[#This Row],[Plays]]</f>
        <v>1</v>
      </c>
    </row>
    <row r="22" spans="1:11" x14ac:dyDescent="0.3">
      <c r="A22" s="1" t="s">
        <v>374</v>
      </c>
      <c r="B22" s="1" t="s">
        <v>7</v>
      </c>
      <c r="C22" s="1" t="s">
        <v>339</v>
      </c>
      <c r="D22" s="1">
        <v>68.840519859601997</v>
      </c>
      <c r="E22" s="1">
        <v>126.19693169457</v>
      </c>
      <c r="F22" s="1">
        <f>Table29[[#This Row],[ARIMAPP]]*$N$5+Table29[[#This Row],[LSTMPP]]*$N$6</f>
        <v>88.883080755275557</v>
      </c>
      <c r="G22" s="1">
        <f>Table29[[#This Row],[PP]]/$N$2</f>
        <v>4.678056881856608</v>
      </c>
      <c r="H22" s="1">
        <v>16</v>
      </c>
      <c r="I22" s="1">
        <f>Table29[[#This Row],[PPG]]*Table29[[#This Row],[Plays]]</f>
        <v>74.848910109705727</v>
      </c>
      <c r="J22" s="1">
        <v>23</v>
      </c>
      <c r="K22" s="10">
        <f>Table29[[#This Row],[APP]]/Table29[[#This Row],[Plays]]</f>
        <v>1.4375</v>
      </c>
    </row>
    <row r="23" spans="1:11" x14ac:dyDescent="0.3">
      <c r="A23" s="2" t="s">
        <v>375</v>
      </c>
      <c r="B23" s="2" t="s">
        <v>7</v>
      </c>
      <c r="C23" s="2" t="s">
        <v>339</v>
      </c>
      <c r="D23" s="2">
        <v>-3.7308843187654902E-6</v>
      </c>
      <c r="E23" s="2">
        <v>129.51502567135799</v>
      </c>
      <c r="F23" s="1">
        <f>Table29[[#This Row],[ARIMAPP]]*$N$5+Table29[[#This Row],[LSTMPP]]*$N$6</f>
        <v>65.450114886525029</v>
      </c>
      <c r="G23" s="2">
        <f>Table29[[#This Row],[PP]]/$N$2</f>
        <v>3.4447428887644751</v>
      </c>
      <c r="H23" s="2">
        <v>3</v>
      </c>
      <c r="I23" s="2">
        <f>Table29[[#This Row],[PPG]]*Table29[[#This Row],[Plays]]</f>
        <v>10.334228666293425</v>
      </c>
      <c r="J23" s="2">
        <v>2</v>
      </c>
      <c r="K23" s="10">
        <f>Table29[[#This Row],[APP]]/Table29[[#This Row],[Plays]]</f>
        <v>0.66666666666666663</v>
      </c>
    </row>
    <row r="24" spans="1:11" x14ac:dyDescent="0.3">
      <c r="A24" s="1" t="s">
        <v>378</v>
      </c>
      <c r="B24" s="1" t="s">
        <v>7</v>
      </c>
      <c r="C24" s="1" t="s">
        <v>339</v>
      </c>
      <c r="D24" s="1">
        <v>6.8499926359081798</v>
      </c>
      <c r="E24" s="1">
        <v>30.524956960697601</v>
      </c>
      <c r="F24" s="1">
        <f>Table29[[#This Row],[ARIMAPP]]*$N$5+Table29[[#This Row],[LSTMPP]]*$N$6</f>
        <v>17.924268149756458</v>
      </c>
      <c r="G24" s="1">
        <f>Table29[[#This Row],[PP]]/$N$2</f>
        <v>0.94338253419770834</v>
      </c>
      <c r="H24" s="1">
        <v>1</v>
      </c>
      <c r="I24" s="1">
        <f>Table29[[#This Row],[PPG]]*Table29[[#This Row],[Plays]]</f>
        <v>0.94338253419770834</v>
      </c>
      <c r="J24" s="1">
        <v>1</v>
      </c>
      <c r="K24" s="10">
        <f>Table29[[#This Row],[APP]]/Table29[[#This Row],[Plays]]</f>
        <v>1</v>
      </c>
    </row>
    <row r="25" spans="1:11" x14ac:dyDescent="0.3">
      <c r="A25" s="5" t="s">
        <v>380</v>
      </c>
      <c r="B25" s="5" t="s">
        <v>6</v>
      </c>
      <c r="C25" s="5" t="s">
        <v>339</v>
      </c>
      <c r="D25" s="5">
        <v>-1.22740570542593</v>
      </c>
      <c r="E25" s="5">
        <v>108.490301545311</v>
      </c>
      <c r="F25" s="1">
        <f>Table29[[#This Row],[ARIMAPP]]*$N$5+Table29[[#This Row],[LSTMPP]]*$N$6</f>
        <v>54.377621563185855</v>
      </c>
      <c r="G25" s="5">
        <f>Table29[[#This Row],[PP]]/$N$2</f>
        <v>2.8619800822729395</v>
      </c>
      <c r="H25" s="5">
        <v>2</v>
      </c>
      <c r="I25" s="5">
        <f>Table29[[#This Row],[PPG]]*Table29[[#This Row],[Plays]]</f>
        <v>5.7239601645458791</v>
      </c>
      <c r="J25" s="5">
        <v>2</v>
      </c>
      <c r="K25" s="12">
        <f>Table29[[#This Row],[APP]]/Table29[[#This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B7E1-B255-459B-81AA-4EABEB7B0EB4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426</v>
      </c>
      <c r="B2" s="1" t="s">
        <v>5</v>
      </c>
      <c r="C2" s="1" t="s">
        <v>423</v>
      </c>
      <c r="D2" s="1">
        <v>63.603773747743098</v>
      </c>
      <c r="E2" s="1">
        <v>65.661772258409798</v>
      </c>
      <c r="F2" s="1">
        <f>Table30[[#This Row],[ARIMAPP]]*$N$5+Table30[[#This Row],[LSTMPP]]*$N$6</f>
        <v>46.51443664993517</v>
      </c>
      <c r="G2" s="1">
        <f>Table30[[#This Row],[PP]]/$N$2</f>
        <v>2.3257218324967583</v>
      </c>
      <c r="H2" s="1">
        <v>15</v>
      </c>
      <c r="I2" s="1">
        <f>Table30[[#This Row],[PPG]]*Table30[[#This Row],[Plays]]</f>
        <v>34.885827487451373</v>
      </c>
      <c r="J2" s="1">
        <v>41</v>
      </c>
      <c r="K2" s="11">
        <f>Table30[[#This Row],[APP]]/Table30[[#This Row],[Plays]]</f>
        <v>2.7333333333333334</v>
      </c>
      <c r="M2" t="s">
        <v>846</v>
      </c>
      <c r="N2">
        <v>20</v>
      </c>
    </row>
    <row r="3" spans="1:14" x14ac:dyDescent="0.3">
      <c r="A3" s="2" t="s">
        <v>427</v>
      </c>
      <c r="B3" s="2" t="s">
        <v>5</v>
      </c>
      <c r="C3" s="2" t="s">
        <v>423</v>
      </c>
      <c r="D3" s="2">
        <v>43.773730560928399</v>
      </c>
      <c r="E3" s="2">
        <v>70.009115167510998</v>
      </c>
      <c r="F3" s="1">
        <f>Table30[[#This Row],[ARIMAPP]]*$N$5+Table30[[#This Row],[LSTMPP]]*$N$6</f>
        <v>42.273833450656909</v>
      </c>
      <c r="G3" s="2">
        <f>Table30[[#This Row],[PP]]/$N$2</f>
        <v>2.1136916725328456</v>
      </c>
      <c r="H3" s="2">
        <v>11</v>
      </c>
      <c r="I3" s="2">
        <f>Table30[[#This Row],[PPG]]*Table30[[#This Row],[Plays]]</f>
        <v>23.250608397861303</v>
      </c>
      <c r="J3" s="2">
        <v>25</v>
      </c>
      <c r="K3" s="10">
        <f>Table30[[#This Row],[APP]]/Table30[[#This Row],[Plays]]</f>
        <v>2.2727272727272729</v>
      </c>
    </row>
    <row r="4" spans="1:14" x14ac:dyDescent="0.3">
      <c r="A4" s="1" t="s">
        <v>429</v>
      </c>
      <c r="B4" s="1" t="s">
        <v>6</v>
      </c>
      <c r="C4" s="1" t="s">
        <v>423</v>
      </c>
      <c r="D4" s="1">
        <v>47.8145254738955</v>
      </c>
      <c r="E4" s="1">
        <v>68.021784150648401</v>
      </c>
      <c r="F4" s="1">
        <f>Table30[[#This Row],[ARIMAPP]]*$N$5+Table30[[#This Row],[LSTMPP]]*$N$6</f>
        <v>42.682545607265688</v>
      </c>
      <c r="G4" s="1">
        <f>Table30[[#This Row],[PP]]/$N$2</f>
        <v>2.1341272803632845</v>
      </c>
      <c r="H4" s="1">
        <v>15</v>
      </c>
      <c r="I4" s="1">
        <f>Table30[[#This Row],[PPG]]*Table30[[#This Row],[Plays]]</f>
        <v>32.011909205449264</v>
      </c>
      <c r="J4" s="1">
        <v>38</v>
      </c>
      <c r="K4" s="10">
        <f>Table30[[#This Row],[APP]]/Table30[[#This Row],[Plays]]</f>
        <v>2.5333333333333332</v>
      </c>
    </row>
    <row r="5" spans="1:14" x14ac:dyDescent="0.3">
      <c r="A5" s="2" t="s">
        <v>430</v>
      </c>
      <c r="B5" s="2" t="s">
        <v>7</v>
      </c>
      <c r="C5" s="2" t="s">
        <v>423</v>
      </c>
      <c r="D5" s="2">
        <v>38.264787520782498</v>
      </c>
      <c r="E5" s="2">
        <v>63.7046574485937</v>
      </c>
      <c r="F5" s="1">
        <f>Table30[[#This Row],[ARIMAPP]]*$N$5+Table30[[#This Row],[LSTMPP]]*$N$6</f>
        <v>37.989849251194656</v>
      </c>
      <c r="G5" s="2">
        <f>Table30[[#This Row],[PP]]/$N$2</f>
        <v>1.8994924625597327</v>
      </c>
      <c r="H5" s="2">
        <v>13</v>
      </c>
      <c r="I5" s="2">
        <f>Table30[[#This Row],[PPG]]*Table30[[#This Row],[Plays]]</f>
        <v>24.693402013276526</v>
      </c>
      <c r="J5" s="2">
        <v>30</v>
      </c>
      <c r="K5" s="10">
        <f>Table30[[#This Row],[APP]]/Table30[[#This Row],[Plays]]</f>
        <v>2.3076923076923075</v>
      </c>
      <c r="M5" t="s">
        <v>9</v>
      </c>
      <c r="N5">
        <v>0.30448805584332661</v>
      </c>
    </row>
    <row r="6" spans="1:14" x14ac:dyDescent="0.3">
      <c r="A6" s="1" t="s">
        <v>433</v>
      </c>
      <c r="B6" s="1" t="s">
        <v>6</v>
      </c>
      <c r="C6" s="1" t="s">
        <v>423</v>
      </c>
      <c r="D6" s="1">
        <v>77.0927942728337</v>
      </c>
      <c r="E6" s="1">
        <v>94.829810122228807</v>
      </c>
      <c r="F6" s="1">
        <f>Table30[[#This Row],[ARIMAPP]]*$N$5+Table30[[#This Row],[LSTMPP]]*$N$6</f>
        <v>62.68120198558497</v>
      </c>
      <c r="G6" s="1">
        <f>Table30[[#This Row],[PP]]/$N$2</f>
        <v>3.1340600992792487</v>
      </c>
      <c r="H6" s="1">
        <v>20</v>
      </c>
      <c r="I6" s="1">
        <f>Table30[[#This Row],[PPG]]*Table30[[#This Row],[Plays]]</f>
        <v>62.681201985584977</v>
      </c>
      <c r="J6" s="1">
        <v>55</v>
      </c>
      <c r="K6" s="10">
        <f>Table30[[#This Row],[APP]]/Table30[[#This Row],[Plays]]</f>
        <v>2.75</v>
      </c>
      <c r="M6" t="s">
        <v>10</v>
      </c>
      <c r="N6">
        <v>0.41344980958397798</v>
      </c>
    </row>
    <row r="7" spans="1:14" x14ac:dyDescent="0.3">
      <c r="A7" s="2" t="s">
        <v>435</v>
      </c>
      <c r="B7" s="2" t="s">
        <v>7</v>
      </c>
      <c r="C7" s="2" t="s">
        <v>423</v>
      </c>
      <c r="D7" s="2">
        <v>70.518441258923403</v>
      </c>
      <c r="E7" s="2">
        <v>77.793600403973898</v>
      </c>
      <c r="F7" s="1">
        <f>Table30[[#This Row],[ARIMAPP]]*$N$5+Table30[[#This Row],[LSTMPP]]*$N$6</f>
        <v>53.635772353906503</v>
      </c>
      <c r="G7" s="2">
        <f>Table30[[#This Row],[PP]]/$N$2</f>
        <v>2.6817886176953252</v>
      </c>
      <c r="H7" s="2">
        <v>6</v>
      </c>
      <c r="I7" s="2">
        <f>Table30[[#This Row],[PPG]]*Table30[[#This Row],[Plays]]</f>
        <v>16.090731706171951</v>
      </c>
      <c r="J7" s="2">
        <v>25</v>
      </c>
      <c r="K7" s="10">
        <f>Table30[[#This Row],[APP]]/Table30[[#This Row],[Plays]]</f>
        <v>4.166666666666667</v>
      </c>
    </row>
    <row r="8" spans="1:14" x14ac:dyDescent="0.3">
      <c r="A8" s="1" t="s">
        <v>437</v>
      </c>
      <c r="B8" s="1" t="s">
        <v>5</v>
      </c>
      <c r="C8" s="1" t="s">
        <v>423</v>
      </c>
      <c r="D8" s="1">
        <v>31.9297846411583</v>
      </c>
      <c r="E8" s="1">
        <v>72.760470438105699</v>
      </c>
      <c r="F8" s="1">
        <f>Table30[[#This Row],[ARIMAPP]]*$N$5+Table30[[#This Row],[LSTMPP]]*$N$6</f>
        <v>39.805040696757864</v>
      </c>
      <c r="G8" s="1">
        <f>Table30[[#This Row],[PP]]/$N$2</f>
        <v>1.9902520348378931</v>
      </c>
      <c r="H8" s="1">
        <v>14</v>
      </c>
      <c r="I8" s="1">
        <f>Table30[[#This Row],[PPG]]*Table30[[#This Row],[Plays]]</f>
        <v>27.863528487730505</v>
      </c>
      <c r="J8" s="1">
        <v>38</v>
      </c>
      <c r="K8" s="10">
        <f>Table30[[#This Row],[APP]]/Table30[[#This Row],[Plays]]</f>
        <v>2.7142857142857144</v>
      </c>
      <c r="M8" t="s">
        <v>849</v>
      </c>
      <c r="N8" cm="1">
        <f t="array" ref="N8">(SUM(Table30[Tot]-Table30[APP]))^2</f>
        <v>1.0770337660505105E-25</v>
      </c>
    </row>
    <row r="9" spans="1:14" x14ac:dyDescent="0.3">
      <c r="A9" s="2" t="s">
        <v>439</v>
      </c>
      <c r="B9" s="2" t="s">
        <v>6</v>
      </c>
      <c r="C9" s="2" t="s">
        <v>423</v>
      </c>
      <c r="D9" s="2">
        <v>31.922326653617699</v>
      </c>
      <c r="E9" s="2">
        <v>61.241282283933202</v>
      </c>
      <c r="F9" s="1">
        <f>Table30[[#This Row],[ARIMAPP]]*$N$5+Table30[[#This Row],[LSTMPP]]*$N$6</f>
        <v>35.04016367972649</v>
      </c>
      <c r="G9" s="2">
        <f>Table30[[#This Row],[PP]]/$N$2</f>
        <v>1.7520081839863244</v>
      </c>
      <c r="H9" s="2">
        <v>12</v>
      </c>
      <c r="I9" s="2">
        <f>Table30[[#This Row],[PPG]]*Table30[[#This Row],[Plays]]</f>
        <v>21.024098207835891</v>
      </c>
      <c r="J9" s="2">
        <v>25</v>
      </c>
      <c r="K9" s="10">
        <f>Table30[[#This Row],[APP]]/Table30[[#This Row],[Plays]]</f>
        <v>2.0833333333333335</v>
      </c>
    </row>
    <row r="10" spans="1:14" x14ac:dyDescent="0.3">
      <c r="A10" s="1" t="s">
        <v>207</v>
      </c>
      <c r="B10" s="1" t="s">
        <v>6</v>
      </c>
      <c r="C10" s="1" t="s">
        <v>423</v>
      </c>
      <c r="D10" s="1">
        <v>32.463290345605301</v>
      </c>
      <c r="E10" s="1">
        <v>63.254279149213097</v>
      </c>
      <c r="F10" s="1">
        <f>Table30[[#This Row],[ARIMAPP]]*$N$5+Table30[[#This Row],[LSTMPP]]*$N$6</f>
        <v>36.037153833224735</v>
      </c>
      <c r="G10" s="1">
        <f>Table30[[#This Row],[PP]]/$N$2</f>
        <v>1.8018576916612368</v>
      </c>
      <c r="H10" s="1">
        <v>19</v>
      </c>
      <c r="I10" s="1">
        <f>Table30[[#This Row],[PPG]]*Table30[[#This Row],[Plays]]</f>
        <v>34.235296141563495</v>
      </c>
      <c r="J10" s="1">
        <v>30</v>
      </c>
      <c r="K10" s="10">
        <f>Table30[[#This Row],[APP]]/Table30[[#This Row],[Plays]]</f>
        <v>1.5789473684210527</v>
      </c>
    </row>
    <row r="11" spans="1:14" x14ac:dyDescent="0.3">
      <c r="A11" s="2" t="s">
        <v>441</v>
      </c>
      <c r="B11" s="2" t="s">
        <v>5</v>
      </c>
      <c r="C11" s="2" t="s">
        <v>423</v>
      </c>
      <c r="D11" s="2">
        <v>6.9684098046229401</v>
      </c>
      <c r="E11" s="2">
        <v>49.277472628232204</v>
      </c>
      <c r="F11" s="1">
        <f>Table30[[#This Row],[ARIMAPP]]*$N$5+Table30[[#This Row],[LSTMPP]]*$N$6</f>
        <v>22.495559228651508</v>
      </c>
      <c r="G11" s="2">
        <f>Table30[[#This Row],[PP]]/$N$2</f>
        <v>1.1247779614325755</v>
      </c>
      <c r="H11" s="2">
        <v>4</v>
      </c>
      <c r="I11" s="2">
        <f>Table30[[#This Row],[PPG]]*Table30[[#This Row],[Plays]]</f>
        <v>4.4991118457303019</v>
      </c>
      <c r="J11" s="2">
        <v>1</v>
      </c>
      <c r="K11" s="10">
        <f>Table30[[#This Row],[APP]]/Table30[[#This Row],[Plays]]</f>
        <v>0.25</v>
      </c>
    </row>
    <row r="12" spans="1:14" x14ac:dyDescent="0.3">
      <c r="A12" s="1" t="s">
        <v>444</v>
      </c>
      <c r="B12" s="1" t="s">
        <v>6</v>
      </c>
      <c r="C12" s="1" t="s">
        <v>423</v>
      </c>
      <c r="D12" s="1">
        <v>77.822487123410696</v>
      </c>
      <c r="E12" s="1">
        <v>106.772316846373</v>
      </c>
      <c r="F12" s="1">
        <f>Table30[[#This Row],[ARIMAPP]]*$N$5+Table30[[#This Row],[LSTMPP]]*$N$6</f>
        <v>67.841011874072734</v>
      </c>
      <c r="G12" s="1">
        <f>Table30[[#This Row],[PP]]/$N$2</f>
        <v>3.3920505937036367</v>
      </c>
      <c r="H12" s="1">
        <v>18</v>
      </c>
      <c r="I12" s="1">
        <f>Table30[[#This Row],[PPG]]*Table30[[#This Row],[Plays]]</f>
        <v>61.056910686665461</v>
      </c>
      <c r="J12" s="1">
        <v>90</v>
      </c>
      <c r="K12" s="10">
        <f>Table30[[#This Row],[APP]]/Table30[[#This Row],[Plays]]</f>
        <v>5</v>
      </c>
    </row>
    <row r="13" spans="1:14" x14ac:dyDescent="0.3">
      <c r="A13" s="2" t="s">
        <v>445</v>
      </c>
      <c r="B13" s="2" t="s">
        <v>6</v>
      </c>
      <c r="C13" s="2" t="s">
        <v>423</v>
      </c>
      <c r="D13" s="2">
        <v>11.197166439259901</v>
      </c>
      <c r="E13" s="2">
        <v>49.008180714471301</v>
      </c>
      <c r="F13" s="1">
        <f>Table30[[#This Row],[ARIMAPP]]*$N$5+Table30[[#This Row],[LSTMPP]]*$N$6</f>
        <v>23.671826424499734</v>
      </c>
      <c r="G13" s="2">
        <f>Table30[[#This Row],[PP]]/$N$2</f>
        <v>1.1835913212249867</v>
      </c>
      <c r="H13" s="2">
        <v>11</v>
      </c>
      <c r="I13" s="2">
        <f>Table30[[#This Row],[PPG]]*Table30[[#This Row],[Plays]]</f>
        <v>13.019504533474853</v>
      </c>
      <c r="J13" s="2">
        <v>16</v>
      </c>
      <c r="K13" s="10">
        <f>Table30[[#This Row],[APP]]/Table30[[#This Row],[Plays]]</f>
        <v>1.4545454545454546</v>
      </c>
    </row>
    <row r="14" spans="1:14" x14ac:dyDescent="0.3">
      <c r="A14" s="1" t="s">
        <v>446</v>
      </c>
      <c r="B14" s="1" t="s">
        <v>5</v>
      </c>
      <c r="C14" s="1" t="s">
        <v>423</v>
      </c>
      <c r="D14" s="1">
        <v>26.8784754902935</v>
      </c>
      <c r="E14" s="1">
        <v>62.1200507129955</v>
      </c>
      <c r="F14" s="1">
        <f>Table30[[#This Row],[ARIMAPP]]*$N$5+Table30[[#This Row],[LSTMPP]]*$N$6</f>
        <v>33.86769788470702</v>
      </c>
      <c r="G14" s="1">
        <f>Table30[[#This Row],[PP]]/$N$2</f>
        <v>1.6933848942353511</v>
      </c>
      <c r="H14" s="1">
        <v>13</v>
      </c>
      <c r="I14" s="1">
        <f>Table30[[#This Row],[PPG]]*Table30[[#This Row],[Plays]]</f>
        <v>22.014003625059566</v>
      </c>
      <c r="J14" s="1">
        <v>10</v>
      </c>
      <c r="K14" s="10">
        <f>Table30[[#This Row],[APP]]/Table30[[#This Row],[Plays]]</f>
        <v>0.76923076923076927</v>
      </c>
    </row>
    <row r="15" spans="1:14" x14ac:dyDescent="0.3">
      <c r="A15" s="2" t="s">
        <v>448</v>
      </c>
      <c r="B15" s="2" t="s">
        <v>4</v>
      </c>
      <c r="C15" s="2" t="s">
        <v>423</v>
      </c>
      <c r="D15" s="2">
        <v>140.981131941489</v>
      </c>
      <c r="E15" s="2">
        <v>95.303598787013797</v>
      </c>
      <c r="F15" s="1">
        <f>Table30[[#This Row],[ARIMAPP]]*$N$5+Table30[[#This Row],[LSTMPP]]*$N$6</f>
        <v>82.330325546614176</v>
      </c>
      <c r="G15" s="2">
        <f>Table30[[#This Row],[PP]]/$N$2</f>
        <v>4.1165162773307085</v>
      </c>
      <c r="H15" s="2">
        <v>20</v>
      </c>
      <c r="I15" s="2">
        <f>Table30[[#This Row],[PPG]]*Table30[[#This Row],[Plays]]</f>
        <v>82.330325546614176</v>
      </c>
      <c r="J15" s="2">
        <v>56</v>
      </c>
      <c r="K15" s="10">
        <f>Table30[[#This Row],[APP]]/Table30[[#This Row],[Plays]]</f>
        <v>2.8</v>
      </c>
    </row>
    <row r="16" spans="1:14" x14ac:dyDescent="0.3">
      <c r="A16" s="1" t="s">
        <v>449</v>
      </c>
      <c r="B16" s="1" t="s">
        <v>6</v>
      </c>
      <c r="C16" s="1" t="s">
        <v>423</v>
      </c>
      <c r="D16" s="1">
        <v>71.562341194017307</v>
      </c>
      <c r="E16" s="1">
        <v>86.826653083711705</v>
      </c>
      <c r="F16" s="1">
        <f>Table30[[#This Row],[ARIMAPP]]*$N$5+Table30[[#This Row],[LSTMPP]]*$N$6</f>
        <v>57.68834132603785</v>
      </c>
      <c r="G16" s="1">
        <f>Table30[[#This Row],[PP]]/$N$2</f>
        <v>2.8844170663018924</v>
      </c>
      <c r="H16" s="1">
        <v>17</v>
      </c>
      <c r="I16" s="1">
        <f>Table30[[#This Row],[PPG]]*Table30[[#This Row],[Plays]]</f>
        <v>49.035090127132172</v>
      </c>
      <c r="J16" s="1">
        <v>58</v>
      </c>
      <c r="K16" s="10">
        <f>Table30[[#This Row],[APP]]/Table30[[#This Row],[Plays]]</f>
        <v>3.4117647058823528</v>
      </c>
    </row>
    <row r="17" spans="1:11" x14ac:dyDescent="0.3">
      <c r="A17" s="2" t="s">
        <v>213</v>
      </c>
      <c r="B17" s="2" t="s">
        <v>6</v>
      </c>
      <c r="C17" s="2" t="s">
        <v>423</v>
      </c>
      <c r="D17" s="2">
        <v>67.775269416446093</v>
      </c>
      <c r="E17" s="2">
        <v>74.691956587246807</v>
      </c>
      <c r="F17" s="1">
        <f>Table30[[#This Row],[ARIMAPP]]*$N$5+Table30[[#This Row],[LSTMPP]]*$N$6</f>
        <v>51.518135247323286</v>
      </c>
      <c r="G17" s="2">
        <f>Table30[[#This Row],[PP]]/$N$2</f>
        <v>2.5759067623661642</v>
      </c>
      <c r="H17" s="2">
        <v>18</v>
      </c>
      <c r="I17" s="2">
        <f>Table30[[#This Row],[PPG]]*Table30[[#This Row],[Plays]]</f>
        <v>46.366321722590953</v>
      </c>
      <c r="J17" s="2">
        <v>50</v>
      </c>
      <c r="K17" s="10">
        <f>Table30[[#This Row],[APP]]/Table30[[#This Row],[Plays]]</f>
        <v>2.7777777777777777</v>
      </c>
    </row>
    <row r="18" spans="1:11" x14ac:dyDescent="0.3">
      <c r="A18" s="1" t="s">
        <v>452</v>
      </c>
      <c r="B18" s="1" t="s">
        <v>5</v>
      </c>
      <c r="C18" s="1" t="s">
        <v>423</v>
      </c>
      <c r="D18" s="1">
        <v>15.268649360625901</v>
      </c>
      <c r="E18" s="1">
        <v>139.06300062065799</v>
      </c>
      <c r="F18" s="1">
        <f>Table30[[#This Row],[ARIMAPP]]*$N$5+Table30[[#This Row],[LSTMPP]]*$N$6</f>
        <v>62.144692485958089</v>
      </c>
      <c r="G18" s="1">
        <f>Table30[[#This Row],[PP]]/$N$2</f>
        <v>3.1072346242979045</v>
      </c>
      <c r="H18" s="1">
        <v>14</v>
      </c>
      <c r="I18" s="1">
        <f>Table30[[#This Row],[PPG]]*Table30[[#This Row],[Plays]]</f>
        <v>43.501284740170661</v>
      </c>
      <c r="J18" s="1">
        <v>12</v>
      </c>
      <c r="K18" s="10">
        <f>Table30[[#This Row],[APP]]/Table30[[#This Row],[Plays]]</f>
        <v>0.8571428571428571</v>
      </c>
    </row>
    <row r="19" spans="1:11" x14ac:dyDescent="0.3">
      <c r="A19" s="2" t="s">
        <v>454</v>
      </c>
      <c r="B19" s="2" t="s">
        <v>7</v>
      </c>
      <c r="C19" s="2" t="s">
        <v>423</v>
      </c>
      <c r="D19" s="2">
        <v>-1.59210760199644</v>
      </c>
      <c r="E19" s="2">
        <v>106.180657301756</v>
      </c>
      <c r="F19" s="1">
        <f>Table30[[#This Row],[ARIMAPP]]*$N$5+Table30[[#This Row],[LSTMPP]]*$N$6</f>
        <v>43.415594794487362</v>
      </c>
      <c r="G19" s="2">
        <f>Table30[[#This Row],[PP]]/$N$2</f>
        <v>2.170779739724368</v>
      </c>
      <c r="H19" s="2">
        <v>1</v>
      </c>
      <c r="I19" s="2">
        <f>Table30[[#This Row],[PPG]]*Table30[[#This Row],[Plays]]</f>
        <v>2.170779739724368</v>
      </c>
      <c r="J19" s="2">
        <v>1</v>
      </c>
      <c r="K19" s="10">
        <f>Table30[[#This Row],[APP]]/Table30[[#This Row],[Plays]]</f>
        <v>1</v>
      </c>
    </row>
    <row r="20" spans="1:11" x14ac:dyDescent="0.3">
      <c r="A20" s="1" t="s">
        <v>456</v>
      </c>
      <c r="B20" s="1" t="s">
        <v>6</v>
      </c>
      <c r="C20" s="1" t="s">
        <v>423</v>
      </c>
      <c r="D20" s="1">
        <v>5.0787483148042503</v>
      </c>
      <c r="E20" s="1">
        <v>109.633358510783</v>
      </c>
      <c r="F20" s="1">
        <f>Table30[[#This Row],[ARIMAPP]]*$N$5+Table30[[#This Row],[LSTMPP]]*$N$6</f>
        <v>46.874309400827542</v>
      </c>
      <c r="G20" s="1">
        <f>Table30[[#This Row],[PP]]/$N$2</f>
        <v>2.3437154700413769</v>
      </c>
      <c r="H20" s="1">
        <v>5</v>
      </c>
      <c r="I20" s="1">
        <f>Table30[[#This Row],[PPG]]*Table30[[#This Row],[Plays]]</f>
        <v>11.718577350206886</v>
      </c>
      <c r="J20" s="1">
        <v>5</v>
      </c>
      <c r="K20" s="10">
        <f>Table30[[#This Row],[APP]]/Table30[[#This Row],[Plays]]</f>
        <v>1</v>
      </c>
    </row>
    <row r="21" spans="1:11" x14ac:dyDescent="0.3">
      <c r="A21" s="2" t="s">
        <v>457</v>
      </c>
      <c r="B21" s="2" t="s">
        <v>6</v>
      </c>
      <c r="C21" s="2" t="s">
        <v>423</v>
      </c>
      <c r="D21" s="2">
        <v>40.738101607237603</v>
      </c>
      <c r="E21" s="2">
        <v>47.876959685811102</v>
      </c>
      <c r="F21" s="1">
        <f>Table30[[#This Row],[ARIMAPP]]*$N$5+Table30[[#This Row],[LSTMPP]]*$N$6</f>
        <v>32.19898522269407</v>
      </c>
      <c r="G21" s="2">
        <f>Table30[[#This Row],[PP]]/$N$2</f>
        <v>1.6099492611347035</v>
      </c>
      <c r="H21" s="2">
        <v>12</v>
      </c>
      <c r="I21" s="2">
        <f>Table30[[#This Row],[PPG]]*Table30[[#This Row],[Plays]]</f>
        <v>19.319391133616442</v>
      </c>
      <c r="J21" s="2">
        <v>24</v>
      </c>
      <c r="K21" s="10">
        <f>Table30[[#This Row],[APP]]/Table30[[#This Row],[Plays]]</f>
        <v>2</v>
      </c>
    </row>
    <row r="22" spans="1:11" x14ac:dyDescent="0.3">
      <c r="A22" s="1" t="s">
        <v>458</v>
      </c>
      <c r="B22" s="1" t="s">
        <v>5</v>
      </c>
      <c r="C22" s="1" t="s">
        <v>423</v>
      </c>
      <c r="D22" s="1">
        <v>6.5447235907040504</v>
      </c>
      <c r="E22" s="1">
        <v>68.260335037881504</v>
      </c>
      <c r="F22" s="1">
        <f>Table30[[#This Row],[ARIMAPP]]*$N$5+Table30[[#This Row],[LSTMPP]]*$N$6</f>
        <v>30.215012685716079</v>
      </c>
      <c r="G22" s="1">
        <f>Table30[[#This Row],[PP]]/$N$2</f>
        <v>1.5107506342858039</v>
      </c>
      <c r="H22" s="1">
        <v>4</v>
      </c>
      <c r="I22" s="1">
        <f>Table30[[#This Row],[PPG]]*Table30[[#This Row],[Plays]]</f>
        <v>6.0430025371432157</v>
      </c>
      <c r="J22" s="1">
        <v>4</v>
      </c>
      <c r="K22" s="10">
        <f>Table30[[#This Row],[APP]]/Table30[[#This Row],[Plays]]</f>
        <v>1</v>
      </c>
    </row>
    <row r="23" spans="1:11" x14ac:dyDescent="0.3">
      <c r="A23" s="2" t="s">
        <v>459</v>
      </c>
      <c r="B23" s="2" t="s">
        <v>6</v>
      </c>
      <c r="C23" s="2" t="s">
        <v>423</v>
      </c>
      <c r="D23" s="2">
        <v>-0.52258782899781897</v>
      </c>
      <c r="E23" s="2">
        <v>103.085706928577</v>
      </c>
      <c r="F23" s="1">
        <f>Table30[[#This Row],[ARIMAPP]]*$N$5+Table30[[#This Row],[LSTMPP]]*$N$6</f>
        <v>42.461644148390988</v>
      </c>
      <c r="G23" s="2">
        <f>Table30[[#This Row],[PP]]/$N$2</f>
        <v>2.1230822074195492</v>
      </c>
      <c r="H23" s="2">
        <v>1</v>
      </c>
      <c r="I23" s="2">
        <f>Table30[[#This Row],[PPG]]*Table30[[#This Row],[Plays]]</f>
        <v>2.1230822074195492</v>
      </c>
      <c r="J23" s="2">
        <v>1</v>
      </c>
      <c r="K23" s="10">
        <f>Table30[[#This Row],[APP]]/Table30[[#This Row],[Plays]]</f>
        <v>1</v>
      </c>
    </row>
    <row r="24" spans="1:11" x14ac:dyDescent="0.3">
      <c r="A24" s="1" t="s">
        <v>461</v>
      </c>
      <c r="B24" s="1" t="s">
        <v>7</v>
      </c>
      <c r="C24" s="1" t="s">
        <v>423</v>
      </c>
      <c r="D24" s="1">
        <v>14.574726797848401</v>
      </c>
      <c r="E24" s="1">
        <v>97.977483262942997</v>
      </c>
      <c r="F24" s="1">
        <f>Table30[[#This Row],[ARIMAPP]]*$N$5+Table30[[#This Row],[LSTMPP]]*$N$6</f>
        <v>44.946602025705666</v>
      </c>
      <c r="G24" s="1">
        <f>Table30[[#This Row],[PP]]/$N$2</f>
        <v>2.2473301012852831</v>
      </c>
      <c r="H24" s="1">
        <v>7</v>
      </c>
      <c r="I24" s="1">
        <f>Table30[[#This Row],[PPG]]*Table30[[#This Row],[Plays]]</f>
        <v>15.731310708996983</v>
      </c>
      <c r="J24" s="1">
        <v>22</v>
      </c>
      <c r="K24" s="10">
        <f>Table30[[#This Row],[APP]]/Table30[[#This Row],[Plays]]</f>
        <v>3.1428571428571428</v>
      </c>
    </row>
    <row r="25" spans="1:11" x14ac:dyDescent="0.3">
      <c r="A25" s="5" t="s">
        <v>462</v>
      </c>
      <c r="B25" s="5" t="s">
        <v>6</v>
      </c>
      <c r="C25" s="5" t="s">
        <v>423</v>
      </c>
      <c r="D25" s="5">
        <v>1.8640340839579299</v>
      </c>
      <c r="E25" s="5">
        <v>111.564741516637</v>
      </c>
      <c r="F25" s="1">
        <f>Table30[[#This Row],[ARIMAPP]]*$N$5+Table30[[#This Row],[LSTMPP]]*$N$6</f>
        <v>46.693997250589334</v>
      </c>
      <c r="G25" s="5">
        <f>Table30[[#This Row],[PP]]/$N$2</f>
        <v>2.3346998625294666</v>
      </c>
      <c r="H25" s="5">
        <v>1</v>
      </c>
      <c r="I25" s="5">
        <f>Table30[[#This Row],[PPG]]*Table30[[#This Row],[Plays]]</f>
        <v>2.3346998625294666</v>
      </c>
      <c r="J25" s="5">
        <v>1</v>
      </c>
      <c r="K25" s="12">
        <f>Table30[[#This Row],[APP]]/Table30[[#This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5CCC-48F5-49A0-9920-FF708D095781}">
  <dimension ref="A1:N24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382</v>
      </c>
      <c r="B2" s="1" t="s">
        <v>4</v>
      </c>
      <c r="C2" s="1" t="s">
        <v>383</v>
      </c>
      <c r="D2" s="1">
        <v>64.856280251889601</v>
      </c>
      <c r="E2" s="1">
        <v>69.826633008403505</v>
      </c>
      <c r="F2" s="1">
        <f>Table31[[#This Row],[ARIMAPP]]*$N$5+Table31[[#This Row],[LSTMPP]]*$N$6</f>
        <v>49.680695370385806</v>
      </c>
      <c r="G2" s="1">
        <f>Table31[[#This Row],[PP]]/$N$2</f>
        <v>2.7600386316881003</v>
      </c>
      <c r="H2" s="1">
        <v>18</v>
      </c>
      <c r="I2" s="1">
        <f>Table31[[#This Row],[PPG]]*Table31[[#This Row],[Plays]]</f>
        <v>49.680695370385806</v>
      </c>
      <c r="J2" s="1">
        <v>58</v>
      </c>
      <c r="K2" s="7">
        <f>Table31[[#This Row],[APP]]/Table31[[#This Row],[Plays]]</f>
        <v>3.2222222222222223</v>
      </c>
      <c r="M2" t="s">
        <v>846</v>
      </c>
      <c r="N2">
        <v>18</v>
      </c>
    </row>
    <row r="3" spans="1:14" x14ac:dyDescent="0.3">
      <c r="A3" s="2" t="s">
        <v>385</v>
      </c>
      <c r="B3" s="2" t="s">
        <v>5</v>
      </c>
      <c r="C3" s="2" t="s">
        <v>383</v>
      </c>
      <c r="D3" s="2">
        <v>51.157303208102299</v>
      </c>
      <c r="E3" s="2">
        <v>72.9165537035325</v>
      </c>
      <c r="F3" s="1">
        <f>Table31[[#This Row],[ARIMAPP]]*$N$5+Table31[[#This Row],[LSTMPP]]*$N$6</f>
        <v>46.747744330541877</v>
      </c>
      <c r="G3" s="2">
        <f>Table31[[#This Row],[PP]]/$N$2</f>
        <v>2.5970969072523267</v>
      </c>
      <c r="H3" s="2">
        <v>10</v>
      </c>
      <c r="I3" s="2">
        <f>Table31[[#This Row],[PPG]]*Table31[[#This Row],[Plays]]</f>
        <v>25.970969072523268</v>
      </c>
      <c r="J3" s="2">
        <v>19</v>
      </c>
      <c r="K3" s="6">
        <f>Table31[[#This Row],[APP]]/Table31[[#This Row],[Plays]]</f>
        <v>1.9</v>
      </c>
    </row>
    <row r="4" spans="1:14" x14ac:dyDescent="0.3">
      <c r="A4" s="1" t="s">
        <v>386</v>
      </c>
      <c r="B4" s="1" t="s">
        <v>6</v>
      </c>
      <c r="C4" s="1" t="s">
        <v>383</v>
      </c>
      <c r="D4" s="1">
        <v>22.663813267552399</v>
      </c>
      <c r="E4" s="1">
        <v>59.3108699218607</v>
      </c>
      <c r="F4" s="1">
        <f>Table31[[#This Row],[ARIMAPP]]*$N$5+Table31[[#This Row],[LSTMPP]]*$N$6</f>
        <v>32.156813887232097</v>
      </c>
      <c r="G4" s="1">
        <f>Table31[[#This Row],[PP]]/$N$2</f>
        <v>1.7864896604017833</v>
      </c>
      <c r="H4" s="1">
        <v>8</v>
      </c>
      <c r="I4" s="1">
        <f>Table31[[#This Row],[PPG]]*Table31[[#This Row],[Plays]]</f>
        <v>14.291917283214266</v>
      </c>
      <c r="J4" s="1">
        <v>17</v>
      </c>
      <c r="K4" s="6">
        <f>Table31[[#This Row],[APP]]/Table31[[#This Row],[Plays]]</f>
        <v>2.125</v>
      </c>
    </row>
    <row r="5" spans="1:14" x14ac:dyDescent="0.3">
      <c r="A5" s="2" t="s">
        <v>388</v>
      </c>
      <c r="B5" s="2" t="s">
        <v>7</v>
      </c>
      <c r="C5" s="2" t="s">
        <v>383</v>
      </c>
      <c r="D5" s="2">
        <v>221.415730337078</v>
      </c>
      <c r="E5" s="2">
        <v>97.566600135204098</v>
      </c>
      <c r="F5" s="1">
        <f>Table31[[#This Row],[ARIMAPP]]*$N$5+Table31[[#This Row],[LSTMPP]]*$N$6</f>
        <v>109.92408341033351</v>
      </c>
      <c r="G5" s="2">
        <f>Table31[[#This Row],[PP]]/$N$2</f>
        <v>6.1068935227963062</v>
      </c>
      <c r="H5" s="2">
        <v>16</v>
      </c>
      <c r="I5" s="2">
        <f>Table31[[#This Row],[PPG]]*Table31[[#This Row],[Plays]]</f>
        <v>97.710296364740898</v>
      </c>
      <c r="J5" s="2">
        <v>79</v>
      </c>
      <c r="K5" s="6">
        <f>Table31[[#This Row],[APP]]/Table31[[#This Row],[Plays]]</f>
        <v>4.9375</v>
      </c>
      <c r="M5" t="s">
        <v>9</v>
      </c>
      <c r="N5">
        <v>0.309698951832237</v>
      </c>
    </row>
    <row r="6" spans="1:14" x14ac:dyDescent="0.3">
      <c r="A6" s="1" t="s">
        <v>392</v>
      </c>
      <c r="B6" s="1" t="s">
        <v>5</v>
      </c>
      <c r="C6" s="1" t="s">
        <v>383</v>
      </c>
      <c r="D6" s="1">
        <v>4.0316601940067702</v>
      </c>
      <c r="E6" s="1">
        <v>56.745806816519398</v>
      </c>
      <c r="F6" s="1">
        <f>Table31[[#This Row],[ARIMAPP]]*$N$5+Table31[[#This Row],[LSTMPP]]*$N$6</f>
        <v>25.299299349143144</v>
      </c>
      <c r="G6" s="1">
        <f>Table31[[#This Row],[PP]]/$N$2</f>
        <v>1.4055166305079525</v>
      </c>
      <c r="H6" s="1">
        <v>8</v>
      </c>
      <c r="I6" s="1">
        <f>Table31[[#This Row],[PPG]]*Table31[[#This Row],[Plays]]</f>
        <v>11.24413304406362</v>
      </c>
      <c r="J6" s="1">
        <v>21</v>
      </c>
      <c r="K6" s="6">
        <f>Table31[[#This Row],[APP]]/Table31[[#This Row],[Plays]]</f>
        <v>2.625</v>
      </c>
      <c r="M6" t="s">
        <v>10</v>
      </c>
      <c r="N6">
        <v>0.42383216949721902</v>
      </c>
    </row>
    <row r="7" spans="1:14" x14ac:dyDescent="0.3">
      <c r="A7" s="2" t="s">
        <v>394</v>
      </c>
      <c r="B7" s="2" t="s">
        <v>5</v>
      </c>
      <c r="C7" s="2" t="s">
        <v>383</v>
      </c>
      <c r="D7" s="2">
        <v>7.3611022255516101</v>
      </c>
      <c r="E7" s="2">
        <v>27.906352196471801</v>
      </c>
      <c r="F7" s="1">
        <f>Table31[[#This Row],[ARIMAPP]]*$N$5+Table31[[#This Row],[LSTMPP]]*$N$6</f>
        <v>14.107335437767407</v>
      </c>
      <c r="G7" s="2">
        <f>Table31[[#This Row],[PP]]/$N$2</f>
        <v>0.78374085765374479</v>
      </c>
      <c r="H7" s="2">
        <v>10</v>
      </c>
      <c r="I7" s="2">
        <f>Table31[[#This Row],[PPG]]*Table31[[#This Row],[Plays]]</f>
        <v>7.8374085765374479</v>
      </c>
      <c r="J7" s="2">
        <v>19</v>
      </c>
      <c r="K7" s="6">
        <f>Table31[[#This Row],[APP]]/Table31[[#This Row],[Plays]]</f>
        <v>1.9</v>
      </c>
    </row>
    <row r="8" spans="1:14" x14ac:dyDescent="0.3">
      <c r="A8" s="1" t="s">
        <v>396</v>
      </c>
      <c r="B8" s="1" t="s">
        <v>5</v>
      </c>
      <c r="C8" s="1" t="s">
        <v>383</v>
      </c>
      <c r="D8" s="1">
        <v>48.110221635039899</v>
      </c>
      <c r="E8" s="1">
        <v>63.348960495420897</v>
      </c>
      <c r="F8" s="1">
        <f>Table31[[#This Row],[ARIMAPP]]*$N$5+Table31[[#This Row],[LSTMPP]]*$N$6</f>
        <v>41.749012574956332</v>
      </c>
      <c r="G8" s="1">
        <f>Table31[[#This Row],[PP]]/$N$2</f>
        <v>2.3193895874975738</v>
      </c>
      <c r="H8" s="1">
        <v>16</v>
      </c>
      <c r="I8" s="1">
        <f>Table31[[#This Row],[PPG]]*Table31[[#This Row],[Plays]]</f>
        <v>37.110233399961182</v>
      </c>
      <c r="J8" s="1">
        <v>29</v>
      </c>
      <c r="K8" s="6">
        <f>Table31[[#This Row],[APP]]/Table31[[#This Row],[Plays]]</f>
        <v>1.8125</v>
      </c>
      <c r="M8" t="s">
        <v>849</v>
      </c>
      <c r="N8" cm="1">
        <f t="array" ref="N8">(SUM(Table31[Tot]-Table31[APP]))^2</f>
        <v>1.7425937396332151E-25</v>
      </c>
    </row>
    <row r="9" spans="1:14" x14ac:dyDescent="0.3">
      <c r="A9" s="2" t="s">
        <v>398</v>
      </c>
      <c r="B9" s="2" t="s">
        <v>6</v>
      </c>
      <c r="C9" s="2" t="s">
        <v>383</v>
      </c>
      <c r="D9" s="2">
        <v>123.25842696629201</v>
      </c>
      <c r="E9" s="2">
        <v>87.397904139770006</v>
      </c>
      <c r="F9" s="1">
        <f>Table31[[#This Row],[ARIMAPP]]*$N$5+Table31[[#This Row],[LSTMPP]]*$N$6</f>
        <v>75.215048957019675</v>
      </c>
      <c r="G9" s="2">
        <f>Table31[[#This Row],[PP]]/$N$2</f>
        <v>4.1786138309455376</v>
      </c>
      <c r="H9" s="2">
        <v>14</v>
      </c>
      <c r="I9" s="2">
        <f>Table31[[#This Row],[PPG]]*Table31[[#This Row],[Plays]]</f>
        <v>58.500593633237528</v>
      </c>
      <c r="J9" s="2">
        <v>70</v>
      </c>
      <c r="K9" s="6">
        <f>Table31[[#This Row],[APP]]/Table31[[#This Row],[Plays]]</f>
        <v>5</v>
      </c>
    </row>
    <row r="10" spans="1:14" x14ac:dyDescent="0.3">
      <c r="A10" s="1" t="s">
        <v>400</v>
      </c>
      <c r="B10" s="1" t="s">
        <v>6</v>
      </c>
      <c r="C10" s="1" t="s">
        <v>383</v>
      </c>
      <c r="D10" s="1">
        <v>37.760143805864601</v>
      </c>
      <c r="E10" s="1">
        <v>61.840541981717202</v>
      </c>
      <c r="F10" s="1">
        <f>Table31[[#This Row],[ARIMAPP]]*$N$5+Table31[[#This Row],[LSTMPP]]*$N$6</f>
        <v>37.904288028705857</v>
      </c>
      <c r="G10" s="1">
        <f>Table31[[#This Row],[PP]]/$N$2</f>
        <v>2.1057937793725476</v>
      </c>
      <c r="H10" s="1">
        <v>7</v>
      </c>
      <c r="I10" s="1">
        <f>Table31[[#This Row],[PPG]]*Table31[[#This Row],[Plays]]</f>
        <v>14.740556455607834</v>
      </c>
      <c r="J10" s="1">
        <v>12</v>
      </c>
      <c r="K10" s="6">
        <f>Table31[[#This Row],[APP]]/Table31[[#This Row],[Plays]]</f>
        <v>1.7142857142857142</v>
      </c>
    </row>
    <row r="11" spans="1:14" x14ac:dyDescent="0.3">
      <c r="A11" s="2" t="s">
        <v>401</v>
      </c>
      <c r="B11" s="2" t="s">
        <v>6</v>
      </c>
      <c r="C11" s="2" t="s">
        <v>383</v>
      </c>
      <c r="D11" s="2">
        <v>65.484728057357003</v>
      </c>
      <c r="E11" s="2">
        <v>73.525760236945302</v>
      </c>
      <c r="F11" s="1">
        <f>Table31[[#This Row],[ARIMAPP]]*$N$5+Table31[[#This Row],[LSTMPP]]*$N$6</f>
        <v>51.443134115539436</v>
      </c>
      <c r="G11" s="2">
        <f>Table31[[#This Row],[PP]]/$N$2</f>
        <v>2.8579518953077465</v>
      </c>
      <c r="H11" s="2">
        <v>18</v>
      </c>
      <c r="I11" s="2">
        <f>Table31[[#This Row],[PPG]]*Table31[[#This Row],[Plays]]</f>
        <v>51.443134115539436</v>
      </c>
      <c r="J11" s="2">
        <v>82</v>
      </c>
      <c r="K11" s="6">
        <f>Table31[[#This Row],[APP]]/Table31[[#This Row],[Plays]]</f>
        <v>4.5555555555555554</v>
      </c>
    </row>
    <row r="12" spans="1:14" x14ac:dyDescent="0.3">
      <c r="A12" s="1" t="s">
        <v>403</v>
      </c>
      <c r="B12" s="1" t="s">
        <v>7</v>
      </c>
      <c r="C12" s="1" t="s">
        <v>383</v>
      </c>
      <c r="D12" s="1">
        <v>44.024602460044498</v>
      </c>
      <c r="E12" s="1">
        <v>55.930858584446099</v>
      </c>
      <c r="F12" s="1">
        <f>Table31[[#This Row],[ARIMAPP]]*$N$5+Table31[[#This Row],[LSTMPP]]*$N$6</f>
        <v>37.33967037239465</v>
      </c>
      <c r="G12" s="1">
        <f>Table31[[#This Row],[PP]]/$N$2</f>
        <v>2.0744261317997026</v>
      </c>
      <c r="H12" s="1">
        <v>14</v>
      </c>
      <c r="I12" s="1">
        <f>Table31[[#This Row],[PPG]]*Table31[[#This Row],[Plays]]</f>
        <v>29.041965845195836</v>
      </c>
      <c r="J12" s="1">
        <v>44</v>
      </c>
      <c r="K12" s="6">
        <f>Table31[[#This Row],[APP]]/Table31[[#This Row],[Plays]]</f>
        <v>3.1428571428571428</v>
      </c>
    </row>
    <row r="13" spans="1:14" x14ac:dyDescent="0.3">
      <c r="A13" s="2" t="s">
        <v>405</v>
      </c>
      <c r="B13" s="2" t="s">
        <v>6</v>
      </c>
      <c r="C13" s="2" t="s">
        <v>383</v>
      </c>
      <c r="D13" s="2">
        <v>10.666594018431899</v>
      </c>
      <c r="E13" s="2">
        <v>27.284551052603</v>
      </c>
      <c r="F13" s="1">
        <f>Table31[[#This Row],[ARIMAPP]]*$N$5+Table31[[#This Row],[LSTMPP]]*$N$6</f>
        <v>14.867503453510729</v>
      </c>
      <c r="G13" s="2">
        <f>Table31[[#This Row],[PP]]/$N$2</f>
        <v>0.82597241408392941</v>
      </c>
      <c r="H13" s="2">
        <v>3</v>
      </c>
      <c r="I13" s="2">
        <f>Table31[[#This Row],[PPG]]*Table31[[#This Row],[Plays]]</f>
        <v>2.4779172422517881</v>
      </c>
      <c r="J13" s="2">
        <v>3</v>
      </c>
      <c r="K13" s="6">
        <f>Table31[[#This Row],[APP]]/Table31[[#This Row],[Plays]]</f>
        <v>1</v>
      </c>
    </row>
    <row r="14" spans="1:14" x14ac:dyDescent="0.3">
      <c r="A14" s="1" t="s">
        <v>227</v>
      </c>
      <c r="B14" s="1" t="s">
        <v>6</v>
      </c>
      <c r="C14" s="1" t="s">
        <v>383</v>
      </c>
      <c r="D14" s="1">
        <v>59.551055356585699</v>
      </c>
      <c r="E14" s="1">
        <v>82.142496236284799</v>
      </c>
      <c r="F14" s="1">
        <f>Table31[[#This Row],[ARIMAPP]]*$N$5+Table31[[#This Row],[LSTMPP]]*$N$6</f>
        <v>53.257531812179849</v>
      </c>
      <c r="G14" s="1">
        <f>Table31[[#This Row],[PP]]/$N$2</f>
        <v>2.9587517673433248</v>
      </c>
      <c r="H14" s="1">
        <v>14</v>
      </c>
      <c r="I14" s="1">
        <f>Table31[[#This Row],[PPG]]*Table31[[#This Row],[Plays]]</f>
        <v>41.422524742806544</v>
      </c>
      <c r="J14" s="1">
        <v>49</v>
      </c>
      <c r="K14" s="6">
        <f>Table31[[#This Row],[APP]]/Table31[[#This Row],[Plays]]</f>
        <v>3.5</v>
      </c>
    </row>
    <row r="15" spans="1:14" x14ac:dyDescent="0.3">
      <c r="A15" s="2" t="s">
        <v>407</v>
      </c>
      <c r="B15" s="2" t="s">
        <v>6</v>
      </c>
      <c r="C15" s="2" t="s">
        <v>383</v>
      </c>
      <c r="D15" s="2">
        <v>36.9103717420479</v>
      </c>
      <c r="E15" s="2">
        <v>47.447938551625498</v>
      </c>
      <c r="F15" s="1">
        <f>Table31[[#This Row],[ARIMAPP]]*$N$5+Table31[[#This Row],[LSTMPP]]*$N$6</f>
        <v>31.541066174756629</v>
      </c>
      <c r="G15" s="2">
        <f>Table31[[#This Row],[PP]]/$N$2</f>
        <v>1.7522814541531462</v>
      </c>
      <c r="H15" s="2">
        <v>13</v>
      </c>
      <c r="I15" s="2">
        <f>Table31[[#This Row],[PPG]]*Table31[[#This Row],[Plays]]</f>
        <v>22.779658903990899</v>
      </c>
      <c r="J15" s="2">
        <v>29</v>
      </c>
      <c r="K15" s="6">
        <f>Table31[[#This Row],[APP]]/Table31[[#This Row],[Plays]]</f>
        <v>2.2307692307692308</v>
      </c>
    </row>
    <row r="16" spans="1:14" x14ac:dyDescent="0.3">
      <c r="A16" s="1" t="s">
        <v>409</v>
      </c>
      <c r="B16" s="1" t="s">
        <v>5</v>
      </c>
      <c r="C16" s="1" t="s">
        <v>383</v>
      </c>
      <c r="D16" s="1">
        <v>27.151928913008099</v>
      </c>
      <c r="E16" s="1">
        <v>65.345560739808306</v>
      </c>
      <c r="F16" s="1">
        <f>Table31[[#This Row],[ARIMAPP]]*$N$5+Table31[[#This Row],[LSTMPP]]*$N$6</f>
        <v>36.104474699947275</v>
      </c>
      <c r="G16" s="1">
        <f>Table31[[#This Row],[PP]]/$N$2</f>
        <v>2.0058041499970707</v>
      </c>
      <c r="H16" s="1">
        <v>16</v>
      </c>
      <c r="I16" s="1">
        <f>Table31[[#This Row],[PPG]]*Table31[[#This Row],[Plays]]</f>
        <v>32.092866399953131</v>
      </c>
      <c r="J16" s="1">
        <v>32</v>
      </c>
      <c r="K16" s="6">
        <f>Table31[[#This Row],[APP]]/Table31[[#This Row],[Plays]]</f>
        <v>2</v>
      </c>
    </row>
    <row r="17" spans="1:11" x14ac:dyDescent="0.3">
      <c r="A17" s="2" t="s">
        <v>32</v>
      </c>
      <c r="B17" s="2" t="s">
        <v>5</v>
      </c>
      <c r="C17" s="2" t="s">
        <v>383</v>
      </c>
      <c r="D17" s="2">
        <v>23.684633610353401</v>
      </c>
      <c r="E17" s="2">
        <v>51.824403729837698</v>
      </c>
      <c r="F17" s="1">
        <f>Table31[[#This Row],[ARIMAPP]]*$N$5+Table31[[#This Row],[LSTMPP]]*$N$6</f>
        <v>29.299955669373901</v>
      </c>
      <c r="G17" s="2">
        <f>Table31[[#This Row],[PP]]/$N$2</f>
        <v>1.6277753149652168</v>
      </c>
      <c r="H17" s="2">
        <v>10</v>
      </c>
      <c r="I17" s="2">
        <f>Table31[[#This Row],[PPG]]*Table31[[#This Row],[Plays]]</f>
        <v>16.277753149652167</v>
      </c>
      <c r="J17" s="2">
        <v>27</v>
      </c>
      <c r="K17" s="6">
        <f>Table31[[#This Row],[APP]]/Table31[[#This Row],[Plays]]</f>
        <v>2.7</v>
      </c>
    </row>
    <row r="18" spans="1:11" x14ac:dyDescent="0.3">
      <c r="A18" s="1" t="s">
        <v>412</v>
      </c>
      <c r="B18" s="1" t="s">
        <v>5</v>
      </c>
      <c r="C18" s="1" t="s">
        <v>383</v>
      </c>
      <c r="D18" s="1">
        <v>24.7233285809988</v>
      </c>
      <c r="E18" s="1">
        <v>38.142748276522198</v>
      </c>
      <c r="F18" s="1">
        <f>Table31[[#This Row],[ARIMAPP]]*$N$5+Table31[[#This Row],[LSTMPP]]*$N$6</f>
        <v>23.822912699964029</v>
      </c>
      <c r="G18" s="1">
        <f>Table31[[#This Row],[PP]]/$N$2</f>
        <v>1.3234951499980017</v>
      </c>
      <c r="H18" s="1">
        <v>8</v>
      </c>
      <c r="I18" s="1">
        <f>Table31[[#This Row],[PPG]]*Table31[[#This Row],[Plays]]</f>
        <v>10.587961199984013</v>
      </c>
      <c r="J18" s="1">
        <v>9</v>
      </c>
      <c r="K18" s="6">
        <f>Table31[[#This Row],[APP]]/Table31[[#This Row],[Plays]]</f>
        <v>1.125</v>
      </c>
    </row>
    <row r="19" spans="1:11" x14ac:dyDescent="0.3">
      <c r="A19" s="2" t="s">
        <v>414</v>
      </c>
      <c r="B19" s="2" t="s">
        <v>7</v>
      </c>
      <c r="C19" s="2" t="s">
        <v>383</v>
      </c>
      <c r="D19" s="2">
        <v>159.69221223648401</v>
      </c>
      <c r="E19" s="2">
        <v>103.02347688563999</v>
      </c>
      <c r="F19" s="1">
        <f>Table31[[#This Row],[ARIMAPP]]*$N$5+Table31[[#This Row],[LSTMPP]]*$N$6</f>
        <v>93.121174462997629</v>
      </c>
      <c r="G19" s="2">
        <f>Table31[[#This Row],[PP]]/$N$2</f>
        <v>5.1733985812776462</v>
      </c>
      <c r="H19" s="2">
        <v>7</v>
      </c>
      <c r="I19" s="2">
        <f>Table31[[#This Row],[PPG]]*Table31[[#This Row],[Plays]]</f>
        <v>36.213790068943524</v>
      </c>
      <c r="J19" s="2">
        <v>28</v>
      </c>
      <c r="K19" s="6">
        <f>Table31[[#This Row],[APP]]/Table31[[#This Row],[Plays]]</f>
        <v>4</v>
      </c>
    </row>
    <row r="20" spans="1:11" x14ac:dyDescent="0.3">
      <c r="A20" s="1" t="s">
        <v>416</v>
      </c>
      <c r="B20" s="1" t="s">
        <v>6</v>
      </c>
      <c r="C20" s="1" t="s">
        <v>383</v>
      </c>
      <c r="D20" s="1">
        <v>62.359813609760302</v>
      </c>
      <c r="E20" s="1">
        <v>139.877708571939</v>
      </c>
      <c r="F20" s="1">
        <f>Table31[[#This Row],[ARIMAPP]]*$N$5+Table31[[#This Row],[LSTMPP]]*$N$6</f>
        <v>78.597441599741089</v>
      </c>
      <c r="G20" s="1">
        <f>Table31[[#This Row],[PP]]/$N$2</f>
        <v>4.3665245333189491</v>
      </c>
      <c r="H20" s="1">
        <v>14</v>
      </c>
      <c r="I20" s="1">
        <f>Table31[[#This Row],[PPG]]*Table31[[#This Row],[Plays]]</f>
        <v>61.131343466465289</v>
      </c>
      <c r="J20" s="1">
        <v>30</v>
      </c>
      <c r="K20" s="6">
        <f>Table31[[#This Row],[APP]]/Table31[[#This Row],[Plays]]</f>
        <v>2.1428571428571428</v>
      </c>
    </row>
    <row r="21" spans="1:11" x14ac:dyDescent="0.3">
      <c r="A21" s="2" t="s">
        <v>73</v>
      </c>
      <c r="B21" s="2" t="s">
        <v>5</v>
      </c>
      <c r="C21" s="2" t="s">
        <v>383</v>
      </c>
      <c r="D21" s="2">
        <v>2.4548409590792999</v>
      </c>
      <c r="E21" s="2">
        <v>39.397570124626299</v>
      </c>
      <c r="F21" s="1">
        <f>Table31[[#This Row],[ARIMAPP]]*$N$5+Table31[[#This Row],[LSTMPP]]*$N$6</f>
        <v>17.458219290780889</v>
      </c>
      <c r="G21" s="2">
        <f>Table31[[#This Row],[PP]]/$N$2</f>
        <v>0.96990107171004936</v>
      </c>
      <c r="H21" s="2">
        <v>4</v>
      </c>
      <c r="I21" s="2">
        <f>Table31[[#This Row],[PPG]]*Table31[[#This Row],[Plays]]</f>
        <v>3.8796042868401974</v>
      </c>
      <c r="J21" s="2">
        <v>4</v>
      </c>
      <c r="K21" s="6">
        <f>Table31[[#This Row],[APP]]/Table31[[#This Row],[Plays]]</f>
        <v>1</v>
      </c>
    </row>
    <row r="22" spans="1:11" x14ac:dyDescent="0.3">
      <c r="A22" s="1" t="s">
        <v>418</v>
      </c>
      <c r="B22" s="1" t="s">
        <v>6</v>
      </c>
      <c r="C22" s="1" t="s">
        <v>383</v>
      </c>
      <c r="D22" s="1">
        <v>172.41176470588201</v>
      </c>
      <c r="E22" s="1">
        <v>130.542543769323</v>
      </c>
      <c r="F22" s="1">
        <f>Table31[[#This Row],[ARIMAPP]]*$N$5+Table31[[#This Row],[LSTMPP]]*$N$6</f>
        <v>108.72387235039577</v>
      </c>
      <c r="G22" s="1">
        <f>Table31[[#This Row],[PP]]/$N$2</f>
        <v>6.0402151305775424</v>
      </c>
      <c r="H22" s="1">
        <v>9</v>
      </c>
      <c r="I22" s="1">
        <f>Table31[[#This Row],[PPG]]*Table31[[#This Row],[Plays]]</f>
        <v>54.361936175197883</v>
      </c>
      <c r="J22" s="1">
        <v>18</v>
      </c>
      <c r="K22" s="6">
        <f>Table31[[#This Row],[APP]]/Table31[[#This Row],[Plays]]</f>
        <v>2</v>
      </c>
    </row>
    <row r="23" spans="1:11" x14ac:dyDescent="0.3">
      <c r="A23" s="2" t="s">
        <v>420</v>
      </c>
      <c r="B23" s="2" t="s">
        <v>6</v>
      </c>
      <c r="C23" s="2" t="s">
        <v>383</v>
      </c>
      <c r="D23" s="2">
        <v>60.672184720221502</v>
      </c>
      <c r="E23" s="2">
        <v>45.9613206174377</v>
      </c>
      <c r="F23" s="1">
        <f>Table31[[#This Row],[ARIMAPP]]*$N$5+Table31[[#This Row],[LSTMPP]]*$N$6</f>
        <v>38.269998243470347</v>
      </c>
      <c r="G23" s="2">
        <f>Table31[[#This Row],[PP]]/$N$2</f>
        <v>2.1261110135261303</v>
      </c>
      <c r="H23" s="2">
        <v>15</v>
      </c>
      <c r="I23" s="2">
        <f>Table31[[#This Row],[PPG]]*Table31[[#This Row],[Plays]]</f>
        <v>31.891665202891954</v>
      </c>
      <c r="J23" s="2">
        <v>34</v>
      </c>
      <c r="K23" s="6">
        <f>Table31[[#This Row],[APP]]/Table31[[#This Row],[Plays]]</f>
        <v>2.2666666666666666</v>
      </c>
    </row>
    <row r="24" spans="1:11" x14ac:dyDescent="0.3">
      <c r="A24" s="4" t="s">
        <v>422</v>
      </c>
      <c r="B24" s="4" t="s">
        <v>6</v>
      </c>
      <c r="C24" s="4" t="s">
        <v>383</v>
      </c>
      <c r="D24" s="4">
        <v>0</v>
      </c>
      <c r="E24" s="4">
        <v>140.62020839751801</v>
      </c>
      <c r="F24" s="1">
        <f>Table31[[#This Row],[ARIMAPP]]*$N$5+Table31[[#This Row],[LSTMPP]]*$N$6</f>
        <v>59.599368000271113</v>
      </c>
      <c r="G24" s="4">
        <f>Table31[[#This Row],[PP]]/$N$2</f>
        <v>3.3110760000150616</v>
      </c>
      <c r="H24" s="4">
        <v>1</v>
      </c>
      <c r="I24" s="4">
        <f>Table31[[#This Row],[PPG]]*Table31[[#This Row],[Plays]]</f>
        <v>3.3110760000150616</v>
      </c>
      <c r="J24" s="4">
        <v>1</v>
      </c>
      <c r="K24" s="8">
        <f>Table31[[#This Row],[APP]]/Table31[[#This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81B-2820-428D-A99A-69A72C161B74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463</v>
      </c>
      <c r="B2" s="1" t="s">
        <v>6</v>
      </c>
      <c r="C2" s="1" t="s">
        <v>464</v>
      </c>
      <c r="D2" s="1">
        <v>60.898876270223901</v>
      </c>
      <c r="E2" s="1">
        <v>43.472298331744703</v>
      </c>
      <c r="F2" s="1">
        <f>Table32[[#This Row],[ARIMAPP]]*$N$5+Table32[[#This Row],[LSTMPP]]*$N$6</f>
        <v>56.94369356037479</v>
      </c>
      <c r="G2" s="1">
        <f>Table32[[#This Row],[PP]]/$N$2</f>
        <v>2.7116044552559422</v>
      </c>
      <c r="H2" s="1">
        <v>14</v>
      </c>
      <c r="I2" s="1">
        <f>Table32[[#This Row],[PPG]]*Table32[[#This Row],[Plays]]</f>
        <v>37.962462373583193</v>
      </c>
      <c r="J2" s="1">
        <v>25</v>
      </c>
      <c r="K2" s="11">
        <f>Table32[[#This Row],[APP]]/Table32[[#This Row],[Plays]]</f>
        <v>1.7857142857142858</v>
      </c>
      <c r="M2" t="s">
        <v>846</v>
      </c>
      <c r="N2">
        <v>21</v>
      </c>
    </row>
    <row r="3" spans="1:14" x14ac:dyDescent="0.3">
      <c r="A3" s="2" t="s">
        <v>465</v>
      </c>
      <c r="B3" s="2" t="s">
        <v>6</v>
      </c>
      <c r="C3" s="2" t="s">
        <v>464</v>
      </c>
      <c r="D3" s="2">
        <v>52.025947900684102</v>
      </c>
      <c r="E3" s="2">
        <v>62.239958705095297</v>
      </c>
      <c r="F3" s="1">
        <f>Table32[[#This Row],[ARIMAPP]]*$N$5+Table32[[#This Row],[LSTMPP]]*$N$6</f>
        <v>66.536724181489973</v>
      </c>
      <c r="G3" s="2">
        <f>Table32[[#This Row],[PP]]/$N$2</f>
        <v>3.1684154372138083</v>
      </c>
      <c r="H3" s="2">
        <v>19</v>
      </c>
      <c r="I3" s="2">
        <f>Table32[[#This Row],[PPG]]*Table32[[#This Row],[Plays]]</f>
        <v>60.199893307062354</v>
      </c>
      <c r="J3" s="2">
        <v>69</v>
      </c>
      <c r="K3" s="10">
        <f>Table32[[#This Row],[APP]]/Table32[[#This Row],[Plays]]</f>
        <v>3.6315789473684212</v>
      </c>
    </row>
    <row r="4" spans="1:14" x14ac:dyDescent="0.3">
      <c r="A4" s="1" t="s">
        <v>466</v>
      </c>
      <c r="B4" s="1" t="s">
        <v>5</v>
      </c>
      <c r="C4" s="1" t="s">
        <v>464</v>
      </c>
      <c r="D4" s="1">
        <v>29.768475831307601</v>
      </c>
      <c r="E4" s="1">
        <v>48.907981546097801</v>
      </c>
      <c r="F4" s="1">
        <f>Table32[[#This Row],[ARIMAPP]]*$N$5+Table32[[#This Row],[LSTMPP]]*$N$6</f>
        <v>47.546719958460997</v>
      </c>
      <c r="G4" s="1">
        <f>Table32[[#This Row],[PP]]/$N$2</f>
        <v>2.2641295218314759</v>
      </c>
      <c r="H4" s="1">
        <v>16</v>
      </c>
      <c r="I4" s="1">
        <f>Table32[[#This Row],[PPG]]*Table32[[#This Row],[Plays]]</f>
        <v>36.226072349303614</v>
      </c>
      <c r="J4" s="1">
        <v>61</v>
      </c>
      <c r="K4" s="10">
        <f>Table32[[#This Row],[APP]]/Table32[[#This Row],[Plays]]</f>
        <v>3.8125</v>
      </c>
    </row>
    <row r="5" spans="1:14" x14ac:dyDescent="0.3">
      <c r="A5" s="2" t="s">
        <v>251</v>
      </c>
      <c r="B5" s="2" t="s">
        <v>6</v>
      </c>
      <c r="C5" s="2" t="s">
        <v>464</v>
      </c>
      <c r="D5" s="2">
        <v>25.241279195138802</v>
      </c>
      <c r="E5" s="2">
        <v>67.4735842848782</v>
      </c>
      <c r="F5" s="1">
        <f>Table32[[#This Row],[ARIMAPP]]*$N$5+Table32[[#This Row],[LSTMPP]]*$N$6</f>
        <v>58.848338825790094</v>
      </c>
      <c r="G5" s="2">
        <f>Table32[[#This Row],[PP]]/$N$2</f>
        <v>2.8023018488471472</v>
      </c>
      <c r="H5" s="2">
        <v>11</v>
      </c>
      <c r="I5" s="2">
        <f>Table32[[#This Row],[PPG]]*Table32[[#This Row],[Plays]]</f>
        <v>30.825320337318619</v>
      </c>
      <c r="J5" s="2">
        <v>31</v>
      </c>
      <c r="K5" s="10">
        <f>Table32[[#This Row],[APP]]/Table32[[#This Row],[Plays]]</f>
        <v>2.8181818181818183</v>
      </c>
      <c r="M5" t="s">
        <v>9</v>
      </c>
      <c r="N5">
        <v>0.42630180054157973</v>
      </c>
    </row>
    <row r="6" spans="1:14" x14ac:dyDescent="0.3">
      <c r="A6" s="1" t="s">
        <v>469</v>
      </c>
      <c r="B6" s="1" t="s">
        <v>6</v>
      </c>
      <c r="C6" s="1" t="s">
        <v>464</v>
      </c>
      <c r="D6" s="1">
        <v>27.365015615495199</v>
      </c>
      <c r="E6" s="1">
        <v>67.5676639647901</v>
      </c>
      <c r="F6" s="1">
        <f>Table32[[#This Row],[ARIMAPP]]*$N$5+Table32[[#This Row],[LSTMPP]]*$N$6</f>
        <v>59.820741393858334</v>
      </c>
      <c r="G6" s="1">
        <f>Table32[[#This Row],[PP]]/$N$2</f>
        <v>2.8486067330408731</v>
      </c>
      <c r="H6" s="1">
        <v>6</v>
      </c>
      <c r="I6" s="1">
        <f>Table32[[#This Row],[PPG]]*Table32[[#This Row],[Plays]]</f>
        <v>17.091640398245239</v>
      </c>
      <c r="J6" s="1">
        <v>34</v>
      </c>
      <c r="K6" s="10">
        <f>Table32[[#This Row],[APP]]/Table32[[#This Row],[Plays]]</f>
        <v>5.666666666666667</v>
      </c>
      <c r="M6" t="s">
        <v>10</v>
      </c>
      <c r="N6">
        <v>0.71269277550009902</v>
      </c>
    </row>
    <row r="7" spans="1:14" x14ac:dyDescent="0.3">
      <c r="A7" s="2" t="s">
        <v>471</v>
      </c>
      <c r="B7" s="2" t="s">
        <v>7</v>
      </c>
      <c r="C7" s="2" t="s">
        <v>464</v>
      </c>
      <c r="D7" s="2">
        <v>68.971246419519503</v>
      </c>
      <c r="E7" s="2">
        <v>92.781725337602794</v>
      </c>
      <c r="F7" s="1">
        <f>Table32[[#This Row],[ARIMAPP]]*$N$5+Table32[[#This Row],[LSTMPP]]*$N$6</f>
        <v>95.527431880782146</v>
      </c>
      <c r="G7" s="2">
        <f>Table32[[#This Row],[PP]]/$N$2</f>
        <v>4.5489253276562929</v>
      </c>
      <c r="H7" s="2">
        <v>12</v>
      </c>
      <c r="I7" s="2">
        <f>Table32[[#This Row],[PPG]]*Table32[[#This Row],[Plays]]</f>
        <v>54.587103931875518</v>
      </c>
      <c r="J7" s="2">
        <v>46</v>
      </c>
      <c r="K7" s="10">
        <f>Table32[[#This Row],[APP]]/Table32[[#This Row],[Plays]]</f>
        <v>3.8333333333333335</v>
      </c>
    </row>
    <row r="8" spans="1:14" x14ac:dyDescent="0.3">
      <c r="A8" s="1" t="s">
        <v>473</v>
      </c>
      <c r="B8" s="1" t="s">
        <v>5</v>
      </c>
      <c r="C8" s="1" t="s">
        <v>464</v>
      </c>
      <c r="D8" s="1">
        <v>67.686504050867001</v>
      </c>
      <c r="E8" s="1">
        <v>90.297048104421194</v>
      </c>
      <c r="F8" s="1">
        <f>Table32[[#This Row],[ARIMAPP]]*$N$5+Table32[[#This Row],[LSTMPP]]*$N$6</f>
        <v>93.208932382255426</v>
      </c>
      <c r="G8" s="1">
        <f>Table32[[#This Row],[PP]]/$N$2</f>
        <v>4.438520589631211</v>
      </c>
      <c r="H8" s="1">
        <v>19</v>
      </c>
      <c r="I8" s="1">
        <f>Table32[[#This Row],[PPG]]*Table32[[#This Row],[Plays]]</f>
        <v>84.331891202993006</v>
      </c>
      <c r="J8" s="1">
        <v>92</v>
      </c>
      <c r="K8" s="10">
        <f>Table32[[#This Row],[APP]]/Table32[[#This Row],[Plays]]</f>
        <v>4.8421052631578947</v>
      </c>
      <c r="M8" t="s">
        <v>849</v>
      </c>
      <c r="N8" cm="1">
        <f t="array" ref="N8">(SUM(Table32[Tot]-Table32[APP]))^2</f>
        <v>2.3345234084748535E-25</v>
      </c>
    </row>
    <row r="9" spans="1:14" x14ac:dyDescent="0.3">
      <c r="A9" s="2" t="s">
        <v>475</v>
      </c>
      <c r="B9" s="2" t="s">
        <v>6</v>
      </c>
      <c r="C9" s="2" t="s">
        <v>464</v>
      </c>
      <c r="D9" s="2">
        <v>105.956217788186</v>
      </c>
      <c r="E9" s="2">
        <v>120.343875637137</v>
      </c>
      <c r="F9" s="1">
        <f>Table32[[#This Row],[ARIMAPP]]*$N$5+Table32[[#This Row],[LSTMPP]]*$N$6</f>
        <v>130.93753716394937</v>
      </c>
      <c r="G9" s="2">
        <f>Table32[[#This Row],[PP]]/$N$2</f>
        <v>6.2351208173309223</v>
      </c>
      <c r="H9" s="2">
        <v>20</v>
      </c>
      <c r="I9" s="2">
        <f>Table32[[#This Row],[PPG]]*Table32[[#This Row],[Plays]]</f>
        <v>124.70241634661845</v>
      </c>
      <c r="J9" s="2">
        <v>97</v>
      </c>
      <c r="K9" s="10">
        <f>Table32[[#This Row],[APP]]/Table32[[#This Row],[Plays]]</f>
        <v>4.8499999999999996</v>
      </c>
    </row>
    <row r="10" spans="1:14" x14ac:dyDescent="0.3">
      <c r="A10" s="1" t="s">
        <v>476</v>
      </c>
      <c r="B10" s="1" t="s">
        <v>4</v>
      </c>
      <c r="C10" s="1" t="s">
        <v>464</v>
      </c>
      <c r="D10" s="1">
        <v>67.501113540574295</v>
      </c>
      <c r="E10" s="1">
        <v>103.709375493397</v>
      </c>
      <c r="F10" s="1">
        <f>Table32[[#This Row],[ARIMAPP]]*$N$5+Table32[[#This Row],[LSTMPP]]*$N$6</f>
        <v>102.68876890667948</v>
      </c>
      <c r="G10" s="1">
        <f>Table32[[#This Row],[PP]]/$N$2</f>
        <v>4.8899413765085473</v>
      </c>
      <c r="H10" s="1">
        <v>19</v>
      </c>
      <c r="I10" s="1">
        <f>Table32[[#This Row],[PPG]]*Table32[[#This Row],[Plays]]</f>
        <v>92.908886153662394</v>
      </c>
      <c r="J10" s="1">
        <v>84</v>
      </c>
      <c r="K10" s="10">
        <f>Table32[[#This Row],[APP]]/Table32[[#This Row],[Plays]]</f>
        <v>4.4210526315789478</v>
      </c>
    </row>
    <row r="11" spans="1:14" x14ac:dyDescent="0.3">
      <c r="A11" s="2" t="s">
        <v>479</v>
      </c>
      <c r="B11" s="2" t="s">
        <v>6</v>
      </c>
      <c r="C11" s="2" t="s">
        <v>464</v>
      </c>
      <c r="D11" s="2">
        <v>160.98876398947701</v>
      </c>
      <c r="E11" s="2">
        <v>165.770998405131</v>
      </c>
      <c r="F11" s="1">
        <f>Table32[[#This Row],[ARIMAPP]]*$N$5+Table32[[#This Row],[LSTMPP]]*$N$6</f>
        <v>186.77359290645279</v>
      </c>
      <c r="G11" s="2">
        <f>Table32[[#This Row],[PP]]/$N$2</f>
        <v>8.8939806145929907</v>
      </c>
      <c r="H11" s="2">
        <v>20</v>
      </c>
      <c r="I11" s="2">
        <f>Table32[[#This Row],[PPG]]*Table32[[#This Row],[Plays]]</f>
        <v>177.87961229185981</v>
      </c>
      <c r="J11" s="2">
        <v>177</v>
      </c>
      <c r="K11" s="10">
        <f>Table32[[#This Row],[APP]]/Table32[[#This Row],[Plays]]</f>
        <v>8.85</v>
      </c>
    </row>
    <row r="12" spans="1:14" x14ac:dyDescent="0.3">
      <c r="A12" s="1" t="s">
        <v>481</v>
      </c>
      <c r="B12" s="1" t="s">
        <v>5</v>
      </c>
      <c r="C12" s="1" t="s">
        <v>464</v>
      </c>
      <c r="D12" s="1">
        <v>187.66292122922701</v>
      </c>
      <c r="E12" s="1">
        <v>107.86266949725901</v>
      </c>
      <c r="F12" s="1">
        <f>Table32[[#This Row],[ARIMAPP]]*$N$5+Table32[[#This Row],[LSTMPP]]*$N$6</f>
        <v>156.87398651176352</v>
      </c>
      <c r="G12" s="1">
        <f>Table32[[#This Row],[PP]]/$N$2</f>
        <v>7.4701898338935013</v>
      </c>
      <c r="H12" s="1">
        <v>15</v>
      </c>
      <c r="I12" s="1">
        <f>Table32[[#This Row],[PPG]]*Table32[[#This Row],[Plays]]</f>
        <v>112.05284750840252</v>
      </c>
      <c r="J12" s="1">
        <v>81</v>
      </c>
      <c r="K12" s="10">
        <f>Table32[[#This Row],[APP]]/Table32[[#This Row],[Plays]]</f>
        <v>5.4</v>
      </c>
    </row>
    <row r="13" spans="1:14" x14ac:dyDescent="0.3">
      <c r="A13" s="2" t="s">
        <v>483</v>
      </c>
      <c r="B13" s="2" t="s">
        <v>7</v>
      </c>
      <c r="C13" s="2" t="s">
        <v>464</v>
      </c>
      <c r="D13" s="2">
        <v>20.078958061654799</v>
      </c>
      <c r="E13" s="2">
        <v>34.2646848821405</v>
      </c>
      <c r="F13" s="1">
        <f>Table32[[#This Row],[ARIMAPP]]*$N$5+Table32[[#This Row],[LSTMPP]]*$N$6</f>
        <v>32.979889344971305</v>
      </c>
      <c r="G13" s="2">
        <f>Table32[[#This Row],[PP]]/$N$2</f>
        <v>1.5704709211891097</v>
      </c>
      <c r="H13" s="2">
        <v>3</v>
      </c>
      <c r="I13" s="2">
        <f>Table32[[#This Row],[PPG]]*Table32[[#This Row],[Plays]]</f>
        <v>4.7114127635673295</v>
      </c>
      <c r="J13" s="2">
        <v>14</v>
      </c>
      <c r="K13" s="10">
        <f>Table32[[#This Row],[APP]]/Table32[[#This Row],[Plays]]</f>
        <v>4.666666666666667</v>
      </c>
    </row>
    <row r="14" spans="1:14" x14ac:dyDescent="0.3">
      <c r="A14" s="1" t="s">
        <v>485</v>
      </c>
      <c r="B14" s="1" t="s">
        <v>6</v>
      </c>
      <c r="C14" s="1" t="s">
        <v>464</v>
      </c>
      <c r="D14" s="1">
        <v>18.283110124580201</v>
      </c>
      <c r="E14" s="1">
        <v>42.151050486427799</v>
      </c>
      <c r="F14" s="1">
        <f>Table32[[#This Row],[ARIMAPP]]*$N$5+Table32[[#This Row],[LSTMPP]]*$N$6</f>
        <v>37.834871927025553</v>
      </c>
      <c r="G14" s="1">
        <f>Table32[[#This Row],[PP]]/$N$2</f>
        <v>1.8016605679535977</v>
      </c>
      <c r="H14" s="1">
        <v>7</v>
      </c>
      <c r="I14" s="1">
        <f>Table32[[#This Row],[PPG]]*Table32[[#This Row],[Plays]]</f>
        <v>12.611623975675185</v>
      </c>
      <c r="J14" s="1">
        <v>16</v>
      </c>
      <c r="K14" s="10">
        <f>Table32[[#This Row],[APP]]/Table32[[#This Row],[Plays]]</f>
        <v>2.2857142857142856</v>
      </c>
    </row>
    <row r="15" spans="1:14" x14ac:dyDescent="0.3">
      <c r="A15" s="2" t="s">
        <v>487</v>
      </c>
      <c r="B15" s="2" t="s">
        <v>5</v>
      </c>
      <c r="C15" s="2" t="s">
        <v>464</v>
      </c>
      <c r="D15" s="2">
        <v>104.67504135674299</v>
      </c>
      <c r="E15" s="2">
        <v>133.009522705248</v>
      </c>
      <c r="F15" s="1">
        <f>Table32[[#This Row],[ARIMAPP]]*$N$5+Table32[[#This Row],[LSTMPP]]*$N$6</f>
        <v>139.41808450689049</v>
      </c>
      <c r="G15" s="2">
        <f>Table32[[#This Row],[PP]]/$N$2</f>
        <v>6.6389564050900232</v>
      </c>
      <c r="H15" s="2">
        <v>19</v>
      </c>
      <c r="I15" s="2">
        <f>Table32[[#This Row],[PPG]]*Table32[[#This Row],[Plays]]</f>
        <v>126.14017169671044</v>
      </c>
      <c r="J15" s="2">
        <v>142</v>
      </c>
      <c r="K15" s="10">
        <f>Table32[[#This Row],[APP]]/Table32[[#This Row],[Plays]]</f>
        <v>7.4736842105263159</v>
      </c>
    </row>
    <row r="16" spans="1:14" x14ac:dyDescent="0.3">
      <c r="A16" s="1" t="s">
        <v>489</v>
      </c>
      <c r="B16" s="1" t="s">
        <v>5</v>
      </c>
      <c r="C16" s="1" t="s">
        <v>464</v>
      </c>
      <c r="D16" s="1">
        <v>16.463338581668602</v>
      </c>
      <c r="E16" s="1">
        <v>36.219570723439098</v>
      </c>
      <c r="F16" s="1">
        <f>Table32[[#This Row],[ARIMAPP]]*$N$5+Table32[[#This Row],[LSTMPP]]*$N$6</f>
        <v>32.831777266600923</v>
      </c>
      <c r="G16" s="1">
        <f>Table32[[#This Row],[PP]]/$N$2</f>
        <v>1.5634179650762345</v>
      </c>
      <c r="H16" s="1">
        <v>3</v>
      </c>
      <c r="I16" s="1">
        <f>Table32[[#This Row],[PPG]]*Table32[[#This Row],[Plays]]</f>
        <v>4.6902538952287038</v>
      </c>
      <c r="J16" s="1">
        <v>3</v>
      </c>
      <c r="K16" s="10">
        <f>Table32[[#This Row],[APP]]/Table32[[#This Row],[Plays]]</f>
        <v>1</v>
      </c>
    </row>
    <row r="17" spans="1:11" x14ac:dyDescent="0.3">
      <c r="A17" s="2" t="s">
        <v>491</v>
      </c>
      <c r="B17" s="2" t="s">
        <v>6</v>
      </c>
      <c r="C17" s="2" t="s">
        <v>464</v>
      </c>
      <c r="D17" s="2">
        <v>0.69844709277530803</v>
      </c>
      <c r="E17" s="2">
        <v>27.2827969447249</v>
      </c>
      <c r="F17" s="1">
        <f>Table32[[#This Row],[ARIMAPP]]*$N$5+Table32[[#This Row],[LSTMPP]]*$N$6</f>
        <v>19.742001531174758</v>
      </c>
      <c r="G17" s="2">
        <f>Table32[[#This Row],[PP]]/$N$2</f>
        <v>0.94009531100832178</v>
      </c>
      <c r="H17" s="2">
        <v>11</v>
      </c>
      <c r="I17" s="2">
        <f>Table32[[#This Row],[PPG]]*Table32[[#This Row],[Plays]]</f>
        <v>10.341048421091539</v>
      </c>
      <c r="J17" s="2">
        <v>34</v>
      </c>
      <c r="K17" s="10">
        <f>Table32[[#This Row],[APP]]/Table32[[#This Row],[Plays]]</f>
        <v>3.0909090909090908</v>
      </c>
    </row>
    <row r="18" spans="1:11" x14ac:dyDescent="0.3">
      <c r="A18" s="1" t="s">
        <v>493</v>
      </c>
      <c r="B18" s="1" t="s">
        <v>6</v>
      </c>
      <c r="C18" s="1" t="s">
        <v>464</v>
      </c>
      <c r="D18" s="1">
        <v>65.297974079914596</v>
      </c>
      <c r="E18" s="1">
        <v>76.715587931142693</v>
      </c>
      <c r="F18" s="1">
        <f>Table32[[#This Row],[ARIMAPP]]*$N$5+Table32[[#This Row],[LSTMPP]]*$N$6</f>
        <v>82.51128920875297</v>
      </c>
      <c r="G18" s="1">
        <f>Table32[[#This Row],[PP]]/$N$2</f>
        <v>3.9291090099406176</v>
      </c>
      <c r="H18" s="1">
        <v>20</v>
      </c>
      <c r="I18" s="1">
        <f>Table32[[#This Row],[PPG]]*Table32[[#This Row],[Plays]]</f>
        <v>78.582180198812353</v>
      </c>
      <c r="J18" s="1">
        <v>104</v>
      </c>
      <c r="K18" s="10">
        <f>Table32[[#This Row],[APP]]/Table32[[#This Row],[Plays]]</f>
        <v>5.2</v>
      </c>
    </row>
    <row r="19" spans="1:11" x14ac:dyDescent="0.3">
      <c r="A19" s="2" t="s">
        <v>495</v>
      </c>
      <c r="B19" s="2" t="s">
        <v>4</v>
      </c>
      <c r="C19" s="2" t="s">
        <v>464</v>
      </c>
      <c r="D19" s="2">
        <v>3.96840716044604</v>
      </c>
      <c r="E19" s="2">
        <v>30.425993121437301</v>
      </c>
      <c r="F19" s="1">
        <f>Table32[[#This Row],[ARIMAPP]]*$N$5+Table32[[#This Row],[LSTMPP]]*$N$6</f>
        <v>23.376124602844317</v>
      </c>
      <c r="G19" s="2">
        <f>Table32[[#This Row],[PP]]/$N$2</f>
        <v>1.1131487906116342</v>
      </c>
      <c r="H19" s="2">
        <v>19</v>
      </c>
      <c r="I19" s="2">
        <f>Table32[[#This Row],[PPG]]*Table32[[#This Row],[Plays]]</f>
        <v>21.14982702162105</v>
      </c>
      <c r="J19" s="2">
        <v>8</v>
      </c>
      <c r="K19" s="10">
        <f>Table32[[#This Row],[APP]]/Table32[[#This Row],[Plays]]</f>
        <v>0.42105263157894735</v>
      </c>
    </row>
    <row r="20" spans="1:11" x14ac:dyDescent="0.3">
      <c r="A20" s="1" t="s">
        <v>497</v>
      </c>
      <c r="B20" s="1" t="s">
        <v>5</v>
      </c>
      <c r="C20" s="1" t="s">
        <v>464</v>
      </c>
      <c r="D20" s="1">
        <v>27.692576033631902</v>
      </c>
      <c r="E20" s="1">
        <v>141.67515743802801</v>
      </c>
      <c r="F20" s="1">
        <f>Table32[[#This Row],[ARIMAPP]]*$N$5+Table32[[#This Row],[LSTMPP]]*$N$6</f>
        <v>112.77625619869356</v>
      </c>
      <c r="G20" s="1">
        <f>Table32[[#This Row],[PP]]/$N$2</f>
        <v>5.370297914223503</v>
      </c>
      <c r="H20" s="1">
        <v>14</v>
      </c>
      <c r="I20" s="1">
        <f>Table32[[#This Row],[PPG]]*Table32[[#This Row],[Plays]]</f>
        <v>75.184170799129049</v>
      </c>
      <c r="J20" s="1">
        <v>21</v>
      </c>
      <c r="K20" s="10">
        <f>Table32[[#This Row],[APP]]/Table32[[#This Row],[Plays]]</f>
        <v>1.5</v>
      </c>
    </row>
    <row r="21" spans="1:11" x14ac:dyDescent="0.3">
      <c r="A21" s="2" t="s">
        <v>499</v>
      </c>
      <c r="B21" s="2" t="s">
        <v>6</v>
      </c>
      <c r="C21" s="2" t="s">
        <v>464</v>
      </c>
      <c r="D21" s="2">
        <v>20.171981146959698</v>
      </c>
      <c r="E21" s="2">
        <v>44.153301372763899</v>
      </c>
      <c r="F21" s="1">
        <f>Table32[[#This Row],[ARIMAPP]]*$N$5+Table32[[#This Row],[LSTMPP]]*$N$6</f>
        <v>40.067090786287153</v>
      </c>
      <c r="G21" s="2">
        <f>Table32[[#This Row],[PP]]/$N$2</f>
        <v>1.907956704108912</v>
      </c>
      <c r="H21" s="2">
        <v>7</v>
      </c>
      <c r="I21" s="2">
        <f>Table32[[#This Row],[PPG]]*Table32[[#This Row],[Plays]]</f>
        <v>13.355696928762384</v>
      </c>
      <c r="J21" s="2">
        <v>25</v>
      </c>
      <c r="K21" s="10">
        <f>Table32[[#This Row],[APP]]/Table32[[#This Row],[Plays]]</f>
        <v>3.5714285714285716</v>
      </c>
    </row>
    <row r="22" spans="1:11" x14ac:dyDescent="0.3">
      <c r="A22" s="1" t="s">
        <v>500</v>
      </c>
      <c r="B22" s="1" t="s">
        <v>5</v>
      </c>
      <c r="C22" s="1" t="s">
        <v>464</v>
      </c>
      <c r="D22" s="1">
        <v>13.8588941011326</v>
      </c>
      <c r="E22" s="1">
        <v>60.467800011622998</v>
      </c>
      <c r="F22" s="1">
        <f>Table32[[#This Row],[ARIMAPP]]*$N$5+Table32[[#This Row],[LSTMPP]]*$N$6</f>
        <v>49.003035727496425</v>
      </c>
      <c r="G22" s="1">
        <f>Table32[[#This Row],[PP]]/$N$2</f>
        <v>2.3334778917855439</v>
      </c>
      <c r="H22" s="1">
        <v>9</v>
      </c>
      <c r="I22" s="1">
        <f>Table32[[#This Row],[PPG]]*Table32[[#This Row],[Plays]]</f>
        <v>21.001301026069896</v>
      </c>
      <c r="J22" s="1">
        <v>33</v>
      </c>
      <c r="K22" s="10">
        <f>Table32[[#This Row],[APP]]/Table32[[#This Row],[Plays]]</f>
        <v>3.6666666666666665</v>
      </c>
    </row>
    <row r="23" spans="1:11" x14ac:dyDescent="0.3">
      <c r="A23" s="2" t="s">
        <v>503</v>
      </c>
      <c r="B23" s="2" t="s">
        <v>5</v>
      </c>
      <c r="C23" s="2" t="s">
        <v>464</v>
      </c>
      <c r="D23" s="2">
        <v>-3.9436907511777899</v>
      </c>
      <c r="E23" s="2">
        <v>38.832403002264201</v>
      </c>
      <c r="F23" s="1">
        <f>Table32[[#This Row],[ARIMAPP]]*$N$5+Table32[[#This Row],[LSTMPP]]*$N$6</f>
        <v>25.994370607015785</v>
      </c>
      <c r="G23" s="2">
        <f>Table32[[#This Row],[PP]]/$N$2</f>
        <v>1.2378271717626563</v>
      </c>
      <c r="H23" s="2">
        <v>1</v>
      </c>
      <c r="I23" s="2">
        <f>Table32[[#This Row],[PPG]]*Table32[[#This Row],[Plays]]</f>
        <v>1.2378271717626563</v>
      </c>
      <c r="J23" s="2">
        <v>4</v>
      </c>
      <c r="K23" s="10">
        <f>Table32[[#This Row],[APP]]/Table32[[#This Row],[Plays]]</f>
        <v>4</v>
      </c>
    </row>
    <row r="24" spans="1:11" x14ac:dyDescent="0.3">
      <c r="A24" s="1" t="s">
        <v>504</v>
      </c>
      <c r="B24" s="1" t="s">
        <v>6</v>
      </c>
      <c r="C24" s="1" t="s">
        <v>464</v>
      </c>
      <c r="D24" s="1">
        <v>7.14411894853723E-2</v>
      </c>
      <c r="E24" s="1">
        <v>29.524240766858401</v>
      </c>
      <c r="F24" s="1">
        <f>Table32[[#This Row],[ARIMAPP]]*$N$5+Table32[[#This Row],[LSTMPP]]*$N$6</f>
        <v>21.072168604375932</v>
      </c>
      <c r="G24" s="1">
        <f>Table32[[#This Row],[PP]]/$N$2</f>
        <v>1.0034366002083777</v>
      </c>
      <c r="H24" s="1">
        <v>4</v>
      </c>
      <c r="I24" s="1">
        <f>Table32[[#This Row],[PPG]]*Table32[[#This Row],[Plays]]</f>
        <v>4.0137464008335106</v>
      </c>
      <c r="J24" s="1">
        <v>9</v>
      </c>
      <c r="K24" s="10">
        <f>Table32[[#This Row],[APP]]/Table32[[#This Row],[Plays]]</f>
        <v>2.25</v>
      </c>
    </row>
    <row r="25" spans="1:11" x14ac:dyDescent="0.3">
      <c r="A25" s="5" t="s">
        <v>505</v>
      </c>
      <c r="B25" s="5" t="s">
        <v>6</v>
      </c>
      <c r="C25" s="5" t="s">
        <v>464</v>
      </c>
      <c r="D25" s="5">
        <v>0.792055236343153</v>
      </c>
      <c r="E25" s="5">
        <v>135.254040013245</v>
      </c>
      <c r="F25" s="1">
        <f>Table32[[#This Row],[ARIMAPP]]*$N$5+Table32[[#This Row],[LSTMPP]]*$N$6</f>
        <v>96.7322317480225</v>
      </c>
      <c r="G25" s="5">
        <f>Table32[[#This Row],[PP]]/$N$2</f>
        <v>4.6062967499058329</v>
      </c>
      <c r="H25" s="5">
        <v>2</v>
      </c>
      <c r="I25" s="5">
        <f>Table32[[#This Row],[PPG]]*Table32[[#This Row],[Plays]]</f>
        <v>9.2125934998116659</v>
      </c>
      <c r="J25" s="5">
        <v>1</v>
      </c>
      <c r="K25" s="12">
        <f>Table32[[#This Row],[APP]]/Table32[[#This Row],[Plays]]</f>
        <v>0.5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0415-92D8-46FB-B684-25A88E839222}">
  <dimension ref="A1:N23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506</v>
      </c>
      <c r="B2" s="1" t="s">
        <v>6</v>
      </c>
      <c r="C2" s="1" t="s">
        <v>507</v>
      </c>
      <c r="D2" s="1">
        <v>69.414727966413096</v>
      </c>
      <c r="E2" s="1">
        <v>92.734642536948499</v>
      </c>
      <c r="F2" s="1">
        <f>Table33[[#This Row],[ARIMAPP]]*$N$5+Table33[[#This Row],[LSTMPP]]*$N$6</f>
        <v>104.92424267276456</v>
      </c>
      <c r="G2" s="1">
        <f>Table33[[#This Row],[PP]]/$N$2</f>
        <v>4.7692837578529348</v>
      </c>
      <c r="H2" s="1">
        <v>22</v>
      </c>
      <c r="I2" s="1">
        <f>Table33[[#This Row],[PPG]]*Table33[[#This Row],[Plays]]</f>
        <v>104.92424267276456</v>
      </c>
      <c r="J2" s="1">
        <v>55</v>
      </c>
      <c r="K2" s="11">
        <f>Table33[[#This Row],[APP]]/Table33[[#This Row],[Plays]]</f>
        <v>2.5</v>
      </c>
      <c r="M2" t="s">
        <v>846</v>
      </c>
      <c r="N2">
        <v>22</v>
      </c>
    </row>
    <row r="3" spans="1:14" x14ac:dyDescent="0.3">
      <c r="A3" s="2" t="s">
        <v>509</v>
      </c>
      <c r="B3" s="2" t="s">
        <v>5</v>
      </c>
      <c r="C3" s="2" t="s">
        <v>507</v>
      </c>
      <c r="D3" s="2">
        <v>102.089887608442</v>
      </c>
      <c r="E3" s="2">
        <v>64.058128580614607</v>
      </c>
      <c r="F3" s="1">
        <f>Table33[[#This Row],[ARIMAPP]]*$N$5+Table33[[#This Row],[LSTMPP]]*$N$6</f>
        <v>96.888048316144634</v>
      </c>
      <c r="G3" s="2">
        <f>Table33[[#This Row],[PP]]/$N$2</f>
        <v>4.4040021961883928</v>
      </c>
      <c r="H3" s="2">
        <v>13</v>
      </c>
      <c r="I3" s="2">
        <f>Table33[[#This Row],[PPG]]*Table33[[#This Row],[Plays]]</f>
        <v>57.252028550449104</v>
      </c>
      <c r="J3" s="2">
        <v>57</v>
      </c>
      <c r="K3" s="10">
        <f>Table33[[#This Row],[APP]]/Table33[[#This Row],[Plays]]</f>
        <v>4.384615384615385</v>
      </c>
    </row>
    <row r="4" spans="1:14" x14ac:dyDescent="0.3">
      <c r="A4" s="1" t="s">
        <v>511</v>
      </c>
      <c r="B4" s="1" t="s">
        <v>6</v>
      </c>
      <c r="C4" s="1" t="s">
        <v>507</v>
      </c>
      <c r="D4" s="1">
        <v>57.966690408568198</v>
      </c>
      <c r="E4" s="1">
        <v>76.1458651506899</v>
      </c>
      <c r="F4" s="1">
        <f>Table33[[#This Row],[ARIMAPP]]*$N$5+Table33[[#This Row],[LSTMPP]]*$N$6</f>
        <v>86.591897009563937</v>
      </c>
      <c r="G4" s="1">
        <f>Table33[[#This Row],[PP]]/$N$2</f>
        <v>3.9359953186165426</v>
      </c>
      <c r="H4" s="1">
        <v>15</v>
      </c>
      <c r="I4" s="1">
        <f>Table33[[#This Row],[PPG]]*Table33[[#This Row],[Plays]]</f>
        <v>59.039929779248141</v>
      </c>
      <c r="J4" s="1">
        <v>71</v>
      </c>
      <c r="K4" s="10">
        <f>Table33[[#This Row],[APP]]/Table33[[#This Row],[Plays]]</f>
        <v>4.7333333333333334</v>
      </c>
    </row>
    <row r="5" spans="1:14" x14ac:dyDescent="0.3">
      <c r="A5" s="2" t="s">
        <v>512</v>
      </c>
      <c r="B5" s="2" t="s">
        <v>6</v>
      </c>
      <c r="C5" s="2" t="s">
        <v>507</v>
      </c>
      <c r="D5" s="2">
        <v>95.205368004627999</v>
      </c>
      <c r="E5" s="2">
        <v>105.102267351168</v>
      </c>
      <c r="F5" s="1">
        <f>Table33[[#This Row],[ARIMAPP]]*$N$5+Table33[[#This Row],[LSTMPP]]*$N$6</f>
        <v>126.3716491605153</v>
      </c>
      <c r="G5" s="2">
        <f>Table33[[#This Row],[PP]]/$N$2</f>
        <v>5.7441658709325134</v>
      </c>
      <c r="H5" s="2">
        <v>16</v>
      </c>
      <c r="I5" s="2">
        <f>Table33[[#This Row],[PPG]]*Table33[[#This Row],[Plays]]</f>
        <v>91.906653934920215</v>
      </c>
      <c r="J5" s="2">
        <v>78</v>
      </c>
      <c r="K5" s="10">
        <f>Table33[[#This Row],[APP]]/Table33[[#This Row],[Plays]]</f>
        <v>4.875</v>
      </c>
      <c r="M5" t="s">
        <v>9</v>
      </c>
      <c r="N5">
        <v>0.45085977183777864</v>
      </c>
    </row>
    <row r="6" spans="1:14" x14ac:dyDescent="0.3">
      <c r="A6" s="1" t="s">
        <v>513</v>
      </c>
      <c r="B6" s="1" t="s">
        <v>5</v>
      </c>
      <c r="C6" s="1" t="s">
        <v>507</v>
      </c>
      <c r="D6" s="1">
        <v>30.986014617859102</v>
      </c>
      <c r="E6" s="1">
        <v>51.042726612591302</v>
      </c>
      <c r="F6" s="1">
        <f>Table33[[#This Row],[ARIMAPP]]*$N$5+Table33[[#This Row],[LSTMPP]]*$N$6</f>
        <v>54.496416451894632</v>
      </c>
      <c r="G6" s="1">
        <f>Table33[[#This Row],[PP]]/$N$2</f>
        <v>2.4771098387224835</v>
      </c>
      <c r="H6" s="1">
        <v>7</v>
      </c>
      <c r="I6" s="1">
        <f>Table33[[#This Row],[PPG]]*Table33[[#This Row],[Plays]]</f>
        <v>17.339768871057384</v>
      </c>
      <c r="J6" s="1">
        <v>39</v>
      </c>
      <c r="K6" s="10">
        <f>Table33[[#This Row],[APP]]/Table33[[#This Row],[Plays]]</f>
        <v>5.5714285714285712</v>
      </c>
      <c r="M6" t="s">
        <v>10</v>
      </c>
      <c r="N6">
        <v>0.79396363910402001</v>
      </c>
    </row>
    <row r="7" spans="1:14" x14ac:dyDescent="0.3">
      <c r="A7" s="2" t="s">
        <v>287</v>
      </c>
      <c r="B7" s="2" t="s">
        <v>5</v>
      </c>
      <c r="C7" s="2" t="s">
        <v>507</v>
      </c>
      <c r="D7" s="2">
        <v>32.141085137725398</v>
      </c>
      <c r="E7" s="2">
        <v>46.916207199834098</v>
      </c>
      <c r="F7" s="1">
        <f>Table33[[#This Row],[ARIMAPP]]*$N$5+Table33[[#This Row],[LSTMPP]]*$N$6</f>
        <v>51.740884913151994</v>
      </c>
      <c r="G7" s="2">
        <f>Table33[[#This Row],[PP]]/$N$2</f>
        <v>2.3518584051432723</v>
      </c>
      <c r="H7" s="2">
        <v>1</v>
      </c>
      <c r="I7" s="2">
        <f>Table33[[#This Row],[PPG]]*Table33[[#This Row],[Plays]]</f>
        <v>2.3518584051432723</v>
      </c>
      <c r="J7" s="2">
        <v>3</v>
      </c>
      <c r="K7" s="10">
        <f>Table33[[#This Row],[APP]]/Table33[[#This Row],[Plays]]</f>
        <v>3</v>
      </c>
    </row>
    <row r="8" spans="1:14" x14ac:dyDescent="0.3">
      <c r="A8" s="1" t="s">
        <v>515</v>
      </c>
      <c r="B8" s="1" t="s">
        <v>6</v>
      </c>
      <c r="C8" s="1" t="s">
        <v>507</v>
      </c>
      <c r="D8" s="1">
        <v>89.636694246461403</v>
      </c>
      <c r="E8" s="1">
        <v>91.075632302041001</v>
      </c>
      <c r="F8" s="1">
        <f>Table33[[#This Row],[ARIMAPP]]*$N$5+Table33[[#This Row],[LSTMPP]]*$N$6</f>
        <v>112.72431997248042</v>
      </c>
      <c r="G8" s="1">
        <f>Table33[[#This Row],[PP]]/$N$2</f>
        <v>5.1238327260218375</v>
      </c>
      <c r="H8" s="1">
        <v>16</v>
      </c>
      <c r="I8" s="1">
        <f>Table33[[#This Row],[PPG]]*Table33[[#This Row],[Plays]]</f>
        <v>81.9813236163494</v>
      </c>
      <c r="J8" s="1">
        <v>77</v>
      </c>
      <c r="K8" s="10">
        <f>Table33[[#This Row],[APP]]/Table33[[#This Row],[Plays]]</f>
        <v>4.8125</v>
      </c>
      <c r="M8" t="s">
        <v>849</v>
      </c>
      <c r="N8" cm="1">
        <f t="array" ref="N8">(SUM(Table33[Tot]-Table33[APP]))^2</f>
        <v>3.8180867812696971E-28</v>
      </c>
    </row>
    <row r="9" spans="1:14" x14ac:dyDescent="0.3">
      <c r="A9" s="2" t="s">
        <v>517</v>
      </c>
      <c r="B9" s="2" t="s">
        <v>6</v>
      </c>
      <c r="C9" s="2" t="s">
        <v>507</v>
      </c>
      <c r="D9" s="2">
        <v>99.587759036831201</v>
      </c>
      <c r="E9" s="2">
        <v>96.290181693508899</v>
      </c>
      <c r="F9" s="1">
        <f>Table33[[#This Row],[ARIMAPP]]*$N$5+Table33[[#This Row],[LSTMPP]]*$N$6</f>
        <v>121.35101738454701</v>
      </c>
      <c r="G9" s="2">
        <f>Table33[[#This Row],[PP]]/$N$2</f>
        <v>5.5159553356612276</v>
      </c>
      <c r="H9" s="2">
        <v>18</v>
      </c>
      <c r="I9" s="2">
        <f>Table33[[#This Row],[PPG]]*Table33[[#This Row],[Plays]]</f>
        <v>99.287196041902092</v>
      </c>
      <c r="J9" s="2">
        <v>80</v>
      </c>
      <c r="K9" s="10">
        <f>Table33[[#This Row],[APP]]/Table33[[#This Row],[Plays]]</f>
        <v>4.4444444444444446</v>
      </c>
    </row>
    <row r="10" spans="1:14" x14ac:dyDescent="0.3">
      <c r="A10" s="1" t="s">
        <v>519</v>
      </c>
      <c r="B10" s="1" t="s">
        <v>5</v>
      </c>
      <c r="C10" s="1" t="s">
        <v>507</v>
      </c>
      <c r="D10" s="1">
        <v>69.299203013906606</v>
      </c>
      <c r="E10" s="1">
        <v>97.089138299294802</v>
      </c>
      <c r="F10" s="1">
        <f>Table33[[#This Row],[ARIMAPP]]*$N$5+Table33[[#This Row],[LSTMPP]]*$N$6</f>
        <v>108.32946842097142</v>
      </c>
      <c r="G10" s="1">
        <f>Table33[[#This Row],[PP]]/$N$2</f>
        <v>4.9240667464077923</v>
      </c>
      <c r="H10" s="1">
        <v>21</v>
      </c>
      <c r="I10" s="1">
        <f>Table33[[#This Row],[PPG]]*Table33[[#This Row],[Plays]]</f>
        <v>103.40540167456363</v>
      </c>
      <c r="J10" s="1">
        <v>132</v>
      </c>
      <c r="K10" s="10">
        <f>Table33[[#This Row],[APP]]/Table33[[#This Row],[Plays]]</f>
        <v>6.2857142857142856</v>
      </c>
    </row>
    <row r="11" spans="1:14" x14ac:dyDescent="0.3">
      <c r="A11" s="2" t="s">
        <v>520</v>
      </c>
      <c r="B11" s="2" t="s">
        <v>4</v>
      </c>
      <c r="C11" s="2" t="s">
        <v>507</v>
      </c>
      <c r="D11" s="2">
        <v>3.8477204189735899</v>
      </c>
      <c r="E11" s="2">
        <v>58.264093998312603</v>
      </c>
      <c r="F11" s="1">
        <f>Table33[[#This Row],[ARIMAPP]]*$N$5+Table33[[#This Row],[LSTMPP]]*$N$6</f>
        <v>47.994354450192965</v>
      </c>
      <c r="G11" s="2">
        <f>Table33[[#This Row],[PP]]/$N$2</f>
        <v>2.1815615659178622</v>
      </c>
      <c r="H11" s="2">
        <v>21</v>
      </c>
      <c r="I11" s="2">
        <f>Table33[[#This Row],[PPG]]*Table33[[#This Row],[Plays]]</f>
        <v>45.812792884275105</v>
      </c>
      <c r="J11" s="2">
        <v>94</v>
      </c>
      <c r="K11" s="10">
        <f>Table33[[#This Row],[APP]]/Table33[[#This Row],[Plays]]</f>
        <v>4.4761904761904763</v>
      </c>
    </row>
    <row r="12" spans="1:14" x14ac:dyDescent="0.3">
      <c r="A12" s="1" t="s">
        <v>522</v>
      </c>
      <c r="B12" s="1" t="s">
        <v>5</v>
      </c>
      <c r="C12" s="1" t="s">
        <v>507</v>
      </c>
      <c r="D12" s="1">
        <v>32.045297246860002</v>
      </c>
      <c r="E12" s="1">
        <v>43.7722320595783</v>
      </c>
      <c r="F12" s="1">
        <f>Table33[[#This Row],[ARIMAPP]]*$N$5+Table33[[#This Row],[LSTMPP]]*$N$6</f>
        <v>49.201496062921535</v>
      </c>
      <c r="G12" s="1">
        <f>Table33[[#This Row],[PP]]/$N$2</f>
        <v>2.236431639223706</v>
      </c>
      <c r="H12" s="1">
        <v>8</v>
      </c>
      <c r="I12" s="1">
        <f>Table33[[#This Row],[PPG]]*Table33[[#This Row],[Plays]]</f>
        <v>17.891453113789648</v>
      </c>
      <c r="J12" s="1">
        <v>32</v>
      </c>
      <c r="K12" s="10">
        <f>Table33[[#This Row],[APP]]/Table33[[#This Row],[Plays]]</f>
        <v>4</v>
      </c>
    </row>
    <row r="13" spans="1:14" x14ac:dyDescent="0.3">
      <c r="A13" s="2" t="s">
        <v>524</v>
      </c>
      <c r="B13" s="2" t="s">
        <v>5</v>
      </c>
      <c r="C13" s="2" t="s">
        <v>507</v>
      </c>
      <c r="D13" s="2">
        <v>44.522726404278004</v>
      </c>
      <c r="E13" s="2">
        <v>64.963405281932495</v>
      </c>
      <c r="F13" s="1">
        <f>Table33[[#This Row],[ARIMAPP]]*$N$5+Table33[[#This Row],[LSTMPP]]*$N$6</f>
        <v>71.652087934461065</v>
      </c>
      <c r="G13" s="2">
        <f>Table33[[#This Row],[PP]]/$N$2</f>
        <v>3.2569130879300485</v>
      </c>
      <c r="H13" s="2">
        <v>18</v>
      </c>
      <c r="I13" s="2">
        <f>Table33[[#This Row],[PPG]]*Table33[[#This Row],[Plays]]</f>
        <v>58.624435582740873</v>
      </c>
      <c r="J13" s="2">
        <v>91</v>
      </c>
      <c r="K13" s="10">
        <f>Table33[[#This Row],[APP]]/Table33[[#This Row],[Plays]]</f>
        <v>5.0555555555555554</v>
      </c>
    </row>
    <row r="14" spans="1:14" x14ac:dyDescent="0.3">
      <c r="A14" s="1" t="s">
        <v>526</v>
      </c>
      <c r="B14" s="1" t="s">
        <v>4</v>
      </c>
      <c r="C14" s="1" t="s">
        <v>507</v>
      </c>
      <c r="D14" s="1">
        <v>3.2542461012616699</v>
      </c>
      <c r="E14" s="1">
        <v>49.787748615166002</v>
      </c>
      <c r="F14" s="1">
        <f>Table33[[#This Row],[ARIMAPP]]*$N$5+Table33[[#This Row],[LSTMPP]]*$N$6</f>
        <v>40.996870728012148</v>
      </c>
      <c r="G14" s="1">
        <f>Table33[[#This Row],[PP]]/$N$2</f>
        <v>1.8634941240005523</v>
      </c>
      <c r="H14" s="1">
        <v>1</v>
      </c>
      <c r="I14" s="1">
        <f>Table33[[#This Row],[PPG]]*Table33[[#This Row],[Plays]]</f>
        <v>1.8634941240005523</v>
      </c>
      <c r="J14" s="1">
        <v>7</v>
      </c>
      <c r="K14" s="10">
        <f>Table33[[#This Row],[APP]]/Table33[[#This Row],[Plays]]</f>
        <v>7</v>
      </c>
    </row>
    <row r="15" spans="1:14" x14ac:dyDescent="0.3">
      <c r="A15" s="2" t="s">
        <v>192</v>
      </c>
      <c r="B15" s="2" t="s">
        <v>6</v>
      </c>
      <c r="C15" s="2" t="s">
        <v>507</v>
      </c>
      <c r="D15" s="2">
        <v>74.4102811178754</v>
      </c>
      <c r="E15" s="2">
        <v>116.518581162297</v>
      </c>
      <c r="F15" s="1">
        <f>Table33[[#This Row],[ARIMAPP]]*$N$5+Table33[[#This Row],[LSTMPP]]*$N$6</f>
        <v>126.06011909004471</v>
      </c>
      <c r="G15" s="2">
        <f>Table33[[#This Row],[PP]]/$N$2</f>
        <v>5.73000541318385</v>
      </c>
      <c r="H15" s="2">
        <v>21</v>
      </c>
      <c r="I15" s="2">
        <f>Table33[[#This Row],[PPG]]*Table33[[#This Row],[Plays]]</f>
        <v>120.33011367686085</v>
      </c>
      <c r="J15" s="2">
        <v>106</v>
      </c>
      <c r="K15" s="10">
        <f>Table33[[#This Row],[APP]]/Table33[[#This Row],[Plays]]</f>
        <v>5.0476190476190474</v>
      </c>
    </row>
    <row r="16" spans="1:14" x14ac:dyDescent="0.3">
      <c r="A16" s="1" t="s">
        <v>531</v>
      </c>
      <c r="B16" s="1" t="s">
        <v>5</v>
      </c>
      <c r="C16" s="1" t="s">
        <v>507</v>
      </c>
      <c r="D16" s="1">
        <v>179.200000070285</v>
      </c>
      <c r="E16" s="1">
        <v>114.161052226545</v>
      </c>
      <c r="F16" s="1">
        <f>Table33[[#This Row],[ARIMAPP]]*$N$5+Table33[[#This Row],[LSTMPP]]*$N$6</f>
        <v>171.43379561475035</v>
      </c>
      <c r="G16" s="1">
        <f>Table33[[#This Row],[PP]]/$N$2</f>
        <v>7.7924452552159247</v>
      </c>
      <c r="H16" s="1">
        <v>20</v>
      </c>
      <c r="I16" s="1">
        <f>Table33[[#This Row],[PPG]]*Table33[[#This Row],[Plays]]</f>
        <v>155.8489051043185</v>
      </c>
      <c r="J16" s="1">
        <v>96</v>
      </c>
      <c r="K16" s="10">
        <f>Table33[[#This Row],[APP]]/Table33[[#This Row],[Plays]]</f>
        <v>4.8</v>
      </c>
    </row>
    <row r="17" spans="1:11" x14ac:dyDescent="0.3">
      <c r="A17" s="2" t="s">
        <v>534</v>
      </c>
      <c r="B17" s="2" t="s">
        <v>7</v>
      </c>
      <c r="C17" s="2" t="s">
        <v>507</v>
      </c>
      <c r="D17" s="2">
        <v>88.717977467388593</v>
      </c>
      <c r="E17" s="2">
        <v>105.130879604667</v>
      </c>
      <c r="F17" s="1">
        <f>Table33[[#This Row],[ARIMAPP]]*$N$5+Table33[[#This Row],[LSTMPP]]*$N$6</f>
        <v>123.46946283198402</v>
      </c>
      <c r="G17" s="2">
        <f>Table33[[#This Row],[PP]]/$N$2</f>
        <v>5.6122483105447278</v>
      </c>
      <c r="H17" s="2">
        <v>18</v>
      </c>
      <c r="I17" s="2">
        <f>Table33[[#This Row],[PPG]]*Table33[[#This Row],[Plays]]</f>
        <v>101.0204695898051</v>
      </c>
      <c r="J17" s="2">
        <v>70</v>
      </c>
      <c r="K17" s="10">
        <f>Table33[[#This Row],[APP]]/Table33[[#This Row],[Plays]]</f>
        <v>3.8888888888888888</v>
      </c>
    </row>
    <row r="18" spans="1:11" x14ac:dyDescent="0.3">
      <c r="A18" s="1" t="s">
        <v>536</v>
      </c>
      <c r="B18" s="1" t="s">
        <v>5</v>
      </c>
      <c r="C18" s="1" t="s">
        <v>507</v>
      </c>
      <c r="D18" s="1">
        <v>28.629569452201899</v>
      </c>
      <c r="E18" s="1">
        <v>44.695324501190697</v>
      </c>
      <c r="F18" s="1">
        <f>Table33[[#This Row],[ARIMAPP]]*$N$5+Table33[[#This Row],[LSTMPP]]*$N$6</f>
        <v>48.394383642934017</v>
      </c>
      <c r="G18" s="1">
        <f>Table33[[#This Row],[PP]]/$N$2</f>
        <v>2.1997447110424555</v>
      </c>
      <c r="H18" s="1">
        <v>7</v>
      </c>
      <c r="I18" s="1">
        <f>Table33[[#This Row],[PPG]]*Table33[[#This Row],[Plays]]</f>
        <v>15.398212977297188</v>
      </c>
      <c r="J18" s="1">
        <v>28</v>
      </c>
      <c r="K18" s="10">
        <f>Table33[[#This Row],[APP]]/Table33[[#This Row],[Plays]]</f>
        <v>4</v>
      </c>
    </row>
    <row r="19" spans="1:11" x14ac:dyDescent="0.3">
      <c r="A19" s="2" t="s">
        <v>537</v>
      </c>
      <c r="B19" s="2" t="s">
        <v>6</v>
      </c>
      <c r="C19" s="2" t="s">
        <v>507</v>
      </c>
      <c r="D19" s="2">
        <v>58.655641516392997</v>
      </c>
      <c r="E19" s="2">
        <v>75.699556230905102</v>
      </c>
      <c r="F19" s="1">
        <f>Table33[[#This Row],[ARIMAPP]]*$N$5+Table33[[#This Row],[LSTMPP]]*$N$6</f>
        <v>86.548164294728295</v>
      </c>
      <c r="G19" s="2">
        <f>Table33[[#This Row],[PP]]/$N$2</f>
        <v>3.934007467942195</v>
      </c>
      <c r="H19" s="2">
        <v>14</v>
      </c>
      <c r="I19" s="2">
        <f>Table33[[#This Row],[PPG]]*Table33[[#This Row],[Plays]]</f>
        <v>55.076104551190731</v>
      </c>
      <c r="J19" s="2">
        <v>76</v>
      </c>
      <c r="K19" s="10">
        <f>Table33[[#This Row],[APP]]/Table33[[#This Row],[Plays]]</f>
        <v>5.4285714285714288</v>
      </c>
    </row>
    <row r="20" spans="1:11" x14ac:dyDescent="0.3">
      <c r="A20" s="1" t="s">
        <v>430</v>
      </c>
      <c r="B20" s="1" t="s">
        <v>6</v>
      </c>
      <c r="C20" s="1" t="s">
        <v>507</v>
      </c>
      <c r="D20" s="1">
        <v>54.615184051588997</v>
      </c>
      <c r="E20" s="1">
        <v>66.358947893938605</v>
      </c>
      <c r="F20" s="1">
        <f>Table33[[#This Row],[ARIMAPP]]*$N$5+Table33[[#This Row],[LSTMPP]]*$N$6</f>
        <v>77.31038117736324</v>
      </c>
      <c r="G20" s="1">
        <f>Table33[[#This Row],[PP]]/$N$2</f>
        <v>3.5141082353346929</v>
      </c>
      <c r="H20" s="1">
        <v>18</v>
      </c>
      <c r="I20" s="1">
        <f>Table33[[#This Row],[PPG]]*Table33[[#This Row],[Plays]]</f>
        <v>63.25394823602447</v>
      </c>
      <c r="J20" s="1">
        <v>63</v>
      </c>
      <c r="K20" s="10">
        <f>Table33[[#This Row],[APP]]/Table33[[#This Row],[Plays]]</f>
        <v>3.5</v>
      </c>
    </row>
    <row r="21" spans="1:11" x14ac:dyDescent="0.3">
      <c r="A21" s="2" t="s">
        <v>541</v>
      </c>
      <c r="B21" s="2" t="s">
        <v>6</v>
      </c>
      <c r="C21" s="2" t="s">
        <v>507</v>
      </c>
      <c r="D21" s="2">
        <v>30.7501952260092</v>
      </c>
      <c r="E21" s="2">
        <v>48.346076764980701</v>
      </c>
      <c r="F21" s="1">
        <f>Table33[[#This Row],[ARIMAPP]]*$N$5+Table33[[#This Row],[LSTMPP]]*$N$6</f>
        <v>52.249053048292041</v>
      </c>
      <c r="G21" s="2">
        <f>Table33[[#This Row],[PP]]/$N$2</f>
        <v>2.3749569567405473</v>
      </c>
      <c r="H21" s="2">
        <v>12</v>
      </c>
      <c r="I21" s="2">
        <f>Table33[[#This Row],[PPG]]*Table33[[#This Row],[Plays]]</f>
        <v>28.499483480886568</v>
      </c>
      <c r="J21" s="2">
        <v>28</v>
      </c>
      <c r="K21" s="10">
        <f>Table33[[#This Row],[APP]]/Table33[[#This Row],[Plays]]</f>
        <v>2.3333333333333335</v>
      </c>
    </row>
    <row r="22" spans="1:11" x14ac:dyDescent="0.3">
      <c r="A22" s="1" t="s">
        <v>543</v>
      </c>
      <c r="B22" s="1" t="s">
        <v>6</v>
      </c>
      <c r="C22" s="1" t="s">
        <v>507</v>
      </c>
      <c r="D22" s="1">
        <v>3.35593220338983</v>
      </c>
      <c r="E22" s="1">
        <v>44.133845461648001</v>
      </c>
      <c r="F22" s="1">
        <f>Table33[[#This Row],[ARIMAPP]]*$N$5+Table33[[#This Row],[LSTMPP]]*$N$6</f>
        <v>36.553723377907872</v>
      </c>
      <c r="G22" s="1">
        <f>Table33[[#This Row],[PP]]/$N$2</f>
        <v>1.6615328808139942</v>
      </c>
      <c r="H22" s="1">
        <v>4</v>
      </c>
      <c r="I22" s="1">
        <f>Table33[[#This Row],[PPG]]*Table33[[#This Row],[Plays]]</f>
        <v>6.6461315232559768</v>
      </c>
      <c r="J22" s="1">
        <v>9</v>
      </c>
      <c r="K22" s="10">
        <f>Table33[[#This Row],[APP]]/Table33[[#This Row],[Plays]]</f>
        <v>2.25</v>
      </c>
    </row>
    <row r="23" spans="1:11" x14ac:dyDescent="0.3">
      <c r="A23" s="5" t="s">
        <v>545</v>
      </c>
      <c r="B23" s="5" t="s">
        <v>6</v>
      </c>
      <c r="C23" s="5" t="s">
        <v>507</v>
      </c>
      <c r="D23" s="5">
        <v>0</v>
      </c>
      <c r="E23" s="5">
        <v>145.3632505535</v>
      </c>
      <c r="F23" s="1">
        <f>Table33[[#This Row],[ARIMAPP]]*$N$5+Table33[[#This Row],[LSTMPP]]*$N$6</f>
        <v>115.41313540144631</v>
      </c>
      <c r="G23" s="5">
        <f>Table33[[#This Row],[PP]]/$N$2</f>
        <v>5.2460516091566509</v>
      </c>
      <c r="H23" s="5">
        <v>1</v>
      </c>
      <c r="I23" s="5">
        <f>Table33[[#This Row],[PPG]]*Table33[[#This Row],[Plays]]</f>
        <v>5.2460516091566509</v>
      </c>
      <c r="J23" s="5">
        <v>1</v>
      </c>
      <c r="K23" s="12">
        <f>Table33[[#This Row],[APP]]/Table33[[#This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C073-138F-4F66-8885-99B62E3C19E5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547</v>
      </c>
      <c r="B2" s="1" t="s">
        <v>7</v>
      </c>
      <c r="C2" s="1" t="s">
        <v>548</v>
      </c>
      <c r="D2" s="1">
        <v>44.999823175262797</v>
      </c>
      <c r="E2" s="1">
        <v>75.599365336943407</v>
      </c>
      <c r="F2" s="1">
        <f>Table34[[#This Row],[ARIMAPP]]*$N$5+Table34[[#This Row],[LSTMPP]]*$N$6</f>
        <v>50.366781712817016</v>
      </c>
      <c r="G2" s="1">
        <f>Table34[[#This Row],[PP]]/$N$2</f>
        <v>2.518339085640851</v>
      </c>
      <c r="H2" s="1">
        <v>12</v>
      </c>
      <c r="I2" s="1">
        <f>Table34[[#This Row],[PPG]]*Table34[[#This Row],[Plays]]</f>
        <v>30.220069027690212</v>
      </c>
      <c r="J2" s="1">
        <v>23</v>
      </c>
      <c r="K2" s="11">
        <f>Table34[[#This Row],[APP]]/Table34[[#This Row],[Plays]]</f>
        <v>1.9166666666666667</v>
      </c>
      <c r="M2" t="s">
        <v>846</v>
      </c>
      <c r="N2">
        <v>20</v>
      </c>
    </row>
    <row r="3" spans="1:14" x14ac:dyDescent="0.3">
      <c r="A3" s="2" t="s">
        <v>549</v>
      </c>
      <c r="B3" s="2" t="s">
        <v>4</v>
      </c>
      <c r="C3" s="2" t="s">
        <v>548</v>
      </c>
      <c r="D3" s="2">
        <v>65.802674844890703</v>
      </c>
      <c r="E3" s="2">
        <v>93.795263256586395</v>
      </c>
      <c r="F3" s="1">
        <f>Table34[[#This Row],[ARIMAPP]]*$N$5+Table34[[#This Row],[LSTMPP]]*$N$6</f>
        <v>66.321350611640455</v>
      </c>
      <c r="G3" s="2">
        <f>Table34[[#This Row],[PP]]/$N$2</f>
        <v>3.3160675305820226</v>
      </c>
      <c r="H3" s="2">
        <v>20</v>
      </c>
      <c r="I3" s="2">
        <f>Table34[[#This Row],[PPG]]*Table34[[#This Row],[Plays]]</f>
        <v>66.321350611640455</v>
      </c>
      <c r="J3" s="2">
        <v>80</v>
      </c>
      <c r="K3" s="10">
        <f>Table34[[#This Row],[APP]]/Table34[[#This Row],[Plays]]</f>
        <v>4</v>
      </c>
    </row>
    <row r="4" spans="1:14" x14ac:dyDescent="0.3">
      <c r="A4" s="1" t="s">
        <v>551</v>
      </c>
      <c r="B4" s="1" t="s">
        <v>6</v>
      </c>
      <c r="C4" s="1" t="s">
        <v>548</v>
      </c>
      <c r="D4" s="1">
        <v>23.034357065901698</v>
      </c>
      <c r="E4" s="1">
        <v>39.568663144206397</v>
      </c>
      <c r="F4" s="1">
        <f>Table34[[#This Row],[ARIMAPP]]*$N$5+Table34[[#This Row],[LSTMPP]]*$N$6</f>
        <v>26.16269287319092</v>
      </c>
      <c r="G4" s="1">
        <f>Table34[[#This Row],[PP]]/$N$2</f>
        <v>1.308134643659546</v>
      </c>
      <c r="H4" s="1">
        <v>12</v>
      </c>
      <c r="I4" s="1">
        <f>Table34[[#This Row],[PPG]]*Table34[[#This Row],[Plays]]</f>
        <v>15.697615723914552</v>
      </c>
      <c r="J4" s="1">
        <v>24</v>
      </c>
      <c r="K4" s="10">
        <f>Table34[[#This Row],[APP]]/Table34[[#This Row],[Plays]]</f>
        <v>2</v>
      </c>
    </row>
    <row r="5" spans="1:14" x14ac:dyDescent="0.3">
      <c r="A5" s="2" t="s">
        <v>553</v>
      </c>
      <c r="B5" s="2" t="s">
        <v>6</v>
      </c>
      <c r="C5" s="2" t="s">
        <v>548</v>
      </c>
      <c r="D5" s="2">
        <v>36.413658357404202</v>
      </c>
      <c r="E5" s="2">
        <v>50.904403599261997</v>
      </c>
      <c r="F5" s="1">
        <f>Table34[[#This Row],[ARIMAPP]]*$N$5+Table34[[#This Row],[LSTMPP]]*$N$6</f>
        <v>36.263311569125818</v>
      </c>
      <c r="G5" s="2">
        <f>Table34[[#This Row],[PP]]/$N$2</f>
        <v>1.813165578456291</v>
      </c>
      <c r="H5" s="2">
        <v>9</v>
      </c>
      <c r="I5" s="2">
        <f>Table34[[#This Row],[PPG]]*Table34[[#This Row],[Plays]]</f>
        <v>16.31849020610662</v>
      </c>
      <c r="J5" s="2">
        <v>35</v>
      </c>
      <c r="K5" s="10">
        <f>Table34[[#This Row],[APP]]/Table34[[#This Row],[Plays]]</f>
        <v>3.8888888888888888</v>
      </c>
      <c r="M5" t="s">
        <v>9</v>
      </c>
      <c r="N5">
        <v>0.38426570846374669</v>
      </c>
    </row>
    <row r="6" spans="1:14" x14ac:dyDescent="0.3">
      <c r="A6" s="1" t="s">
        <v>554</v>
      </c>
      <c r="B6" s="1" t="s">
        <v>5</v>
      </c>
      <c r="C6" s="1" t="s">
        <v>548</v>
      </c>
      <c r="D6" s="1">
        <v>77.573033707865093</v>
      </c>
      <c r="E6" s="1">
        <v>67.240812888959894</v>
      </c>
      <c r="F6" s="1">
        <f>Table34[[#This Row],[ARIMAPP]]*$N$5+Table34[[#This Row],[LSTMPP]]*$N$6</f>
        <v>59.226663994059145</v>
      </c>
      <c r="G6" s="1">
        <f>Table34[[#This Row],[PP]]/$N$2</f>
        <v>2.9613331997029571</v>
      </c>
      <c r="H6" s="1">
        <v>16</v>
      </c>
      <c r="I6" s="1">
        <f>Table34[[#This Row],[PPG]]*Table34[[#This Row],[Plays]]</f>
        <v>47.381331195247313</v>
      </c>
      <c r="J6" s="1">
        <v>40</v>
      </c>
      <c r="K6" s="10">
        <f>Table34[[#This Row],[APP]]/Table34[[#This Row],[Plays]]</f>
        <v>2.5</v>
      </c>
      <c r="M6" t="s">
        <v>10</v>
      </c>
      <c r="N6">
        <v>0.43750225457869701</v>
      </c>
    </row>
    <row r="7" spans="1:14" x14ac:dyDescent="0.3">
      <c r="A7" s="2" t="s">
        <v>557</v>
      </c>
      <c r="B7" s="2" t="s">
        <v>6</v>
      </c>
      <c r="C7" s="2" t="s">
        <v>548</v>
      </c>
      <c r="D7" s="2">
        <v>33.741630110076201</v>
      </c>
      <c r="E7" s="2">
        <v>51.667684892925003</v>
      </c>
      <c r="F7" s="1">
        <f>Table34[[#This Row],[ARIMAPP]]*$N$5+Table34[[#This Row],[LSTMPP]]*$N$6</f>
        <v>35.570480028486493</v>
      </c>
      <c r="G7" s="2">
        <f>Table34[[#This Row],[PP]]/$N$2</f>
        <v>1.7785240014243247</v>
      </c>
      <c r="H7" s="2">
        <v>16</v>
      </c>
      <c r="I7" s="2">
        <f>Table34[[#This Row],[PPG]]*Table34[[#This Row],[Plays]]</f>
        <v>28.456384022789194</v>
      </c>
      <c r="J7" s="2">
        <v>51</v>
      </c>
      <c r="K7" s="10">
        <f>Table34[[#This Row],[APP]]/Table34[[#This Row],[Plays]]</f>
        <v>3.1875</v>
      </c>
    </row>
    <row r="8" spans="1:14" x14ac:dyDescent="0.3">
      <c r="A8" s="1" t="s">
        <v>558</v>
      </c>
      <c r="B8" s="1" t="s">
        <v>5</v>
      </c>
      <c r="C8" s="1" t="s">
        <v>548</v>
      </c>
      <c r="D8" s="1">
        <v>45.658285314051597</v>
      </c>
      <c r="E8" s="1">
        <v>57.169946674249701</v>
      </c>
      <c r="F8" s="1">
        <f>Table34[[#This Row],[ARIMAPP]]*$N$5+Table34[[#This Row],[LSTMPP]]*$N$6</f>
        <v>42.55689391757204</v>
      </c>
      <c r="G8" s="1">
        <f>Table34[[#This Row],[PP]]/$N$2</f>
        <v>2.1278446958786019</v>
      </c>
      <c r="H8" s="1">
        <v>14</v>
      </c>
      <c r="I8" s="1">
        <f>Table34[[#This Row],[PPG]]*Table34[[#This Row],[Plays]]</f>
        <v>29.789825742300426</v>
      </c>
      <c r="J8" s="1">
        <v>29</v>
      </c>
      <c r="K8" s="10">
        <f>Table34[[#This Row],[APP]]/Table34[[#This Row],[Plays]]</f>
        <v>2.0714285714285716</v>
      </c>
      <c r="M8" t="s">
        <v>849</v>
      </c>
      <c r="N8" cm="1">
        <f t="array" ref="N8">(SUM(Table34[Tot]-Table34[APP]))^2</f>
        <v>4.8812001105714513E-26</v>
      </c>
    </row>
    <row r="9" spans="1:14" x14ac:dyDescent="0.3">
      <c r="A9" s="2" t="s">
        <v>560</v>
      </c>
      <c r="B9" s="2" t="s">
        <v>6</v>
      </c>
      <c r="C9" s="2" t="s">
        <v>548</v>
      </c>
      <c r="D9" s="2">
        <v>2.3536508284928201</v>
      </c>
      <c r="E9" s="2">
        <v>48.0629938155367</v>
      </c>
      <c r="F9" s="1">
        <f>Table34[[#This Row],[ARIMAPP]]*$N$5+Table34[[#This Row],[LSTMPP]]*$N$6</f>
        <v>21.932095459186357</v>
      </c>
      <c r="G9" s="2">
        <f>Table34[[#This Row],[PP]]/$N$2</f>
        <v>1.0966047729593178</v>
      </c>
      <c r="H9" s="2">
        <v>9</v>
      </c>
      <c r="I9" s="2">
        <f>Table34[[#This Row],[PPG]]*Table34[[#This Row],[Plays]]</f>
        <v>9.8694429566338595</v>
      </c>
      <c r="J9" s="2">
        <v>20</v>
      </c>
      <c r="K9" s="10">
        <f>Table34[[#This Row],[APP]]/Table34[[#This Row],[Plays]]</f>
        <v>2.2222222222222223</v>
      </c>
    </row>
    <row r="10" spans="1:14" x14ac:dyDescent="0.3">
      <c r="A10" s="1" t="s">
        <v>563</v>
      </c>
      <c r="B10" s="1" t="s">
        <v>6</v>
      </c>
      <c r="C10" s="1" t="s">
        <v>548</v>
      </c>
      <c r="D10" s="1">
        <v>19.378200712278598</v>
      </c>
      <c r="E10" s="1">
        <v>135.88103119764401</v>
      </c>
      <c r="F10" s="1">
        <f>Table34[[#This Row],[ARIMAPP]]*$N$5+Table34[[#This Row],[LSTMPP]]*$N$6</f>
        <v>66.894635528903933</v>
      </c>
      <c r="G10" s="1">
        <f>Table34[[#This Row],[PP]]/$N$2</f>
        <v>3.3447317764451965</v>
      </c>
      <c r="H10" s="1">
        <v>19</v>
      </c>
      <c r="I10" s="1">
        <f>Table34[[#This Row],[PPG]]*Table34[[#This Row],[Plays]]</f>
        <v>63.549903752458732</v>
      </c>
      <c r="J10" s="1">
        <v>86</v>
      </c>
      <c r="K10" s="10">
        <f>Table34[[#This Row],[APP]]/Table34[[#This Row],[Plays]]</f>
        <v>4.5263157894736841</v>
      </c>
    </row>
    <row r="11" spans="1:14" x14ac:dyDescent="0.3">
      <c r="A11" s="2" t="s">
        <v>564</v>
      </c>
      <c r="B11" s="2" t="s">
        <v>7</v>
      </c>
      <c r="C11" s="2" t="s">
        <v>548</v>
      </c>
      <c r="D11" s="2">
        <v>2.8567422955019701</v>
      </c>
      <c r="E11" s="2">
        <v>60.187296236373001</v>
      </c>
      <c r="F11" s="1">
        <f>Table34[[#This Row],[ARIMAPP]]*$N$5+Table34[[#This Row],[LSTMPP]]*$N$6</f>
        <v>27.429825902488528</v>
      </c>
      <c r="G11" s="2">
        <f>Table34[[#This Row],[PP]]/$N$2</f>
        <v>1.3714912951244265</v>
      </c>
      <c r="H11" s="2">
        <v>7</v>
      </c>
      <c r="I11" s="2">
        <f>Table34[[#This Row],[PPG]]*Table34[[#This Row],[Plays]]</f>
        <v>9.6004390658709848</v>
      </c>
      <c r="J11" s="2">
        <v>13</v>
      </c>
      <c r="K11" s="10">
        <f>Table34[[#This Row],[APP]]/Table34[[#This Row],[Plays]]</f>
        <v>1.8571428571428572</v>
      </c>
    </row>
    <row r="12" spans="1:14" x14ac:dyDescent="0.3">
      <c r="A12" s="1" t="s">
        <v>566</v>
      </c>
      <c r="B12" s="1" t="s">
        <v>5</v>
      </c>
      <c r="C12" s="1" t="s">
        <v>548</v>
      </c>
      <c r="D12" s="1">
        <v>38.6666662196318</v>
      </c>
      <c r="E12" s="1">
        <v>60.1143408075826</v>
      </c>
      <c r="F12" s="1">
        <f>Table34[[#This Row],[ARIMAPP]]*$N$5+Table34[[#This Row],[LSTMPP]]*$N$6</f>
        <v>41.158433524647592</v>
      </c>
      <c r="G12" s="1">
        <f>Table34[[#This Row],[PP]]/$N$2</f>
        <v>2.0579216762323798</v>
      </c>
      <c r="H12" s="1">
        <v>7</v>
      </c>
      <c r="I12" s="1">
        <f>Table34[[#This Row],[PPG]]*Table34[[#This Row],[Plays]]</f>
        <v>14.405451733626659</v>
      </c>
      <c r="J12" s="1">
        <v>22</v>
      </c>
      <c r="K12" s="10">
        <f>Table34[[#This Row],[APP]]/Table34[[#This Row],[Plays]]</f>
        <v>3.1428571428571428</v>
      </c>
    </row>
    <row r="13" spans="1:14" x14ac:dyDescent="0.3">
      <c r="A13" s="2" t="s">
        <v>567</v>
      </c>
      <c r="B13" s="2" t="s">
        <v>6</v>
      </c>
      <c r="C13" s="2" t="s">
        <v>548</v>
      </c>
      <c r="D13" s="2">
        <v>80.267449731699799</v>
      </c>
      <c r="E13" s="2">
        <v>94.742539057594598</v>
      </c>
      <c r="F13" s="1">
        <f>Table34[[#This Row],[ARIMAPP]]*$N$5+Table34[[#This Row],[LSTMPP]]*$N$6</f>
        <v>72.294102879937697</v>
      </c>
      <c r="G13" s="2">
        <f>Table34[[#This Row],[PP]]/$N$2</f>
        <v>3.6147051439968849</v>
      </c>
      <c r="H13" s="2">
        <v>11</v>
      </c>
      <c r="I13" s="2">
        <f>Table34[[#This Row],[PPG]]*Table34[[#This Row],[Plays]]</f>
        <v>39.761756583965735</v>
      </c>
      <c r="J13" s="2">
        <v>31</v>
      </c>
      <c r="K13" s="10">
        <f>Table34[[#This Row],[APP]]/Table34[[#This Row],[Plays]]</f>
        <v>2.8181818181818183</v>
      </c>
    </row>
    <row r="14" spans="1:14" x14ac:dyDescent="0.3">
      <c r="A14" s="1" t="s">
        <v>569</v>
      </c>
      <c r="B14" s="1" t="s">
        <v>6</v>
      </c>
      <c r="C14" s="1" t="s">
        <v>548</v>
      </c>
      <c r="D14" s="1">
        <v>15.061159204834301</v>
      </c>
      <c r="E14" s="1">
        <v>53.289057722916198</v>
      </c>
      <c r="F14" s="1">
        <f>Table34[[#This Row],[ARIMAPP]]*$N$5+Table34[[#This Row],[LSTMPP]]*$N$6</f>
        <v>29.101569910281093</v>
      </c>
      <c r="G14" s="1">
        <f>Table34[[#This Row],[PP]]/$N$2</f>
        <v>1.4550784955140545</v>
      </c>
      <c r="H14" s="1">
        <v>8</v>
      </c>
      <c r="I14" s="1">
        <f>Table34[[#This Row],[PPG]]*Table34[[#This Row],[Plays]]</f>
        <v>11.640627964112436</v>
      </c>
      <c r="J14" s="1">
        <v>14</v>
      </c>
      <c r="K14" s="10">
        <f>Table34[[#This Row],[APP]]/Table34[[#This Row],[Plays]]</f>
        <v>1.75</v>
      </c>
    </row>
    <row r="15" spans="1:14" x14ac:dyDescent="0.3">
      <c r="A15" s="2" t="s">
        <v>571</v>
      </c>
      <c r="B15" s="2" t="s">
        <v>5</v>
      </c>
      <c r="C15" s="2" t="s">
        <v>548</v>
      </c>
      <c r="D15" s="2">
        <v>55.4831457330787</v>
      </c>
      <c r="E15" s="2">
        <v>81.571726263444305</v>
      </c>
      <c r="F15" s="1">
        <f>Table34[[#This Row],[ARIMAPP]]*$N$5+Table34[[#This Row],[LSTMPP]]*$N$6</f>
        <v>57.008084453051978</v>
      </c>
      <c r="G15" s="2">
        <f>Table34[[#This Row],[PP]]/$N$2</f>
        <v>2.8504042226525987</v>
      </c>
      <c r="H15" s="2">
        <v>14</v>
      </c>
      <c r="I15" s="2">
        <f>Table34[[#This Row],[PPG]]*Table34[[#This Row],[Plays]]</f>
        <v>39.905659117136381</v>
      </c>
      <c r="J15" s="2">
        <v>35</v>
      </c>
      <c r="K15" s="10">
        <f>Table34[[#This Row],[APP]]/Table34[[#This Row],[Plays]]</f>
        <v>2.5</v>
      </c>
    </row>
    <row r="16" spans="1:14" x14ac:dyDescent="0.3">
      <c r="A16" s="1" t="s">
        <v>572</v>
      </c>
      <c r="B16" s="1" t="s">
        <v>6</v>
      </c>
      <c r="C16" s="1" t="s">
        <v>548</v>
      </c>
      <c r="D16" s="1">
        <v>92.044943820224702</v>
      </c>
      <c r="E16" s="1">
        <v>54.625724993131399</v>
      </c>
      <c r="F16" s="1">
        <f>Table34[[#This Row],[ARIMAPP]]*$N$5+Table34[[#This Row],[LSTMPP]]*$N$6</f>
        <v>59.268593390075267</v>
      </c>
      <c r="G16" s="1">
        <f>Table34[[#This Row],[PP]]/$N$2</f>
        <v>2.9634296695037632</v>
      </c>
      <c r="H16" s="1">
        <v>17</v>
      </c>
      <c r="I16" s="1">
        <f>Table34[[#This Row],[PPG]]*Table34[[#This Row],[Plays]]</f>
        <v>50.378304381563972</v>
      </c>
      <c r="J16" s="1">
        <v>40</v>
      </c>
      <c r="K16" s="10">
        <f>Table34[[#This Row],[APP]]/Table34[[#This Row],[Plays]]</f>
        <v>2.3529411764705883</v>
      </c>
    </row>
    <row r="17" spans="1:11" x14ac:dyDescent="0.3">
      <c r="A17" s="2" t="s">
        <v>574</v>
      </c>
      <c r="B17" s="2" t="s">
        <v>5</v>
      </c>
      <c r="C17" s="2" t="s">
        <v>548</v>
      </c>
      <c r="D17" s="2">
        <v>9.5001144473397794</v>
      </c>
      <c r="E17" s="2">
        <v>31.492179461130899</v>
      </c>
      <c r="F17" s="1">
        <f>Table34[[#This Row],[ARIMAPP]]*$N$5+Table34[[#This Row],[LSTMPP]]*$N$6</f>
        <v>17.4284677244354</v>
      </c>
      <c r="G17" s="2">
        <f>Table34[[#This Row],[PP]]/$N$2</f>
        <v>0.87142338622176996</v>
      </c>
      <c r="H17" s="2">
        <v>4</v>
      </c>
      <c r="I17" s="2">
        <f>Table34[[#This Row],[PPG]]*Table34[[#This Row],[Plays]]</f>
        <v>3.4856935448870798</v>
      </c>
      <c r="J17" s="2">
        <v>2</v>
      </c>
      <c r="K17" s="10">
        <f>Table34[[#This Row],[APP]]/Table34[[#This Row],[Plays]]</f>
        <v>0.5</v>
      </c>
    </row>
    <row r="18" spans="1:11" x14ac:dyDescent="0.3">
      <c r="A18" s="1" t="s">
        <v>575</v>
      </c>
      <c r="B18" s="1" t="s">
        <v>5</v>
      </c>
      <c r="C18" s="1" t="s">
        <v>548</v>
      </c>
      <c r="D18" s="1">
        <v>63.563176174461603</v>
      </c>
      <c r="E18" s="1">
        <v>88.467025760233497</v>
      </c>
      <c r="F18" s="1">
        <f>Table34[[#This Row],[ARIMAPP]]*$N$5+Table34[[#This Row],[LSTMPP]]*$N$6</f>
        <v>63.12967215085925</v>
      </c>
      <c r="G18" s="1">
        <f>Table34[[#This Row],[PP]]/$N$2</f>
        <v>3.1564836075429623</v>
      </c>
      <c r="H18" s="1">
        <v>15</v>
      </c>
      <c r="I18" s="1">
        <f>Table34[[#This Row],[PPG]]*Table34[[#This Row],[Plays]]</f>
        <v>47.347254113144437</v>
      </c>
      <c r="J18" s="1">
        <v>32</v>
      </c>
      <c r="K18" s="10">
        <f>Table34[[#This Row],[APP]]/Table34[[#This Row],[Plays]]</f>
        <v>2.1333333333333333</v>
      </c>
    </row>
    <row r="19" spans="1:11" x14ac:dyDescent="0.3">
      <c r="A19" s="2" t="s">
        <v>454</v>
      </c>
      <c r="B19" s="2" t="s">
        <v>6</v>
      </c>
      <c r="C19" s="2" t="s">
        <v>548</v>
      </c>
      <c r="D19" s="2">
        <v>53.1859178202198</v>
      </c>
      <c r="E19" s="2">
        <v>89.040668876072203</v>
      </c>
      <c r="F19" s="1">
        <f>Table34[[#This Row],[ARIMAPP]]*$N$5+Table34[[#This Row],[LSTMPP]]*$N$6</f>
        <v>59.393017773958178</v>
      </c>
      <c r="G19" s="2">
        <f>Table34[[#This Row],[PP]]/$N$2</f>
        <v>2.9696508886979087</v>
      </c>
      <c r="H19" s="2">
        <v>16</v>
      </c>
      <c r="I19" s="2">
        <f>Table34[[#This Row],[PPG]]*Table34[[#This Row],[Plays]]</f>
        <v>47.51441421916654</v>
      </c>
      <c r="J19" s="2">
        <v>57</v>
      </c>
      <c r="K19" s="10">
        <f>Table34[[#This Row],[APP]]/Table34[[#This Row],[Plays]]</f>
        <v>3.5625</v>
      </c>
    </row>
    <row r="20" spans="1:11" x14ac:dyDescent="0.3">
      <c r="A20" s="1" t="s">
        <v>577</v>
      </c>
      <c r="B20" s="1" t="s">
        <v>6</v>
      </c>
      <c r="C20" s="1" t="s">
        <v>548</v>
      </c>
      <c r="D20" s="1">
        <v>43.992252590820101</v>
      </c>
      <c r="E20" s="1">
        <v>152.152991796534</v>
      </c>
      <c r="F20" s="1">
        <f>Table34[[#This Row],[ARIMAPP]]*$N$5+Table34[[#This Row],[LSTMPP]]*$N$6</f>
        <v>83.471991060605205</v>
      </c>
      <c r="G20" s="1">
        <f>Table34[[#This Row],[PP]]/$N$2</f>
        <v>4.1735995530302601</v>
      </c>
      <c r="H20" s="1">
        <v>17</v>
      </c>
      <c r="I20" s="1">
        <f>Table34[[#This Row],[PPG]]*Table34[[#This Row],[Plays]]</f>
        <v>70.951192401514419</v>
      </c>
      <c r="J20" s="1">
        <v>42</v>
      </c>
      <c r="K20" s="10">
        <f>Table34[[#This Row],[APP]]/Table34[[#This Row],[Plays]]</f>
        <v>2.4705882352941178</v>
      </c>
    </row>
    <row r="21" spans="1:11" x14ac:dyDescent="0.3">
      <c r="A21" s="2" t="s">
        <v>580</v>
      </c>
      <c r="B21" s="2" t="s">
        <v>5</v>
      </c>
      <c r="C21" s="2" t="s">
        <v>548</v>
      </c>
      <c r="D21" s="2">
        <v>-0.22801608224655001</v>
      </c>
      <c r="E21" s="2">
        <v>28.322945715852601</v>
      </c>
      <c r="F21" s="1">
        <f>Table34[[#This Row],[ARIMAPP]]*$N$5+Table34[[#This Row],[LSTMPP]]*$N$6</f>
        <v>12.303733845609962</v>
      </c>
      <c r="G21" s="2">
        <f>Table34[[#This Row],[PP]]/$N$2</f>
        <v>0.61518669228049805</v>
      </c>
      <c r="H21" s="2">
        <v>10</v>
      </c>
      <c r="I21" s="2">
        <f>Table34[[#This Row],[PPG]]*Table34[[#This Row],[Plays]]</f>
        <v>6.1518669228049809</v>
      </c>
      <c r="J21" s="2">
        <v>20</v>
      </c>
      <c r="K21" s="10">
        <f>Table34[[#This Row],[APP]]/Table34[[#This Row],[Plays]]</f>
        <v>2</v>
      </c>
    </row>
    <row r="22" spans="1:11" x14ac:dyDescent="0.3">
      <c r="A22" s="1" t="s">
        <v>581</v>
      </c>
      <c r="B22" s="1" t="s">
        <v>6</v>
      </c>
      <c r="C22" s="1" t="s">
        <v>548</v>
      </c>
      <c r="D22" s="1">
        <v>1.6974155659346</v>
      </c>
      <c r="E22" s="1">
        <v>123.295121307664</v>
      </c>
      <c r="F22" s="1">
        <f>Table34[[#This Row],[ARIMAPP]]*$N$5+Table34[[#This Row],[LSTMPP]]*$N$6</f>
        <v>54.5941521456582</v>
      </c>
      <c r="G22" s="1">
        <f>Table34[[#This Row],[PP]]/$N$2</f>
        <v>2.7297076072829101</v>
      </c>
      <c r="H22" s="1">
        <v>3</v>
      </c>
      <c r="I22" s="1">
        <f>Table34[[#This Row],[PPG]]*Table34[[#This Row],[Plays]]</f>
        <v>8.1891228218487306</v>
      </c>
      <c r="J22" s="1">
        <v>4</v>
      </c>
      <c r="K22" s="10">
        <f>Table34[[#This Row],[APP]]/Table34[[#This Row],[Plays]]</f>
        <v>1.3333333333333333</v>
      </c>
    </row>
    <row r="23" spans="1:11" x14ac:dyDescent="0.3">
      <c r="A23" s="2" t="s">
        <v>583</v>
      </c>
      <c r="B23" s="2" t="s">
        <v>5</v>
      </c>
      <c r="C23" s="2" t="s">
        <v>548</v>
      </c>
      <c r="D23" s="2">
        <v>88.930295041494901</v>
      </c>
      <c r="E23" s="2">
        <v>115.417371844645</v>
      </c>
      <c r="F23" s="1">
        <f>Table34[[#This Row],[ARIMAPP]]*$N$5+Table34[[#This Row],[LSTMPP]]*$N$6</f>
        <v>84.668223227590076</v>
      </c>
      <c r="G23" s="2">
        <f>Table34[[#This Row],[PP]]/$N$2</f>
        <v>4.2334111613795038</v>
      </c>
      <c r="H23" s="2">
        <v>10</v>
      </c>
      <c r="I23" s="2">
        <f>Table34[[#This Row],[PPG]]*Table34[[#This Row],[Plays]]</f>
        <v>42.334111613795038</v>
      </c>
      <c r="J23" s="2">
        <v>34</v>
      </c>
      <c r="K23" s="10">
        <f>Table34[[#This Row],[APP]]/Table34[[#This Row],[Plays]]</f>
        <v>3.4</v>
      </c>
    </row>
    <row r="24" spans="1:11" x14ac:dyDescent="0.3">
      <c r="A24" s="1" t="s">
        <v>586</v>
      </c>
      <c r="B24" s="1" t="s">
        <v>7</v>
      </c>
      <c r="C24" s="1" t="s">
        <v>548</v>
      </c>
      <c r="D24" s="1">
        <v>103.697019310915</v>
      </c>
      <c r="E24" s="1">
        <v>192.99419006199901</v>
      </c>
      <c r="F24" s="1">
        <f>Table34[[#This Row],[ARIMAPP]]*$N$5+Table34[[#This Row],[LSTMPP]]*$N$6</f>
        <v>124.28260186380169</v>
      </c>
      <c r="G24" s="1">
        <f>Table34[[#This Row],[PP]]/$N$2</f>
        <v>6.214130093190084</v>
      </c>
      <c r="H24" s="1">
        <v>19</v>
      </c>
      <c r="I24" s="1">
        <f>Table34[[#This Row],[PPG]]*Table34[[#This Row],[Plays]]</f>
        <v>118.06847177061159</v>
      </c>
      <c r="J24" s="1">
        <v>82</v>
      </c>
      <c r="K24" s="10">
        <f>Table34[[#This Row],[APP]]/Table34[[#This Row],[Plays]]</f>
        <v>4.3157894736842106</v>
      </c>
    </row>
    <row r="25" spans="1:11" x14ac:dyDescent="0.3">
      <c r="A25" s="5" t="s">
        <v>499</v>
      </c>
      <c r="B25" s="5" t="s">
        <v>5</v>
      </c>
      <c r="C25" s="5" t="s">
        <v>548</v>
      </c>
      <c r="D25" s="5">
        <v>4.3650755072594999E-2</v>
      </c>
      <c r="E25" s="5">
        <v>30.188728210768002</v>
      </c>
      <c r="F25" s="1">
        <f>Table34[[#This Row],[ARIMAPP]]*$N$5+Table34[[#This Row],[LSTMPP]]*$N$6</f>
        <v>13.224410143397463</v>
      </c>
      <c r="G25" s="5">
        <f>Table34[[#This Row],[PP]]/$N$2</f>
        <v>0.66122050716987313</v>
      </c>
      <c r="H25" s="5">
        <v>1</v>
      </c>
      <c r="I25" s="5">
        <f>Table34[[#This Row],[PPG]]*Table34[[#This Row],[Plays]]</f>
        <v>0.66122050716987313</v>
      </c>
      <c r="J25" s="5">
        <v>2</v>
      </c>
      <c r="K25" s="12">
        <f>Table34[[#This Row],[APP]]/Table34[[#This Row],[Plays]]</f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E372-51C5-4730-9084-4BF15CD4E1A6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588</v>
      </c>
      <c r="B2" s="1" t="s">
        <v>6</v>
      </c>
      <c r="C2" s="1" t="s">
        <v>589</v>
      </c>
      <c r="D2" s="1">
        <v>31.531560683816799</v>
      </c>
      <c r="E2" s="1">
        <v>45.214741327380501</v>
      </c>
      <c r="F2" s="1">
        <f>Table35[[#This Row],[ARIMAPP]]*$N$5+Table35[[#This Row],[LSTMPP]]*$N$6</f>
        <v>33.362766806509299</v>
      </c>
      <c r="G2" s="1">
        <f>Table35[[#This Row],[PP]]/$N$2</f>
        <v>1.668138340325465</v>
      </c>
      <c r="H2" s="1">
        <v>16</v>
      </c>
      <c r="I2" s="1">
        <f>Table35[[#This Row],[PPG]]*Table35[[#This Row],[Plays]]</f>
        <v>26.690213445207441</v>
      </c>
      <c r="J2" s="1">
        <v>29</v>
      </c>
      <c r="K2" s="11">
        <f>Table35[[#This Row],[APP]]/Table35[[#This Row],[Plays]]</f>
        <v>1.8125</v>
      </c>
      <c r="M2" t="s">
        <v>846</v>
      </c>
      <c r="N2">
        <v>20</v>
      </c>
    </row>
    <row r="3" spans="1:14" x14ac:dyDescent="0.3">
      <c r="A3" s="2" t="s">
        <v>591</v>
      </c>
      <c r="B3" s="2" t="s">
        <v>7</v>
      </c>
      <c r="C3" s="2" t="s">
        <v>589</v>
      </c>
      <c r="D3" s="2">
        <v>69.852814211492301</v>
      </c>
      <c r="E3" s="2">
        <v>96.162838277355803</v>
      </c>
      <c r="F3" s="1">
        <f>Table35[[#This Row],[ARIMAPP]]*$N$5+Table35[[#This Row],[LSTMPP]]*$N$6</f>
        <v>71.906451910046684</v>
      </c>
      <c r="G3" s="2">
        <f>Table35[[#This Row],[PP]]/$N$2</f>
        <v>3.595322595502334</v>
      </c>
      <c r="H3" s="2">
        <v>20</v>
      </c>
      <c r="I3" s="2">
        <f>Table35[[#This Row],[PPG]]*Table35[[#This Row],[Plays]]</f>
        <v>71.906451910046684</v>
      </c>
      <c r="J3" s="2">
        <v>48</v>
      </c>
      <c r="K3" s="10">
        <f>Table35[[#This Row],[APP]]/Table35[[#This Row],[Plays]]</f>
        <v>2.4</v>
      </c>
    </row>
    <row r="4" spans="1:14" x14ac:dyDescent="0.3">
      <c r="A4" s="1" t="s">
        <v>593</v>
      </c>
      <c r="B4" s="1" t="s">
        <v>6</v>
      </c>
      <c r="C4" s="1" t="s">
        <v>589</v>
      </c>
      <c r="D4" s="1">
        <v>40.528196754179298</v>
      </c>
      <c r="E4" s="1">
        <v>69.563427188015297</v>
      </c>
      <c r="F4" s="1">
        <f>Table35[[#This Row],[ARIMAPP]]*$N$5+Table35[[#This Row],[LSTMPP]]*$N$6</f>
        <v>48.610774946976839</v>
      </c>
      <c r="G4" s="1">
        <f>Table35[[#This Row],[PP]]/$N$2</f>
        <v>2.4305387473488418</v>
      </c>
      <c r="H4" s="1">
        <v>12</v>
      </c>
      <c r="I4" s="1">
        <f>Table35[[#This Row],[PPG]]*Table35[[#This Row],[Plays]]</f>
        <v>29.166464968186101</v>
      </c>
      <c r="J4" s="1">
        <v>25</v>
      </c>
      <c r="K4" s="10">
        <f>Table35[[#This Row],[APP]]/Table35[[#This Row],[Plays]]</f>
        <v>2.0833333333333335</v>
      </c>
    </row>
    <row r="5" spans="1:14" x14ac:dyDescent="0.3">
      <c r="A5" s="2" t="s">
        <v>594</v>
      </c>
      <c r="B5" s="2" t="s">
        <v>5</v>
      </c>
      <c r="C5" s="2" t="s">
        <v>589</v>
      </c>
      <c r="D5" s="2">
        <v>26.948703615280301</v>
      </c>
      <c r="E5" s="2">
        <v>40.864569059201202</v>
      </c>
      <c r="F5" s="1">
        <f>Table35[[#This Row],[ARIMAPP]]*$N$5+Table35[[#This Row],[LSTMPP]]*$N$6</f>
        <v>29.625425259288079</v>
      </c>
      <c r="G5" s="2">
        <f>Table35[[#This Row],[PP]]/$N$2</f>
        <v>1.481271262964404</v>
      </c>
      <c r="H5" s="2">
        <v>16</v>
      </c>
      <c r="I5" s="2">
        <f>Table35[[#This Row],[PPG]]*Table35[[#This Row],[Plays]]</f>
        <v>23.700340207430465</v>
      </c>
      <c r="J5" s="2">
        <v>18</v>
      </c>
      <c r="K5" s="10">
        <f>Table35[[#This Row],[APP]]/Table35[[#This Row],[Plays]]</f>
        <v>1.125</v>
      </c>
      <c r="M5" t="s">
        <v>9</v>
      </c>
      <c r="N5">
        <v>0.34048335381434064</v>
      </c>
    </row>
    <row r="6" spans="1:14" x14ac:dyDescent="0.3">
      <c r="A6" s="1" t="s">
        <v>596</v>
      </c>
      <c r="B6" s="1" t="s">
        <v>5</v>
      </c>
      <c r="C6" s="1" t="s">
        <v>589</v>
      </c>
      <c r="D6" s="1">
        <v>23.269516930798599</v>
      </c>
      <c r="E6" s="1">
        <v>36.201199985815997</v>
      </c>
      <c r="F6" s="1">
        <f>Table35[[#This Row],[ARIMAPP]]*$N$5+Table35[[#This Row],[LSTMPP]]*$N$6</f>
        <v>26.039035480746954</v>
      </c>
      <c r="G6" s="1">
        <f>Table35[[#This Row],[PP]]/$N$2</f>
        <v>1.3019517740373476</v>
      </c>
      <c r="H6" s="1">
        <v>12</v>
      </c>
      <c r="I6" s="1">
        <f>Table35[[#This Row],[PPG]]*Table35[[#This Row],[Plays]]</f>
        <v>15.623421288448171</v>
      </c>
      <c r="J6" s="1">
        <v>13</v>
      </c>
      <c r="K6" s="10">
        <f>Table35[[#This Row],[APP]]/Table35[[#This Row],[Plays]]</f>
        <v>1.0833333333333333</v>
      </c>
      <c r="M6" t="s">
        <v>10</v>
      </c>
      <c r="N6">
        <v>0.5004296079026983</v>
      </c>
    </row>
    <row r="7" spans="1:14" x14ac:dyDescent="0.3">
      <c r="A7" s="2" t="s">
        <v>597</v>
      </c>
      <c r="B7" s="2" t="s">
        <v>4</v>
      </c>
      <c r="C7" s="2" t="s">
        <v>589</v>
      </c>
      <c r="D7" s="2">
        <v>1.33102214319449</v>
      </c>
      <c r="E7" s="2">
        <v>38.575835033605202</v>
      </c>
      <c r="F7" s="1">
        <f>Table35[[#This Row],[ARIMAPP]]*$N$5+Table35[[#This Row],[LSTMPP]]*$N$6</f>
        <v>19.757680883702236</v>
      </c>
      <c r="G7" s="2">
        <f>Table35[[#This Row],[PP]]/$N$2</f>
        <v>0.98788404418511178</v>
      </c>
      <c r="H7" s="2">
        <v>8</v>
      </c>
      <c r="I7" s="2">
        <f>Table35[[#This Row],[PPG]]*Table35[[#This Row],[Plays]]</f>
        <v>7.9030723534808942</v>
      </c>
      <c r="J7" s="2">
        <v>20</v>
      </c>
      <c r="K7" s="10">
        <f>Table35[[#This Row],[APP]]/Table35[[#This Row],[Plays]]</f>
        <v>2.5</v>
      </c>
    </row>
    <row r="8" spans="1:14" x14ac:dyDescent="0.3">
      <c r="A8" s="1" t="s">
        <v>598</v>
      </c>
      <c r="B8" s="1" t="s">
        <v>4</v>
      </c>
      <c r="C8" s="1" t="s">
        <v>589</v>
      </c>
      <c r="D8" s="1">
        <v>32.949905231239399</v>
      </c>
      <c r="E8" s="1">
        <v>69.371994424683805</v>
      </c>
      <c r="F8" s="1">
        <f>Table35[[#This Row],[ARIMAPP]]*$N$5+Table35[[#This Row],[LSTMPP]]*$N$6</f>
        <v>45.93469421036977</v>
      </c>
      <c r="G8" s="1">
        <f>Table35[[#This Row],[PP]]/$N$2</f>
        <v>2.2967347105184883</v>
      </c>
      <c r="H8" s="1">
        <v>8</v>
      </c>
      <c r="I8" s="1">
        <f>Table35[[#This Row],[PPG]]*Table35[[#This Row],[Plays]]</f>
        <v>18.373877684147907</v>
      </c>
      <c r="J8" s="1">
        <v>20</v>
      </c>
      <c r="K8" s="10">
        <f>Table35[[#This Row],[APP]]/Table35[[#This Row],[Plays]]</f>
        <v>2.5</v>
      </c>
      <c r="M8" t="s">
        <v>849</v>
      </c>
      <c r="N8" cm="1">
        <f t="array" ref="N8">(SUM(Table35[Tot]-Table35[APP]))^2</f>
        <v>3.1554436208840472E-30</v>
      </c>
    </row>
    <row r="9" spans="1:14" x14ac:dyDescent="0.3">
      <c r="A9" s="2" t="s">
        <v>599</v>
      </c>
      <c r="B9" s="2" t="s">
        <v>7</v>
      </c>
      <c r="C9" s="2" t="s">
        <v>589</v>
      </c>
      <c r="D9" s="2">
        <v>63.926579327019297</v>
      </c>
      <c r="E9" s="2">
        <v>87.439335858341593</v>
      </c>
      <c r="F9" s="1">
        <f>Table35[[#This Row],[ARIMAPP]]*$N$5+Table35[[#This Row],[LSTMPP]]*$N$6</f>
        <v>65.523168686004254</v>
      </c>
      <c r="G9" s="2">
        <f>Table35[[#This Row],[PP]]/$N$2</f>
        <v>3.2761584343002128</v>
      </c>
      <c r="H9" s="2">
        <v>15</v>
      </c>
      <c r="I9" s="2">
        <f>Table35[[#This Row],[PPG]]*Table35[[#This Row],[Plays]]</f>
        <v>49.142376514503191</v>
      </c>
      <c r="J9" s="2">
        <v>59</v>
      </c>
      <c r="K9" s="10">
        <f>Table35[[#This Row],[APP]]/Table35[[#This Row],[Plays]]</f>
        <v>3.9333333333333331</v>
      </c>
    </row>
    <row r="10" spans="1:14" x14ac:dyDescent="0.3">
      <c r="A10" s="1" t="s">
        <v>601</v>
      </c>
      <c r="B10" s="1" t="s">
        <v>6</v>
      </c>
      <c r="C10" s="1" t="s">
        <v>589</v>
      </c>
      <c r="D10" s="1">
        <v>26.6973468343623</v>
      </c>
      <c r="E10" s="1">
        <v>39.3507819611401</v>
      </c>
      <c r="F10" s="1">
        <f>Table35[[#This Row],[ARIMAPP]]*$N$5+Table35[[#This Row],[LSTMPP]]*$N$6</f>
        <v>28.78229857558626</v>
      </c>
      <c r="G10" s="1">
        <f>Table35[[#This Row],[PP]]/$N$2</f>
        <v>1.439114928779313</v>
      </c>
      <c r="H10" s="1">
        <v>3</v>
      </c>
      <c r="I10" s="1">
        <f>Table35[[#This Row],[PPG]]*Table35[[#This Row],[Plays]]</f>
        <v>4.3173447863379391</v>
      </c>
      <c r="J10" s="1">
        <v>8</v>
      </c>
      <c r="K10" s="10">
        <f>Table35[[#This Row],[APP]]/Table35[[#This Row],[Plays]]</f>
        <v>2.6666666666666665</v>
      </c>
    </row>
    <row r="11" spans="1:14" x14ac:dyDescent="0.3">
      <c r="A11" s="2" t="s">
        <v>602</v>
      </c>
      <c r="B11" s="2" t="s">
        <v>6</v>
      </c>
      <c r="C11" s="2" t="s">
        <v>589</v>
      </c>
      <c r="D11" s="2">
        <v>29.800388213825698</v>
      </c>
      <c r="E11" s="2">
        <v>40.875466684820601</v>
      </c>
      <c r="F11" s="1">
        <f>Table35[[#This Row],[ARIMAPP]]*$N$5+Table35[[#This Row],[LSTMPP]]*$N$6</f>
        <v>30.601829889937299</v>
      </c>
      <c r="G11" s="2">
        <f>Table35[[#This Row],[PP]]/$N$2</f>
        <v>1.5300914944968649</v>
      </c>
      <c r="H11" s="2">
        <v>15</v>
      </c>
      <c r="I11" s="2">
        <f>Table35[[#This Row],[PPG]]*Table35[[#This Row],[Plays]]</f>
        <v>22.951372417452973</v>
      </c>
      <c r="J11" s="2">
        <v>27</v>
      </c>
      <c r="K11" s="10">
        <f>Table35[[#This Row],[APP]]/Table35[[#This Row],[Plays]]</f>
        <v>1.8</v>
      </c>
    </row>
    <row r="12" spans="1:14" x14ac:dyDescent="0.3">
      <c r="A12" s="1" t="s">
        <v>604</v>
      </c>
      <c r="B12" s="1" t="s">
        <v>5</v>
      </c>
      <c r="C12" s="1" t="s">
        <v>589</v>
      </c>
      <c r="D12" s="1">
        <v>32.169392878508702</v>
      </c>
      <c r="E12" s="1">
        <v>40.624888802886701</v>
      </c>
      <c r="F12" s="1">
        <f>Table35[[#This Row],[ARIMAPP]]*$N$5+Table35[[#This Row],[LSTMPP]]*$N$6</f>
        <v>31.283039952165119</v>
      </c>
      <c r="G12" s="1">
        <f>Table35[[#This Row],[PP]]/$N$2</f>
        <v>1.5641519976082559</v>
      </c>
      <c r="H12" s="1">
        <v>16</v>
      </c>
      <c r="I12" s="1">
        <f>Table35[[#This Row],[PPG]]*Table35[[#This Row],[Plays]]</f>
        <v>25.026431961732094</v>
      </c>
      <c r="J12" s="1">
        <v>23</v>
      </c>
      <c r="K12" s="10">
        <f>Table35[[#This Row],[APP]]/Table35[[#This Row],[Plays]]</f>
        <v>1.4375</v>
      </c>
    </row>
    <row r="13" spans="1:14" x14ac:dyDescent="0.3">
      <c r="A13" s="2" t="s">
        <v>605</v>
      </c>
      <c r="B13" s="2" t="s">
        <v>7</v>
      </c>
      <c r="C13" s="2" t="s">
        <v>589</v>
      </c>
      <c r="D13" s="2">
        <v>19.746887150991601</v>
      </c>
      <c r="E13" s="2">
        <v>37.287421500154998</v>
      </c>
      <c r="F13" s="1">
        <f>Table35[[#This Row],[ARIMAPP]]*$N$5+Table35[[#This Row],[LSTMPP]]*$N$6</f>
        <v>25.383216085588138</v>
      </c>
      <c r="G13" s="2">
        <f>Table35[[#This Row],[PP]]/$N$2</f>
        <v>1.2691608042794069</v>
      </c>
      <c r="H13" s="2">
        <v>4</v>
      </c>
      <c r="I13" s="2">
        <f>Table35[[#This Row],[PPG]]*Table35[[#This Row],[Plays]]</f>
        <v>5.0766432171176277</v>
      </c>
      <c r="J13" s="2">
        <v>4</v>
      </c>
      <c r="K13" s="10">
        <f>Table35[[#This Row],[APP]]/Table35[[#This Row],[Plays]]</f>
        <v>1</v>
      </c>
    </row>
    <row r="14" spans="1:14" x14ac:dyDescent="0.3">
      <c r="A14" s="1" t="s">
        <v>607</v>
      </c>
      <c r="B14" s="1" t="s">
        <v>5</v>
      </c>
      <c r="C14" s="1" t="s">
        <v>589</v>
      </c>
      <c r="D14" s="1">
        <v>23.1355311355311</v>
      </c>
      <c r="E14" s="1">
        <v>64.481611123434902</v>
      </c>
      <c r="F14" s="1">
        <f>Table35[[#This Row],[ARIMAPP]]*$N$5+Table35[[#This Row],[LSTMPP]]*$N$6</f>
        <v>40.145770604736526</v>
      </c>
      <c r="G14" s="1">
        <f>Table35[[#This Row],[PP]]/$N$2</f>
        <v>2.0072885302368264</v>
      </c>
      <c r="H14" s="1">
        <v>12</v>
      </c>
      <c r="I14" s="1">
        <f>Table35[[#This Row],[PPG]]*Table35[[#This Row],[Plays]]</f>
        <v>24.087462362841919</v>
      </c>
      <c r="J14" s="1">
        <v>28</v>
      </c>
      <c r="K14" s="10">
        <f>Table35[[#This Row],[APP]]/Table35[[#This Row],[Plays]]</f>
        <v>2.3333333333333335</v>
      </c>
    </row>
    <row r="15" spans="1:14" x14ac:dyDescent="0.3">
      <c r="A15" s="2" t="s">
        <v>609</v>
      </c>
      <c r="B15" s="2" t="s">
        <v>5</v>
      </c>
      <c r="C15" s="2" t="s">
        <v>589</v>
      </c>
      <c r="D15" s="2">
        <v>18.9419163189743</v>
      </c>
      <c r="E15" s="2">
        <v>35.6762302203228</v>
      </c>
      <c r="F15" s="1">
        <f>Table35[[#This Row],[ARIMAPP]]*$N$5+Table35[[#This Row],[LSTMPP]]*$N$6</f>
        <v>24.302849096557495</v>
      </c>
      <c r="G15" s="2">
        <f>Table35[[#This Row],[PP]]/$N$2</f>
        <v>1.2151424548278746</v>
      </c>
      <c r="H15" s="2">
        <v>7</v>
      </c>
      <c r="I15" s="2">
        <f>Table35[[#This Row],[PPG]]*Table35[[#This Row],[Plays]]</f>
        <v>8.505997183795122</v>
      </c>
      <c r="J15" s="2">
        <v>11</v>
      </c>
      <c r="K15" s="10">
        <f>Table35[[#This Row],[APP]]/Table35[[#This Row],[Plays]]</f>
        <v>1.5714285714285714</v>
      </c>
    </row>
    <row r="16" spans="1:14" x14ac:dyDescent="0.3">
      <c r="A16" s="1" t="s">
        <v>610</v>
      </c>
      <c r="B16" s="1" t="s">
        <v>6</v>
      </c>
      <c r="C16" s="1" t="s">
        <v>589</v>
      </c>
      <c r="D16" s="1">
        <v>20.2291294785758</v>
      </c>
      <c r="E16" s="1">
        <v>66.867647366975206</v>
      </c>
      <c r="F16" s="1">
        <f>Table35[[#This Row],[ARIMAPP]]*$N$5+Table35[[#This Row],[LSTMPP]]*$N$6</f>
        <v>40.350232402841328</v>
      </c>
      <c r="G16" s="1">
        <f>Table35[[#This Row],[PP]]/$N$2</f>
        <v>2.0175116201420664</v>
      </c>
      <c r="H16" s="1">
        <v>17</v>
      </c>
      <c r="I16" s="1">
        <f>Table35[[#This Row],[PPG]]*Table35[[#This Row],[Plays]]</f>
        <v>34.297697542415129</v>
      </c>
      <c r="J16" s="1">
        <v>33</v>
      </c>
      <c r="K16" s="10">
        <f>Table35[[#This Row],[APP]]/Table35[[#This Row],[Plays]]</f>
        <v>1.9411764705882353</v>
      </c>
    </row>
    <row r="17" spans="1:11" x14ac:dyDescent="0.3">
      <c r="A17" s="2" t="s">
        <v>611</v>
      </c>
      <c r="B17" s="2" t="s">
        <v>5</v>
      </c>
      <c r="C17" s="2" t="s">
        <v>589</v>
      </c>
      <c r="D17" s="2">
        <v>24.6341082843878</v>
      </c>
      <c r="E17" s="2">
        <v>35.109903995942901</v>
      </c>
      <c r="F17" s="1">
        <f>Table35[[#This Row],[ARIMAPP]]*$N$5+Table35[[#This Row],[LSTMPP]]*$N$6</f>
        <v>25.957539297085077</v>
      </c>
      <c r="G17" s="2">
        <f>Table35[[#This Row],[PP]]/$N$2</f>
        <v>1.2978769648542539</v>
      </c>
      <c r="H17" s="2">
        <v>10</v>
      </c>
      <c r="I17" s="2">
        <f>Table35[[#This Row],[PPG]]*Table35[[#This Row],[Plays]]</f>
        <v>12.978769648542539</v>
      </c>
      <c r="J17" s="2">
        <v>20</v>
      </c>
      <c r="K17" s="10">
        <f>Table35[[#This Row],[APP]]/Table35[[#This Row],[Plays]]</f>
        <v>2</v>
      </c>
    </row>
    <row r="18" spans="1:11" x14ac:dyDescent="0.3">
      <c r="A18" s="1" t="s">
        <v>613</v>
      </c>
      <c r="B18" s="1" t="s">
        <v>6</v>
      </c>
      <c r="C18" s="1" t="s">
        <v>589</v>
      </c>
      <c r="D18" s="1">
        <v>30.177012082066401</v>
      </c>
      <c r="E18" s="1">
        <v>42.789446602320901</v>
      </c>
      <c r="F18" s="1">
        <f>Table35[[#This Row],[ARIMAPP]]*$N$5+Table35[[#This Row],[LSTMPP]]*$N$6</f>
        <v>31.68787626737074</v>
      </c>
      <c r="G18" s="1">
        <f>Table35[[#This Row],[PP]]/$N$2</f>
        <v>1.5843938133685369</v>
      </c>
      <c r="H18" s="1">
        <v>14</v>
      </c>
      <c r="I18" s="1">
        <f>Table35[[#This Row],[PPG]]*Table35[[#This Row],[Plays]]</f>
        <v>22.181513387159516</v>
      </c>
      <c r="J18" s="1">
        <v>28</v>
      </c>
      <c r="K18" s="10">
        <f>Table35[[#This Row],[APP]]/Table35[[#This Row],[Plays]]</f>
        <v>2</v>
      </c>
    </row>
    <row r="19" spans="1:11" x14ac:dyDescent="0.3">
      <c r="A19" s="2" t="s">
        <v>614</v>
      </c>
      <c r="B19" s="2" t="s">
        <v>7</v>
      </c>
      <c r="C19" s="2" t="s">
        <v>589</v>
      </c>
      <c r="D19" s="2">
        <v>82.626373912530497</v>
      </c>
      <c r="E19" s="2">
        <v>66.575430317640496</v>
      </c>
      <c r="F19" s="1">
        <f>Table35[[#This Row],[ARIMAPP]]*$N$5+Table35[[#This Row],[LSTMPP]]*$N$6</f>
        <v>61.449221393066374</v>
      </c>
      <c r="G19" s="2">
        <f>Table35[[#This Row],[PP]]/$N$2</f>
        <v>3.0724610696533188</v>
      </c>
      <c r="H19" s="2">
        <v>20</v>
      </c>
      <c r="I19" s="2">
        <f>Table35[[#This Row],[PPG]]*Table35[[#This Row],[Plays]]</f>
        <v>61.449221393066374</v>
      </c>
      <c r="J19" s="2">
        <v>83</v>
      </c>
      <c r="K19" s="10">
        <f>Table35[[#This Row],[APP]]/Table35[[#This Row],[Plays]]</f>
        <v>4.1500000000000004</v>
      </c>
    </row>
    <row r="20" spans="1:11" x14ac:dyDescent="0.3">
      <c r="A20" s="1" t="s">
        <v>616</v>
      </c>
      <c r="B20" s="1" t="s">
        <v>6</v>
      </c>
      <c r="C20" s="1" t="s">
        <v>589</v>
      </c>
      <c r="D20" s="1">
        <v>70.670329190327607</v>
      </c>
      <c r="E20" s="1">
        <v>79.379504319457695</v>
      </c>
      <c r="F20" s="1">
        <f>Table35[[#This Row],[ARIMAPP]]*$N$5+Table35[[#This Row],[LSTMPP]]*$N$6</f>
        <v>63.785924919983003</v>
      </c>
      <c r="G20" s="1">
        <f>Table35[[#This Row],[PP]]/$N$2</f>
        <v>3.1892962459991501</v>
      </c>
      <c r="H20" s="1">
        <v>17</v>
      </c>
      <c r="I20" s="1">
        <f>Table35[[#This Row],[PPG]]*Table35[[#This Row],[Plays]]</f>
        <v>54.218036181985553</v>
      </c>
      <c r="J20" s="1">
        <v>28</v>
      </c>
      <c r="K20" s="10">
        <f>Table35[[#This Row],[APP]]/Table35[[#This Row],[Plays]]</f>
        <v>1.6470588235294117</v>
      </c>
    </row>
    <row r="21" spans="1:11" x14ac:dyDescent="0.3">
      <c r="A21" s="2" t="s">
        <v>619</v>
      </c>
      <c r="B21" s="2" t="s">
        <v>6</v>
      </c>
      <c r="C21" s="2" t="s">
        <v>589</v>
      </c>
      <c r="D21" s="2">
        <v>25.5505953359106</v>
      </c>
      <c r="E21" s="2">
        <v>40.854504089953998</v>
      </c>
      <c r="F21" s="1">
        <f>Table35[[#This Row],[ARIMAPP]]*$N$5+Table35[[#This Row],[LSTMPP]]*$N$6</f>
        <v>29.144355854718754</v>
      </c>
      <c r="G21" s="2">
        <f>Table35[[#This Row],[PP]]/$N$2</f>
        <v>1.4572177927359378</v>
      </c>
      <c r="H21" s="2">
        <v>14</v>
      </c>
      <c r="I21" s="2">
        <f>Table35[[#This Row],[PPG]]*Table35[[#This Row],[Plays]]</f>
        <v>20.40104909830313</v>
      </c>
      <c r="J21" s="2">
        <v>31</v>
      </c>
      <c r="K21" s="10">
        <f>Table35[[#This Row],[APP]]/Table35[[#This Row],[Plays]]</f>
        <v>2.2142857142857144</v>
      </c>
    </row>
    <row r="22" spans="1:11" x14ac:dyDescent="0.3">
      <c r="A22" s="1" t="s">
        <v>622</v>
      </c>
      <c r="B22" s="1" t="s">
        <v>7</v>
      </c>
      <c r="C22" s="1" t="s">
        <v>589</v>
      </c>
      <c r="D22" s="1">
        <v>58.6593406593406</v>
      </c>
      <c r="E22" s="1">
        <v>74.882591110437005</v>
      </c>
      <c r="F22" s="1">
        <f>Table35[[#This Row],[ARIMAPP]]*$N$5+Table35[[#This Row],[LSTMPP]]*$N$6</f>
        <v>57.445994748364271</v>
      </c>
      <c r="G22" s="1">
        <f>Table35[[#This Row],[PP]]/$N$2</f>
        <v>2.8722997374182135</v>
      </c>
      <c r="H22" s="1">
        <v>19</v>
      </c>
      <c r="I22" s="1">
        <f>Table35[[#This Row],[PPG]]*Table35[[#This Row],[Plays]]</f>
        <v>54.573695010946054</v>
      </c>
      <c r="J22" s="1">
        <v>39</v>
      </c>
      <c r="K22" s="10">
        <f>Table35[[#This Row],[APP]]/Table35[[#This Row],[Plays]]</f>
        <v>2.0526315789473686</v>
      </c>
    </row>
    <row r="23" spans="1:11" x14ac:dyDescent="0.3">
      <c r="A23" s="2" t="s">
        <v>180</v>
      </c>
      <c r="B23" s="2" t="s">
        <v>5</v>
      </c>
      <c r="C23" s="2" t="s">
        <v>589</v>
      </c>
      <c r="D23" s="2">
        <v>34.978021300019101</v>
      </c>
      <c r="E23" s="2">
        <v>61.318468423889499</v>
      </c>
      <c r="F23" s="1">
        <f>Table35[[#This Row],[ARIMAPP]]*$N$5+Table35[[#This Row],[LSTMPP]]*$N$6</f>
        <v>42.595011112580956</v>
      </c>
      <c r="G23" s="2">
        <f>Table35[[#This Row],[PP]]/$N$2</f>
        <v>2.1297505556290477</v>
      </c>
      <c r="H23" s="2">
        <v>5</v>
      </c>
      <c r="I23" s="2">
        <f>Table35[[#This Row],[PPG]]*Table35[[#This Row],[Plays]]</f>
        <v>10.648752778145239</v>
      </c>
      <c r="J23" s="2">
        <v>10</v>
      </c>
      <c r="K23" s="10">
        <f>Table35[[#This Row],[APP]]/Table35[[#This Row],[Plays]]</f>
        <v>2</v>
      </c>
    </row>
    <row r="24" spans="1:11" x14ac:dyDescent="0.3">
      <c r="A24" s="1" t="s">
        <v>163</v>
      </c>
      <c r="B24" s="1" t="s">
        <v>5</v>
      </c>
      <c r="C24" s="1" t="s">
        <v>589</v>
      </c>
      <c r="D24" s="1">
        <v>34.414906530583202</v>
      </c>
      <c r="E24" s="1">
        <v>44.423004280327902</v>
      </c>
      <c r="F24" s="1">
        <f>Table35[[#This Row],[ARIMAPP]]*$N$5+Table35[[#This Row],[LSTMPP]]*$N$6</f>
        <v>33.948289410604403</v>
      </c>
      <c r="G24" s="1">
        <f>Table35[[#This Row],[PP]]/$N$2</f>
        <v>1.6974144705302201</v>
      </c>
      <c r="H24" s="1">
        <v>7</v>
      </c>
      <c r="I24" s="1">
        <f>Table35[[#This Row],[PPG]]*Table35[[#This Row],[Plays]]</f>
        <v>11.881901293711541</v>
      </c>
      <c r="J24" s="1">
        <v>11</v>
      </c>
      <c r="K24" s="10">
        <f>Table35[[#This Row],[APP]]/Table35[[#This Row],[Plays]]</f>
        <v>1.5714285714285714</v>
      </c>
    </row>
    <row r="25" spans="1:11" x14ac:dyDescent="0.3">
      <c r="A25" s="5" t="s">
        <v>626</v>
      </c>
      <c r="B25" s="5" t="s">
        <v>4</v>
      </c>
      <c r="C25" s="5" t="s">
        <v>589</v>
      </c>
      <c r="D25" s="5">
        <v>-3.1676056382052698E-6</v>
      </c>
      <c r="E25" s="5">
        <v>98.893964549598607</v>
      </c>
      <c r="F25" s="1">
        <f>Table35[[#This Row],[ARIMAPP]]*$N$5+Table35[[#This Row],[LSTMPP]]*$N$6</f>
        <v>49.489466824981989</v>
      </c>
      <c r="G25" s="5">
        <f>Table35[[#This Row],[PP]]/$N$2</f>
        <v>2.4744733412490993</v>
      </c>
      <c r="H25" s="5">
        <v>4</v>
      </c>
      <c r="I25" s="5">
        <f>Table35[[#This Row],[PPG]]*Table35[[#This Row],[Plays]]</f>
        <v>9.8978933649963974</v>
      </c>
      <c r="J25" s="5">
        <v>9</v>
      </c>
      <c r="K25" s="12">
        <f>Table35[[#This Row],[APP]]/Table35[[#This Row],[Plays]]</f>
        <v>2.25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12BF-07C9-447A-A3ED-38777ED64AAD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629</v>
      </c>
      <c r="B2" s="1" t="s">
        <v>6</v>
      </c>
      <c r="C2" s="1" t="s">
        <v>630</v>
      </c>
      <c r="D2" s="1">
        <v>26.520427909165399</v>
      </c>
      <c r="E2" s="1">
        <v>33.286775881659501</v>
      </c>
      <c r="F2" s="1">
        <f>Table36[[#This Row],[ARIMAPP]]*$N$5+Table36[[#This Row],[LSTMPP]]*$N$6</f>
        <v>17.345216162329152</v>
      </c>
      <c r="G2" s="1">
        <f>Table36[[#This Row],[PP]]/$N$2</f>
        <v>0.8259626743966263</v>
      </c>
      <c r="H2" s="1">
        <v>12</v>
      </c>
      <c r="I2" s="1">
        <f>Table36[[#This Row],[PPG]]*Table36[[#This Row],[Plays]]</f>
        <v>9.911552092759516</v>
      </c>
      <c r="J2" s="1">
        <v>27</v>
      </c>
      <c r="K2" s="11">
        <f>Table36[[#This Row],[APP]]/Table36[[#This Row],[Plays]]</f>
        <v>2.25</v>
      </c>
      <c r="M2" t="s">
        <v>846</v>
      </c>
      <c r="N2">
        <v>21</v>
      </c>
    </row>
    <row r="3" spans="1:14" x14ac:dyDescent="0.3">
      <c r="A3" s="2" t="s">
        <v>502</v>
      </c>
      <c r="B3" s="2" t="s">
        <v>5</v>
      </c>
      <c r="C3" s="2" t="s">
        <v>630</v>
      </c>
      <c r="D3" s="2">
        <v>17.940400908698901</v>
      </c>
      <c r="E3" s="2">
        <v>37.804833682554403</v>
      </c>
      <c r="F3" s="1">
        <f>Table36[[#This Row],[ARIMAPP]]*$N$5+Table36[[#This Row],[LSTMPP]]*$N$6</f>
        <v>16.079766198117181</v>
      </c>
      <c r="G3" s="2">
        <f>Table36[[#This Row],[PP]]/$N$2</f>
        <v>0.76570315229129426</v>
      </c>
      <c r="H3" s="2">
        <v>15</v>
      </c>
      <c r="I3" s="2">
        <f>Table36[[#This Row],[PPG]]*Table36[[#This Row],[Plays]]</f>
        <v>11.485547284369414</v>
      </c>
      <c r="J3" s="2">
        <v>24</v>
      </c>
      <c r="K3" s="10">
        <f>Table36[[#This Row],[APP]]/Table36[[#This Row],[Plays]]</f>
        <v>1.6</v>
      </c>
    </row>
    <row r="4" spans="1:14" x14ac:dyDescent="0.3">
      <c r="A4" s="1" t="s">
        <v>632</v>
      </c>
      <c r="B4" s="1" t="s">
        <v>4</v>
      </c>
      <c r="C4" s="1" t="s">
        <v>630</v>
      </c>
      <c r="D4" s="1">
        <v>111.210526315789</v>
      </c>
      <c r="E4" s="1">
        <v>80.325806189244403</v>
      </c>
      <c r="F4" s="1">
        <f>Table36[[#This Row],[ARIMAPP]]*$N$5+Table36[[#This Row],[LSTMPP]]*$N$6</f>
        <v>55.887949418506416</v>
      </c>
      <c r="G4" s="1">
        <f>Table36[[#This Row],[PP]]/$N$2</f>
        <v>2.6613309246907817</v>
      </c>
      <c r="H4" s="1">
        <v>19</v>
      </c>
      <c r="I4" s="1">
        <f>Table36[[#This Row],[PPG]]*Table36[[#This Row],[Plays]]</f>
        <v>50.565287569124855</v>
      </c>
      <c r="J4" s="1">
        <v>54</v>
      </c>
      <c r="K4" s="10">
        <f>Table36[[#This Row],[APP]]/Table36[[#This Row],[Plays]]</f>
        <v>2.8421052631578947</v>
      </c>
    </row>
    <row r="5" spans="1:14" x14ac:dyDescent="0.3">
      <c r="A5" s="2" t="s">
        <v>634</v>
      </c>
      <c r="B5" s="2" t="s">
        <v>7</v>
      </c>
      <c r="C5" s="2" t="s">
        <v>630</v>
      </c>
      <c r="D5" s="2">
        <v>72.673684841445706</v>
      </c>
      <c r="E5" s="2">
        <v>87.586467108955205</v>
      </c>
      <c r="F5" s="1">
        <f>Table36[[#This Row],[ARIMAPP]]*$N$5+Table36[[#This Row],[LSTMPP]]*$N$6</f>
        <v>46.499212360698408</v>
      </c>
      <c r="G5" s="2">
        <f>Table36[[#This Row],[PP]]/$N$2</f>
        <v>2.2142482076523051</v>
      </c>
      <c r="H5" s="2">
        <v>20</v>
      </c>
      <c r="I5" s="2">
        <f>Table36[[#This Row],[PPG]]*Table36[[#This Row],[Plays]]</f>
        <v>44.284964153046104</v>
      </c>
      <c r="J5" s="2">
        <v>65</v>
      </c>
      <c r="K5" s="10">
        <f>Table36[[#This Row],[APP]]/Table36[[#This Row],[Plays]]</f>
        <v>3.25</v>
      </c>
      <c r="M5" t="s">
        <v>9</v>
      </c>
      <c r="N5">
        <v>0.29719492446692425</v>
      </c>
    </row>
    <row r="6" spans="1:14" x14ac:dyDescent="0.3">
      <c r="A6" s="1" t="s">
        <v>636</v>
      </c>
      <c r="B6" s="1" t="s">
        <v>6</v>
      </c>
      <c r="C6" s="1" t="s">
        <v>630</v>
      </c>
      <c r="D6" s="1">
        <v>19.467249570062599</v>
      </c>
      <c r="E6" s="1">
        <v>84.325538543040906</v>
      </c>
      <c r="F6" s="1">
        <f>Table36[[#This Row],[ARIMAPP]]*$N$5+Table36[[#This Row],[LSTMPP]]*$N$6</f>
        <v>29.759443036945662</v>
      </c>
      <c r="G6" s="1">
        <f>Table36[[#This Row],[PP]]/$N$2</f>
        <v>1.4171163350926506</v>
      </c>
      <c r="H6" s="1">
        <v>10</v>
      </c>
      <c r="I6" s="1">
        <f>Table36[[#This Row],[PPG]]*Table36[[#This Row],[Plays]]</f>
        <v>14.171163350926506</v>
      </c>
      <c r="J6" s="1">
        <v>14</v>
      </c>
      <c r="K6" s="10">
        <f>Table36[[#This Row],[APP]]/Table36[[#This Row],[Plays]]</f>
        <v>1.4</v>
      </c>
      <c r="M6" t="s">
        <v>10</v>
      </c>
      <c r="N6">
        <v>0.284301478361215</v>
      </c>
    </row>
    <row r="7" spans="1:14" x14ac:dyDescent="0.3">
      <c r="A7" s="2" t="s">
        <v>637</v>
      </c>
      <c r="B7" s="2" t="s">
        <v>6</v>
      </c>
      <c r="C7" s="2" t="s">
        <v>630</v>
      </c>
      <c r="D7" s="2">
        <v>82</v>
      </c>
      <c r="E7" s="2">
        <v>67.217268098304402</v>
      </c>
      <c r="F7" s="1">
        <f>Table36[[#This Row],[ARIMAPP]]*$N$5+Table36[[#This Row],[LSTMPP]]*$N$6</f>
        <v>43.479952498037861</v>
      </c>
      <c r="G7" s="2">
        <f>Table36[[#This Row],[PP]]/$N$2</f>
        <v>2.0704739284779934</v>
      </c>
      <c r="H7" s="2">
        <v>19</v>
      </c>
      <c r="I7" s="2">
        <f>Table36[[#This Row],[PPG]]*Table36[[#This Row],[Plays]]</f>
        <v>39.339004641081871</v>
      </c>
      <c r="J7" s="2">
        <v>39</v>
      </c>
      <c r="K7" s="10">
        <f>Table36[[#This Row],[APP]]/Table36[[#This Row],[Plays]]</f>
        <v>2.0526315789473686</v>
      </c>
    </row>
    <row r="8" spans="1:14" x14ac:dyDescent="0.3">
      <c r="A8" s="1" t="s">
        <v>639</v>
      </c>
      <c r="B8" s="1" t="s">
        <v>5</v>
      </c>
      <c r="C8" s="1" t="s">
        <v>630</v>
      </c>
      <c r="D8" s="1">
        <v>21.605018136271099</v>
      </c>
      <c r="E8" s="1">
        <v>60.381950953975299</v>
      </c>
      <c r="F8" s="1">
        <f>Table36[[#This Row],[ARIMAPP]]*$N$5+Table36[[#This Row],[LSTMPP]]*$N$6</f>
        <v>23.58757965566517</v>
      </c>
      <c r="G8" s="1">
        <f>Table36[[#This Row],[PP]]/$N$2</f>
        <v>1.1232180788411985</v>
      </c>
      <c r="H8" s="1">
        <v>17</v>
      </c>
      <c r="I8" s="1">
        <f>Table36[[#This Row],[PPG]]*Table36[[#This Row],[Plays]]</f>
        <v>19.094707340300374</v>
      </c>
      <c r="J8" s="1">
        <v>41</v>
      </c>
      <c r="K8" s="10">
        <f>Table36[[#This Row],[APP]]/Table36[[#This Row],[Plays]]</f>
        <v>2.4117647058823528</v>
      </c>
      <c r="M8" t="s">
        <v>849</v>
      </c>
      <c r="N8" cm="1">
        <f t="array" ref="N8">(SUM(Table36[Tot]-Table36[APP]))^2</f>
        <v>3.0617979428252609E-25</v>
      </c>
    </row>
    <row r="9" spans="1:14" x14ac:dyDescent="0.3">
      <c r="A9" s="2" t="s">
        <v>640</v>
      </c>
      <c r="B9" s="2" t="s">
        <v>6</v>
      </c>
      <c r="C9" s="2" t="s">
        <v>630</v>
      </c>
      <c r="D9" s="2">
        <v>13.7473681464027</v>
      </c>
      <c r="E9" s="2">
        <v>103.35113975154</v>
      </c>
      <c r="F9" s="1">
        <f>Table36[[#This Row],[ARIMAPP]]*$N$5+Table36[[#This Row],[LSTMPP]]*$N$6</f>
        <v>33.468529859568505</v>
      </c>
      <c r="G9" s="2">
        <f>Table36[[#This Row],[PP]]/$N$2</f>
        <v>1.5937395171223099</v>
      </c>
      <c r="H9" s="2">
        <v>9</v>
      </c>
      <c r="I9" s="2">
        <f>Table36[[#This Row],[PPG]]*Table36[[#This Row],[Plays]]</f>
        <v>14.34365565410079</v>
      </c>
      <c r="J9" s="2">
        <v>14</v>
      </c>
      <c r="K9" s="10">
        <f>Table36[[#This Row],[APP]]/Table36[[#This Row],[Plays]]</f>
        <v>1.5555555555555556</v>
      </c>
    </row>
    <row r="10" spans="1:14" x14ac:dyDescent="0.3">
      <c r="A10" s="1" t="s">
        <v>642</v>
      </c>
      <c r="B10" s="1" t="s">
        <v>6</v>
      </c>
      <c r="C10" s="1" t="s">
        <v>630</v>
      </c>
      <c r="D10" s="1">
        <v>40.239660441955799</v>
      </c>
      <c r="E10" s="1">
        <v>63.555712405199799</v>
      </c>
      <c r="F10" s="1">
        <f>Table36[[#This Row],[ARIMAPP]]*$N$5+Table36[[#This Row],[LSTMPP]]*$N$6</f>
        <v>30.028005840720247</v>
      </c>
      <c r="G10" s="1">
        <f>Table36[[#This Row],[PP]]/$N$2</f>
        <v>1.4299050400342974</v>
      </c>
      <c r="H10" s="1">
        <v>8</v>
      </c>
      <c r="I10" s="1">
        <f>Table36[[#This Row],[PPG]]*Table36[[#This Row],[Plays]]</f>
        <v>11.439240320274379</v>
      </c>
      <c r="J10" s="1">
        <v>10</v>
      </c>
      <c r="K10" s="10">
        <f>Table36[[#This Row],[APP]]/Table36[[#This Row],[Plays]]</f>
        <v>1.25</v>
      </c>
    </row>
    <row r="11" spans="1:14" x14ac:dyDescent="0.3">
      <c r="A11" s="2" t="s">
        <v>644</v>
      </c>
      <c r="B11" s="2" t="s">
        <v>5</v>
      </c>
      <c r="C11" s="2" t="s">
        <v>630</v>
      </c>
      <c r="D11" s="2">
        <v>138.03215095938</v>
      </c>
      <c r="E11" s="2">
        <v>156.652806989455</v>
      </c>
      <c r="F11" s="1">
        <f>Table36[[#This Row],[ARIMAPP]]*$N$5+Table36[[#This Row],[LSTMPP]]*$N$6</f>
        <v>85.55907929491616</v>
      </c>
      <c r="G11" s="2">
        <f>Table36[[#This Row],[PP]]/$N$2</f>
        <v>4.0742418711864836</v>
      </c>
      <c r="H11" s="2">
        <v>20</v>
      </c>
      <c r="I11" s="2">
        <f>Table36[[#This Row],[PPG]]*Table36[[#This Row],[Plays]]</f>
        <v>81.484837423729672</v>
      </c>
      <c r="J11" s="2">
        <v>35</v>
      </c>
      <c r="K11" s="10">
        <f>Table36[[#This Row],[APP]]/Table36[[#This Row],[Plays]]</f>
        <v>1.75</v>
      </c>
    </row>
    <row r="12" spans="1:14" x14ac:dyDescent="0.3">
      <c r="A12" s="1" t="s">
        <v>145</v>
      </c>
      <c r="B12" s="1" t="s">
        <v>5</v>
      </c>
      <c r="C12" s="1" t="s">
        <v>630</v>
      </c>
      <c r="D12" s="1">
        <v>6.5908264629967102</v>
      </c>
      <c r="E12" s="1">
        <v>138.029343553064</v>
      </c>
      <c r="F12" s="1">
        <f>Table36[[#This Row],[ARIMAPP]]*$N$5+Table36[[#This Row],[LSTMPP]]*$N$6</f>
        <v>41.200706602209046</v>
      </c>
      <c r="G12" s="1">
        <f>Table36[[#This Row],[PP]]/$N$2</f>
        <v>1.9619384096290022</v>
      </c>
      <c r="H12" s="1">
        <v>5</v>
      </c>
      <c r="I12" s="1">
        <f>Table36[[#This Row],[PPG]]*Table36[[#This Row],[Plays]]</f>
        <v>9.8096920481450116</v>
      </c>
      <c r="J12" s="1">
        <v>7</v>
      </c>
      <c r="K12" s="10">
        <f>Table36[[#This Row],[APP]]/Table36[[#This Row],[Plays]]</f>
        <v>1.4</v>
      </c>
    </row>
    <row r="13" spans="1:14" x14ac:dyDescent="0.3">
      <c r="A13" s="2" t="s">
        <v>646</v>
      </c>
      <c r="B13" s="2" t="s">
        <v>6</v>
      </c>
      <c r="C13" s="2" t="s">
        <v>630</v>
      </c>
      <c r="D13" s="2">
        <v>37.164969328279398</v>
      </c>
      <c r="E13" s="2">
        <v>137.223182154933</v>
      </c>
      <c r="F13" s="1">
        <f>Table36[[#This Row],[ARIMAPP]]*$N$5+Table36[[#This Row],[LSTMPP]]*$N$6</f>
        <v>50.057993804411296</v>
      </c>
      <c r="G13" s="2">
        <f>Table36[[#This Row],[PP]]/$N$2</f>
        <v>2.3837139906862523</v>
      </c>
      <c r="H13" s="2">
        <v>6</v>
      </c>
      <c r="I13" s="2">
        <f>Table36[[#This Row],[PPG]]*Table36[[#This Row],[Plays]]</f>
        <v>14.302283944117514</v>
      </c>
      <c r="J13" s="2">
        <v>11</v>
      </c>
      <c r="K13" s="10">
        <f>Table36[[#This Row],[APP]]/Table36[[#This Row],[Plays]]</f>
        <v>1.8333333333333333</v>
      </c>
    </row>
    <row r="14" spans="1:14" x14ac:dyDescent="0.3">
      <c r="A14" s="1" t="s">
        <v>647</v>
      </c>
      <c r="B14" s="1" t="s">
        <v>7</v>
      </c>
      <c r="C14" s="1" t="s">
        <v>630</v>
      </c>
      <c r="D14" s="1">
        <v>11.2899745952482</v>
      </c>
      <c r="E14" s="1">
        <v>52.621185523409899</v>
      </c>
      <c r="F14" s="1">
        <f>Table36[[#This Row],[ARIMAPP]]*$N$5+Table36[[#This Row],[LSTMPP]]*$N$6</f>
        <v>18.315603984493482</v>
      </c>
      <c r="G14" s="1">
        <f>Table36[[#This Row],[PP]]/$N$2</f>
        <v>0.87217161830921341</v>
      </c>
      <c r="H14" s="1">
        <v>15</v>
      </c>
      <c r="I14" s="1">
        <f>Table36[[#This Row],[PPG]]*Table36[[#This Row],[Plays]]</f>
        <v>13.082574274638201</v>
      </c>
      <c r="J14" s="1">
        <v>26</v>
      </c>
      <c r="K14" s="10">
        <f>Table36[[#This Row],[APP]]/Table36[[#This Row],[Plays]]</f>
        <v>1.7333333333333334</v>
      </c>
    </row>
    <row r="15" spans="1:14" x14ac:dyDescent="0.3">
      <c r="A15" s="2" t="s">
        <v>648</v>
      </c>
      <c r="B15" s="2" t="s">
        <v>5</v>
      </c>
      <c r="C15" s="2" t="s">
        <v>630</v>
      </c>
      <c r="D15" s="2">
        <v>19.925882284889902</v>
      </c>
      <c r="E15" s="2">
        <v>136.78671287771201</v>
      </c>
      <c r="F15" s="1">
        <f>Table36[[#This Row],[ARIMAPP]]*$N$5+Table36[[#This Row],[LSTMPP]]*$N$6</f>
        <v>44.810535771899247</v>
      </c>
      <c r="G15" s="2">
        <f>Table36[[#This Row],[PP]]/$N$2</f>
        <v>2.1338350367571071</v>
      </c>
      <c r="H15" s="2">
        <v>5</v>
      </c>
      <c r="I15" s="2">
        <f>Table36[[#This Row],[PPG]]*Table36[[#This Row],[Plays]]</f>
        <v>10.669175183785535</v>
      </c>
      <c r="J15" s="2">
        <v>14</v>
      </c>
      <c r="K15" s="10">
        <f>Table36[[#This Row],[APP]]/Table36[[#This Row],[Plays]]</f>
        <v>2.8</v>
      </c>
    </row>
    <row r="16" spans="1:14" x14ac:dyDescent="0.3">
      <c r="A16" s="1" t="s">
        <v>650</v>
      </c>
      <c r="B16" s="1" t="s">
        <v>4</v>
      </c>
      <c r="C16" s="1" t="s">
        <v>630</v>
      </c>
      <c r="D16" s="1">
        <v>10.4154670993211</v>
      </c>
      <c r="E16" s="1">
        <v>26.7186168514618</v>
      </c>
      <c r="F16" s="1">
        <f>Table36[[#This Row],[ARIMAPP]]*$N$5+Table36[[#This Row],[LSTMPP]]*$N$6</f>
        <v>10.691566228507931</v>
      </c>
      <c r="G16" s="1">
        <f>Table36[[#This Row],[PP]]/$N$2</f>
        <v>0.50912220135752051</v>
      </c>
      <c r="H16" s="1">
        <v>2</v>
      </c>
      <c r="I16" s="1">
        <f>Table36[[#This Row],[PPG]]*Table36[[#This Row],[Plays]]</f>
        <v>1.018244402715041</v>
      </c>
      <c r="J16" s="1">
        <v>2</v>
      </c>
      <c r="K16" s="10">
        <f>Table36[[#This Row],[APP]]/Table36[[#This Row],[Plays]]</f>
        <v>1</v>
      </c>
    </row>
    <row r="17" spans="1:11" x14ac:dyDescent="0.3">
      <c r="A17" s="2" t="s">
        <v>652</v>
      </c>
      <c r="B17" s="2" t="s">
        <v>6</v>
      </c>
      <c r="C17" s="2" t="s">
        <v>630</v>
      </c>
      <c r="D17" s="2">
        <v>29.846133887697299</v>
      </c>
      <c r="E17" s="2">
        <v>145.30329057673299</v>
      </c>
      <c r="F17" s="1">
        <f>Table36[[#This Row],[ARIMAPP]]*$N$5+Table36[[#This Row],[LSTMPP]]*$N$6</f>
        <v>50.180059828098301</v>
      </c>
      <c r="G17" s="2">
        <f>Table36[[#This Row],[PP]]/$N$2</f>
        <v>2.3895266584808716</v>
      </c>
      <c r="H17" s="2">
        <v>15</v>
      </c>
      <c r="I17" s="2">
        <f>Table36[[#This Row],[PPG]]*Table36[[#This Row],[Plays]]</f>
        <v>35.842899877213071</v>
      </c>
      <c r="J17" s="2">
        <v>29</v>
      </c>
      <c r="K17" s="10">
        <f>Table36[[#This Row],[APP]]/Table36[[#This Row],[Plays]]</f>
        <v>1.9333333333333333</v>
      </c>
    </row>
    <row r="18" spans="1:11" x14ac:dyDescent="0.3">
      <c r="A18" s="1" t="s">
        <v>653</v>
      </c>
      <c r="B18" s="1" t="s">
        <v>5</v>
      </c>
      <c r="C18" s="1" t="s">
        <v>630</v>
      </c>
      <c r="D18" s="1">
        <v>-6.2908814126094397</v>
      </c>
      <c r="E18" s="1">
        <v>57.923131316516802</v>
      </c>
      <c r="F18" s="1">
        <f>Table36[[#This Row],[ARIMAPP]]*$N$5+Table36[[#This Row],[LSTMPP]]*$N$6</f>
        <v>14.598013838345675</v>
      </c>
      <c r="G18" s="1">
        <f>Table36[[#This Row],[PP]]/$N$2</f>
        <v>0.69514351611169878</v>
      </c>
      <c r="H18" s="1">
        <v>17</v>
      </c>
      <c r="I18" s="1">
        <f>Table36[[#This Row],[PPG]]*Table36[[#This Row],[Plays]]</f>
        <v>11.817439773898879</v>
      </c>
      <c r="J18" s="1">
        <v>27</v>
      </c>
      <c r="K18" s="10">
        <f>Table36[[#This Row],[APP]]/Table36[[#This Row],[Plays]]</f>
        <v>1.588235294117647</v>
      </c>
    </row>
    <row r="19" spans="1:11" x14ac:dyDescent="0.3">
      <c r="A19" s="2" t="s">
        <v>655</v>
      </c>
      <c r="B19" s="2" t="s">
        <v>5</v>
      </c>
      <c r="C19" s="2" t="s">
        <v>630</v>
      </c>
      <c r="D19" s="2">
        <v>24.3158685175062</v>
      </c>
      <c r="E19" s="2">
        <v>145.74939630171599</v>
      </c>
      <c r="F19" s="1">
        <f>Table36[[#This Row],[ARIMAPP]]*$N$5+Table36[[#This Row],[LSTMPP]]*$N$6</f>
        <v>48.663321546240375</v>
      </c>
      <c r="G19" s="2">
        <f>Table36[[#This Row],[PP]]/$N$2</f>
        <v>2.3173010260114464</v>
      </c>
      <c r="H19" s="2">
        <v>11</v>
      </c>
      <c r="I19" s="2">
        <f>Table36[[#This Row],[PPG]]*Table36[[#This Row],[Plays]]</f>
        <v>25.490311286125909</v>
      </c>
      <c r="J19" s="2">
        <v>23</v>
      </c>
      <c r="K19" s="10">
        <f>Table36[[#This Row],[APP]]/Table36[[#This Row],[Plays]]</f>
        <v>2.0909090909090908</v>
      </c>
    </row>
    <row r="20" spans="1:11" x14ac:dyDescent="0.3">
      <c r="A20" s="1" t="s">
        <v>657</v>
      </c>
      <c r="B20" s="1" t="s">
        <v>6</v>
      </c>
      <c r="C20" s="1" t="s">
        <v>630</v>
      </c>
      <c r="D20" s="1">
        <v>30.752502188139498</v>
      </c>
      <c r="E20" s="1">
        <v>141.047059738173</v>
      </c>
      <c r="F20" s="1">
        <f>Table36[[#This Row],[ARIMAPP]]*$N$5+Table36[[#This Row],[LSTMPP]]*$N$6</f>
        <v>49.239375167038233</v>
      </c>
      <c r="G20" s="1">
        <f>Table36[[#This Row],[PP]]/$N$2</f>
        <v>2.3447321508113443</v>
      </c>
      <c r="H20" s="1">
        <v>16</v>
      </c>
      <c r="I20" s="1">
        <f>Table36[[#This Row],[PPG]]*Table36[[#This Row],[Plays]]</f>
        <v>37.515714412981509</v>
      </c>
      <c r="J20" s="1">
        <v>29</v>
      </c>
      <c r="K20" s="10">
        <f>Table36[[#This Row],[APP]]/Table36[[#This Row],[Plays]]</f>
        <v>1.8125</v>
      </c>
    </row>
    <row r="21" spans="1:11" x14ac:dyDescent="0.3">
      <c r="A21" s="2" t="s">
        <v>658</v>
      </c>
      <c r="B21" s="2" t="s">
        <v>7</v>
      </c>
      <c r="C21" s="2" t="s">
        <v>630</v>
      </c>
      <c r="D21" s="2">
        <v>37.316251638078398</v>
      </c>
      <c r="E21" s="2">
        <v>151.918439294981</v>
      </c>
      <c r="F21" s="1">
        <f>Table36[[#This Row],[ARIMAPP]]*$N$5+Table36[[#This Row],[LSTMPP]]*$N$6</f>
        <v>54.28083746885904</v>
      </c>
      <c r="G21" s="2">
        <f>Table36[[#This Row],[PP]]/$N$2</f>
        <v>2.5848017842313831</v>
      </c>
      <c r="H21" s="2">
        <v>18</v>
      </c>
      <c r="I21" s="2">
        <f>Table36[[#This Row],[PPG]]*Table36[[#This Row],[Plays]]</f>
        <v>46.526432116164898</v>
      </c>
      <c r="J21" s="2">
        <v>31</v>
      </c>
      <c r="K21" s="10">
        <f>Table36[[#This Row],[APP]]/Table36[[#This Row],[Plays]]</f>
        <v>1.7222222222222223</v>
      </c>
    </row>
    <row r="22" spans="1:11" x14ac:dyDescent="0.3">
      <c r="A22" s="1" t="s">
        <v>660</v>
      </c>
      <c r="B22" s="1" t="s">
        <v>6</v>
      </c>
      <c r="C22" s="1" t="s">
        <v>630</v>
      </c>
      <c r="D22" s="1">
        <v>19.817874803527801</v>
      </c>
      <c r="E22" s="1">
        <v>141.59307672844699</v>
      </c>
      <c r="F22" s="1">
        <f>Table36[[#This Row],[ARIMAPP]]*$N$5+Table36[[#This Row],[LSTMPP]]*$N$6</f>
        <v>46.144892844939832</v>
      </c>
      <c r="G22" s="1">
        <f>Table36[[#This Row],[PP]]/$N$2</f>
        <v>2.1973758497590397</v>
      </c>
      <c r="H22" s="1">
        <v>11</v>
      </c>
      <c r="I22" s="1">
        <f>Table36[[#This Row],[PPG]]*Table36[[#This Row],[Plays]]</f>
        <v>24.171134347349437</v>
      </c>
      <c r="J22" s="1">
        <v>13</v>
      </c>
      <c r="K22" s="10">
        <f>Table36[[#This Row],[APP]]/Table36[[#This Row],[Plays]]</f>
        <v>1.1818181818181819</v>
      </c>
    </row>
    <row r="23" spans="1:11" x14ac:dyDescent="0.3">
      <c r="A23" s="2" t="s">
        <v>662</v>
      </c>
      <c r="B23" s="2" t="s">
        <v>5</v>
      </c>
      <c r="C23" s="2" t="s">
        <v>630</v>
      </c>
      <c r="D23" s="2">
        <v>24.404371119798299</v>
      </c>
      <c r="E23" s="2">
        <v>100.7862618779</v>
      </c>
      <c r="F23" s="1">
        <f>Table36[[#This Row],[ARIMAPP]]*$N$5+Table36[[#This Row],[LSTMPP]]*$N$6</f>
        <v>35.90653848199878</v>
      </c>
      <c r="G23" s="2">
        <f>Table36[[#This Row],[PP]]/$N$2</f>
        <v>1.7098351658094657</v>
      </c>
      <c r="H23" s="2">
        <v>12</v>
      </c>
      <c r="I23" s="2">
        <f>Table36[[#This Row],[PPG]]*Table36[[#This Row],[Plays]]</f>
        <v>20.518021989713588</v>
      </c>
      <c r="J23" s="2">
        <v>16</v>
      </c>
      <c r="K23" s="10">
        <f>Table36[[#This Row],[APP]]/Table36[[#This Row],[Plays]]</f>
        <v>1.3333333333333333</v>
      </c>
    </row>
    <row r="24" spans="1:11" x14ac:dyDescent="0.3">
      <c r="A24" s="1" t="s">
        <v>663</v>
      </c>
      <c r="B24" s="1" t="s">
        <v>6</v>
      </c>
      <c r="C24" s="1" t="s">
        <v>630</v>
      </c>
      <c r="D24" s="1">
        <v>33.699941812992797</v>
      </c>
      <c r="E24" s="1">
        <v>128.071871791375</v>
      </c>
      <c r="F24" s="1">
        <f>Table36[[#This Row],[ARIMAPP]]*$N$5+Table36[[#This Row],[LSTMPP]]*$N$6</f>
        <v>46.426474148428035</v>
      </c>
      <c r="G24" s="1">
        <f>Table36[[#This Row],[PP]]/$N$2</f>
        <v>2.210784483258478</v>
      </c>
      <c r="H24" s="1">
        <v>12</v>
      </c>
      <c r="I24" s="1">
        <f>Table36[[#This Row],[PPG]]*Table36[[#This Row],[Plays]]</f>
        <v>26.529413799101736</v>
      </c>
      <c r="J24" s="1">
        <v>26</v>
      </c>
      <c r="K24" s="10">
        <f>Table36[[#This Row],[APP]]/Table36[[#This Row],[Plays]]</f>
        <v>2.1666666666666665</v>
      </c>
    </row>
    <row r="25" spans="1:11" x14ac:dyDescent="0.3">
      <c r="A25" s="5" t="s">
        <v>665</v>
      </c>
      <c r="B25" s="5" t="s">
        <v>6</v>
      </c>
      <c r="C25" s="5" t="s">
        <v>630</v>
      </c>
      <c r="D25" s="5">
        <v>14.2374493425101</v>
      </c>
      <c r="E25" s="5">
        <v>191.44846214771101</v>
      </c>
      <c r="F25" s="1">
        <f>Table36[[#This Row],[ARIMAPP]]*$N$5+Table36[[#This Row],[LSTMPP]]*$N$6</f>
        <v>58.660378500524303</v>
      </c>
      <c r="G25" s="5">
        <f>Table36[[#This Row],[PP]]/$N$2</f>
        <v>2.7933513571678241</v>
      </c>
      <c r="H25" s="5">
        <v>2</v>
      </c>
      <c r="I25" s="5">
        <f>Table36[[#This Row],[PPG]]*Table36[[#This Row],[Plays]]</f>
        <v>5.5867027143356482</v>
      </c>
      <c r="J25" s="5">
        <v>2</v>
      </c>
      <c r="K25" s="12">
        <f>Table36[[#This Row],[APP]]/Table36[[#This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4E98-E03C-4A0D-ACA1-A14213E7B3A4}">
  <dimension ref="A1:N25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667</v>
      </c>
      <c r="B2" s="1" t="s">
        <v>6</v>
      </c>
      <c r="C2" s="1" t="s">
        <v>668</v>
      </c>
      <c r="D2" s="1">
        <v>33.048147967671603</v>
      </c>
      <c r="E2" s="1">
        <v>47.154547879747199</v>
      </c>
      <c r="F2" s="1">
        <f>Table37[[#This Row],[ARIMAPP]]*$N$5+Table37[[#This Row],[LSTMPP]]*$N$6</f>
        <v>35.739185673511798</v>
      </c>
      <c r="G2" s="1">
        <f>Table37[[#This Row],[PP]]/$N$2</f>
        <v>1.7018659844529427</v>
      </c>
      <c r="H2" s="1">
        <v>8</v>
      </c>
      <c r="I2" s="1">
        <f>Table37[[#This Row],[PPG]]*Table37[[#This Row],[Plays]]</f>
        <v>13.614927875623541</v>
      </c>
      <c r="J2" s="1">
        <v>11</v>
      </c>
      <c r="K2" s="11">
        <f>Table37[[#This Row],[APP]]/Table37[[#This Row],[Plays]]</f>
        <v>1.375</v>
      </c>
      <c r="M2" t="s">
        <v>846</v>
      </c>
      <c r="N2">
        <v>21</v>
      </c>
    </row>
    <row r="3" spans="1:14" x14ac:dyDescent="0.3">
      <c r="A3" s="2" t="s">
        <v>669</v>
      </c>
      <c r="B3" s="2" t="s">
        <v>4</v>
      </c>
      <c r="C3" s="2" t="s">
        <v>668</v>
      </c>
      <c r="D3" s="2">
        <v>7.1038746896146803</v>
      </c>
      <c r="E3" s="2">
        <v>31.560471249939201</v>
      </c>
      <c r="F3" s="1">
        <f>Table37[[#This Row],[ARIMAPP]]*$N$5+Table37[[#This Row],[LSTMPP]]*$N$6</f>
        <v>17.963298709966487</v>
      </c>
      <c r="G3" s="2">
        <f>Table37[[#This Row],[PP]]/$N$2</f>
        <v>0.85539517666507081</v>
      </c>
      <c r="H3" s="2">
        <v>4</v>
      </c>
      <c r="I3" s="2">
        <f>Table37[[#This Row],[PPG]]*Table37[[#This Row],[Plays]]</f>
        <v>3.4215807066602832</v>
      </c>
      <c r="J3" s="2">
        <v>13</v>
      </c>
      <c r="K3" s="10">
        <f>Table37[[#This Row],[APP]]/Table37[[#This Row],[Plays]]</f>
        <v>3.25</v>
      </c>
    </row>
    <row r="4" spans="1:14" x14ac:dyDescent="0.3">
      <c r="A4" s="1" t="s">
        <v>670</v>
      </c>
      <c r="B4" s="1" t="s">
        <v>4</v>
      </c>
      <c r="C4" s="1" t="s">
        <v>668</v>
      </c>
      <c r="D4" s="1">
        <v>43.2626699717054</v>
      </c>
      <c r="E4" s="1">
        <v>66.692062509664197</v>
      </c>
      <c r="F4" s="1">
        <f>Table37[[#This Row],[ARIMAPP]]*$N$5+Table37[[#This Row],[LSTMPP]]*$N$6</f>
        <v>49.167057625188576</v>
      </c>
      <c r="G4" s="1">
        <f>Table37[[#This Row],[PP]]/$N$2</f>
        <v>2.341288458342313</v>
      </c>
      <c r="H4" s="1">
        <v>15</v>
      </c>
      <c r="I4" s="1">
        <f>Table37[[#This Row],[PPG]]*Table37[[#This Row],[Plays]]</f>
        <v>35.119326875134696</v>
      </c>
      <c r="J4" s="1">
        <v>53</v>
      </c>
      <c r="K4" s="10">
        <f>Table37[[#This Row],[APP]]/Table37[[#This Row],[Plays]]</f>
        <v>3.5333333333333332</v>
      </c>
    </row>
    <row r="5" spans="1:14" x14ac:dyDescent="0.3">
      <c r="A5" s="2" t="s">
        <v>673</v>
      </c>
      <c r="B5" s="2" t="s">
        <v>6</v>
      </c>
      <c r="C5" s="2" t="s">
        <v>668</v>
      </c>
      <c r="D5" s="2">
        <v>54.5</v>
      </c>
      <c r="E5" s="2">
        <v>73.613942550115993</v>
      </c>
      <c r="F5" s="1">
        <f>Table37[[#This Row],[ARIMAPP]]*$N$5+Table37[[#This Row],[LSTMPP]]*$N$6</f>
        <v>56.946797240964401</v>
      </c>
      <c r="G5" s="2">
        <f>Table37[[#This Row],[PP]]/$N$2</f>
        <v>2.7117522495697335</v>
      </c>
      <c r="H5" s="2">
        <v>19</v>
      </c>
      <c r="I5" s="2">
        <f>Table37[[#This Row],[PPG]]*Table37[[#This Row],[Plays]]</f>
        <v>51.523292741824939</v>
      </c>
      <c r="J5" s="2">
        <v>39</v>
      </c>
      <c r="K5" s="10">
        <f>Table37[[#This Row],[APP]]/Table37[[#This Row],[Plays]]</f>
        <v>2.0526315789473686</v>
      </c>
      <c r="M5" t="s">
        <v>9</v>
      </c>
      <c r="N5">
        <v>0.39672369785442202</v>
      </c>
    </row>
    <row r="6" spans="1:14" x14ac:dyDescent="0.3">
      <c r="A6" s="1" t="s">
        <v>674</v>
      </c>
      <c r="B6" s="1" t="s">
        <v>6</v>
      </c>
      <c r="C6" s="1" t="s">
        <v>668</v>
      </c>
      <c r="D6" s="1">
        <v>68.533333197933302</v>
      </c>
      <c r="E6" s="1">
        <v>84.628121087020901</v>
      </c>
      <c r="F6" s="1">
        <f>Table37[[#This Row],[ARIMAPP]]*$N$5+Table37[[#This Row],[LSTMPP]]*$N$6</f>
        <v>67.799561811047212</v>
      </c>
      <c r="G6" s="1">
        <f>Table37[[#This Row],[PP]]/$N$2</f>
        <v>3.2285505624308195</v>
      </c>
      <c r="H6" s="1">
        <v>18</v>
      </c>
      <c r="I6" s="1">
        <f>Table37[[#This Row],[PPG]]*Table37[[#This Row],[Plays]]</f>
        <v>58.113910123754749</v>
      </c>
      <c r="J6" s="1">
        <v>55</v>
      </c>
      <c r="K6" s="10">
        <f>Table37[[#This Row],[APP]]/Table37[[#This Row],[Plays]]</f>
        <v>3.0555555555555554</v>
      </c>
      <c r="M6" t="s">
        <v>10</v>
      </c>
      <c r="N6">
        <v>0.47987316647045603</v>
      </c>
    </row>
    <row r="7" spans="1:14" x14ac:dyDescent="0.3">
      <c r="A7" s="2" t="s">
        <v>222</v>
      </c>
      <c r="B7" s="2" t="s">
        <v>5</v>
      </c>
      <c r="C7" s="2" t="s">
        <v>668</v>
      </c>
      <c r="D7" s="2">
        <v>26.765938687321398</v>
      </c>
      <c r="E7" s="2">
        <v>41.839549042959597</v>
      </c>
      <c r="F7" s="1">
        <f>Table37[[#This Row],[ARIMAPP]]*$N$5+Table37[[#This Row],[LSTMPP]]*$N$6</f>
        <v>30.696359055519839</v>
      </c>
      <c r="G7" s="2">
        <f>Table37[[#This Row],[PP]]/$N$2</f>
        <v>1.4617313835961827</v>
      </c>
      <c r="H7" s="2">
        <v>6</v>
      </c>
      <c r="I7" s="2">
        <f>Table37[[#This Row],[PPG]]*Table37[[#This Row],[Plays]]</f>
        <v>8.7703883015770963</v>
      </c>
      <c r="J7" s="2">
        <v>10</v>
      </c>
      <c r="K7" s="10">
        <f>Table37[[#This Row],[APP]]/Table37[[#This Row],[Plays]]</f>
        <v>1.6666666666666667</v>
      </c>
    </row>
    <row r="8" spans="1:14" x14ac:dyDescent="0.3">
      <c r="A8" s="1" t="s">
        <v>676</v>
      </c>
      <c r="B8" s="1" t="s">
        <v>6</v>
      </c>
      <c r="C8" s="1" t="s">
        <v>668</v>
      </c>
      <c r="D8" s="1">
        <v>16.726429703193102</v>
      </c>
      <c r="E8" s="1">
        <v>56.363290800061598</v>
      </c>
      <c r="F8" s="1">
        <f>Table37[[#This Row],[ARIMAPP]]*$N$5+Table37[[#This Row],[LSTMPP]]*$N$6</f>
        <v>33.683001872673493</v>
      </c>
      <c r="G8" s="1">
        <f>Table37[[#This Row],[PP]]/$N$2</f>
        <v>1.6039524701273091</v>
      </c>
      <c r="H8" s="1">
        <v>8</v>
      </c>
      <c r="I8" s="1">
        <f>Table37[[#This Row],[PPG]]*Table37[[#This Row],[Plays]]</f>
        <v>12.831619761018473</v>
      </c>
      <c r="J8" s="1">
        <v>9</v>
      </c>
      <c r="K8" s="10">
        <f>Table37[[#This Row],[APP]]/Table37[[#This Row],[Plays]]</f>
        <v>1.125</v>
      </c>
      <c r="M8" t="s">
        <v>849</v>
      </c>
      <c r="N8" cm="1">
        <f t="array" ref="N8">(SUM(Table37[Tot]-Table37[APP]))^2</f>
        <v>2.6423019279894231E-25</v>
      </c>
    </row>
    <row r="9" spans="1:14" x14ac:dyDescent="0.3">
      <c r="A9" s="2" t="s">
        <v>677</v>
      </c>
      <c r="B9" s="2" t="s">
        <v>6</v>
      </c>
      <c r="C9" s="2" t="s">
        <v>668</v>
      </c>
      <c r="D9" s="2">
        <v>76.047298628197694</v>
      </c>
      <c r="E9" s="2">
        <v>105.059354202611</v>
      </c>
      <c r="F9" s="1">
        <f>Table37[[#This Row],[ARIMAPP]]*$N$5+Table37[[#This Row],[LSTMPP]]*$N$6</f>
        <v>80.584930492166251</v>
      </c>
      <c r="G9" s="2">
        <f>Table37[[#This Row],[PP]]/$N$2</f>
        <v>3.8373776424841073</v>
      </c>
      <c r="H9" s="2">
        <v>19</v>
      </c>
      <c r="I9" s="2">
        <f>Table37[[#This Row],[PPG]]*Table37[[#This Row],[Plays]]</f>
        <v>72.910175207198037</v>
      </c>
      <c r="J9" s="2">
        <v>83</v>
      </c>
      <c r="K9" s="10">
        <f>Table37[[#This Row],[APP]]/Table37[[#This Row],[Plays]]</f>
        <v>4.3684210526315788</v>
      </c>
    </row>
    <row r="10" spans="1:14" x14ac:dyDescent="0.3">
      <c r="A10" s="1" t="s">
        <v>678</v>
      </c>
      <c r="B10" s="1" t="s">
        <v>5</v>
      </c>
      <c r="C10" s="1" t="s">
        <v>668</v>
      </c>
      <c r="D10" s="1">
        <v>29.261765069415301</v>
      </c>
      <c r="E10" s="1">
        <v>49.449800863200799</v>
      </c>
      <c r="F10" s="1">
        <f>Table37[[#This Row],[ARIMAPP]]*$N$5+Table37[[#This Row],[LSTMPP]]*$N$6</f>
        <v>35.338468165643455</v>
      </c>
      <c r="G10" s="1">
        <f>Table37[[#This Row],[PP]]/$N$2</f>
        <v>1.682784198363974</v>
      </c>
      <c r="H10" s="1">
        <v>15</v>
      </c>
      <c r="I10" s="1">
        <f>Table37[[#This Row],[PPG]]*Table37[[#This Row],[Plays]]</f>
        <v>25.241762975459608</v>
      </c>
      <c r="J10" s="1">
        <v>37</v>
      </c>
      <c r="K10" s="10">
        <f>Table37[[#This Row],[APP]]/Table37[[#This Row],[Plays]]</f>
        <v>2.4666666666666668</v>
      </c>
    </row>
    <row r="11" spans="1:14" x14ac:dyDescent="0.3">
      <c r="A11" s="2" t="s">
        <v>679</v>
      </c>
      <c r="B11" s="2" t="s">
        <v>5</v>
      </c>
      <c r="C11" s="2" t="s">
        <v>668</v>
      </c>
      <c r="D11" s="2">
        <v>107.133333333333</v>
      </c>
      <c r="E11" s="2">
        <v>65.304226319608205</v>
      </c>
      <c r="F11" s="1">
        <f>Table37[[#This Row],[ARIMAPP]]*$N$5+Table37[[#This Row],[LSTMPP]]*$N$6</f>
        <v>73.840078031363959</v>
      </c>
      <c r="G11" s="2">
        <f>Table37[[#This Row],[PP]]/$N$2</f>
        <v>3.5161941919697122</v>
      </c>
      <c r="H11" s="2">
        <v>16</v>
      </c>
      <c r="I11" s="2">
        <f>Table37[[#This Row],[PPG]]*Table37[[#This Row],[Plays]]</f>
        <v>56.259107071515395</v>
      </c>
      <c r="J11" s="2">
        <v>64</v>
      </c>
      <c r="K11" s="10">
        <f>Table37[[#This Row],[APP]]/Table37[[#This Row],[Plays]]</f>
        <v>4</v>
      </c>
    </row>
    <row r="12" spans="1:14" x14ac:dyDescent="0.3">
      <c r="A12" s="1" t="s">
        <v>681</v>
      </c>
      <c r="B12" s="1" t="s">
        <v>7</v>
      </c>
      <c r="C12" s="1" t="s">
        <v>668</v>
      </c>
      <c r="D12" s="1">
        <v>56.924880893287401</v>
      </c>
      <c r="E12" s="1">
        <v>68.9134950948403</v>
      </c>
      <c r="F12" s="1">
        <f>Table37[[#This Row],[ARIMAPP]]*$N$5+Table37[[#This Row],[LSTMPP]]*$N$6</f>
        <v>55.653186351614764</v>
      </c>
      <c r="G12" s="1">
        <f>Table37[[#This Row],[PP]]/$N$2</f>
        <v>2.6501517310292746</v>
      </c>
      <c r="H12" s="1">
        <v>15</v>
      </c>
      <c r="I12" s="1">
        <f>Table37[[#This Row],[PPG]]*Table37[[#This Row],[Plays]]</f>
        <v>39.752275965439118</v>
      </c>
      <c r="J12" s="1">
        <v>54</v>
      </c>
      <c r="K12" s="10">
        <f>Table37[[#This Row],[APP]]/Table37[[#This Row],[Plays]]</f>
        <v>3.6</v>
      </c>
    </row>
    <row r="13" spans="1:14" x14ac:dyDescent="0.3">
      <c r="A13" s="2" t="s">
        <v>682</v>
      </c>
      <c r="B13" s="2" t="s">
        <v>6</v>
      </c>
      <c r="C13" s="2" t="s">
        <v>668</v>
      </c>
      <c r="D13" s="2">
        <v>14.6115420980961</v>
      </c>
      <c r="E13" s="2">
        <v>49.299244928950699</v>
      </c>
      <c r="F13" s="1">
        <f>Table37[[#This Row],[ARIMAPP]]*$N$5+Table37[[#This Row],[LSTMPP]]*$N$6</f>
        <v>29.454129781170387</v>
      </c>
      <c r="G13" s="2">
        <f>Table37[[#This Row],[PP]]/$N$2</f>
        <v>1.4025776086271613</v>
      </c>
      <c r="H13" s="2">
        <v>10</v>
      </c>
      <c r="I13" s="2">
        <f>Table37[[#This Row],[PPG]]*Table37[[#This Row],[Plays]]</f>
        <v>14.025776086271613</v>
      </c>
      <c r="J13" s="2">
        <v>17</v>
      </c>
      <c r="K13" s="10">
        <f>Table37[[#This Row],[APP]]/Table37[[#This Row],[Plays]]</f>
        <v>1.7</v>
      </c>
    </row>
    <row r="14" spans="1:14" x14ac:dyDescent="0.3">
      <c r="A14" s="1" t="s">
        <v>587</v>
      </c>
      <c r="B14" s="1" t="s">
        <v>6</v>
      </c>
      <c r="C14" s="1" t="s">
        <v>668</v>
      </c>
      <c r="D14" s="1">
        <v>30.565561009881101</v>
      </c>
      <c r="E14" s="1">
        <v>68.602702008978497</v>
      </c>
      <c r="F14" s="1">
        <f>Table37[[#This Row],[ARIMAPP]]*$N$5+Table37[[#This Row],[LSTMPP]]*$N$6</f>
        <v>45.046678232312601</v>
      </c>
      <c r="G14" s="1">
        <f>Table37[[#This Row],[PP]]/$N$2</f>
        <v>2.1450799158244096</v>
      </c>
      <c r="H14" s="1">
        <v>15</v>
      </c>
      <c r="I14" s="1">
        <f>Table37[[#This Row],[PPG]]*Table37[[#This Row],[Plays]]</f>
        <v>32.176198737366143</v>
      </c>
      <c r="J14" s="1">
        <v>34</v>
      </c>
      <c r="K14" s="10">
        <f>Table37[[#This Row],[APP]]/Table37[[#This Row],[Plays]]</f>
        <v>2.2666666666666666</v>
      </c>
    </row>
    <row r="15" spans="1:14" x14ac:dyDescent="0.3">
      <c r="A15" s="2" t="s">
        <v>684</v>
      </c>
      <c r="B15" s="2" t="s">
        <v>6</v>
      </c>
      <c r="C15" s="2" t="s">
        <v>668</v>
      </c>
      <c r="D15" s="2">
        <v>10.662887138677901</v>
      </c>
      <c r="E15" s="2">
        <v>36.366207631649097</v>
      </c>
      <c r="F15" s="1">
        <f>Table37[[#This Row],[ARIMAPP]]*$N$5+Table37[[#This Row],[LSTMPP]]*$N$6</f>
        <v>21.681387224182167</v>
      </c>
      <c r="G15" s="2">
        <f>Table37[[#This Row],[PP]]/$N$2</f>
        <v>1.0324470106753414</v>
      </c>
      <c r="H15" s="2">
        <v>8</v>
      </c>
      <c r="I15" s="2">
        <f>Table37[[#This Row],[PPG]]*Table37[[#This Row],[Plays]]</f>
        <v>8.2595760854027311</v>
      </c>
      <c r="J15" s="2">
        <v>9</v>
      </c>
      <c r="K15" s="10">
        <f>Table37[[#This Row],[APP]]/Table37[[#This Row],[Plays]]</f>
        <v>1.125</v>
      </c>
    </row>
    <row r="16" spans="1:14" x14ac:dyDescent="0.3">
      <c r="A16" s="1" t="s">
        <v>686</v>
      </c>
      <c r="B16" s="1" t="s">
        <v>5</v>
      </c>
      <c r="C16" s="1" t="s">
        <v>668</v>
      </c>
      <c r="D16" s="1">
        <v>17.952953400327399</v>
      </c>
      <c r="E16" s="1">
        <v>62.004085956686097</v>
      </c>
      <c r="F16" s="1">
        <f>Table37[[#This Row],[ARIMAPP]]*$N$5+Table37[[#This Row],[LSTMPP]]*$N$6</f>
        <v>36.876459122527294</v>
      </c>
      <c r="G16" s="1">
        <f>Table37[[#This Row],[PP]]/$N$2</f>
        <v>1.7560218629774902</v>
      </c>
      <c r="H16" s="1">
        <v>20</v>
      </c>
      <c r="I16" s="1">
        <f>Table37[[#This Row],[PPG]]*Table37[[#This Row],[Plays]]</f>
        <v>35.120437259549803</v>
      </c>
      <c r="J16" s="1">
        <v>36</v>
      </c>
      <c r="K16" s="10">
        <f>Table37[[#This Row],[APP]]/Table37[[#This Row],[Plays]]</f>
        <v>1.8</v>
      </c>
    </row>
    <row r="17" spans="1:11" x14ac:dyDescent="0.3">
      <c r="A17" s="2" t="s">
        <v>688</v>
      </c>
      <c r="B17" s="2" t="s">
        <v>5</v>
      </c>
      <c r="C17" s="2" t="s">
        <v>668</v>
      </c>
      <c r="D17" s="2">
        <v>41.055643220364502</v>
      </c>
      <c r="E17" s="2">
        <v>150.973638961538</v>
      </c>
      <c r="F17" s="1">
        <f>Table37[[#This Row],[ARIMAPP]]*$N$5+Table37[[#This Row],[LSTMPP]]*$N$6</f>
        <v>88.735944778215497</v>
      </c>
      <c r="G17" s="2">
        <f>Table37[[#This Row],[PP]]/$N$2</f>
        <v>4.2255211799150239</v>
      </c>
      <c r="H17" s="2">
        <v>10</v>
      </c>
      <c r="I17" s="2">
        <f>Table37[[#This Row],[PPG]]*Table37[[#This Row],[Plays]]</f>
        <v>42.255211799150239</v>
      </c>
      <c r="J17" s="2">
        <v>23</v>
      </c>
      <c r="K17" s="10">
        <f>Table37[[#This Row],[APP]]/Table37[[#This Row],[Plays]]</f>
        <v>2.2999999999999998</v>
      </c>
    </row>
    <row r="18" spans="1:11" x14ac:dyDescent="0.3">
      <c r="A18" s="1" t="s">
        <v>690</v>
      </c>
      <c r="B18" s="1" t="s">
        <v>5</v>
      </c>
      <c r="C18" s="1" t="s">
        <v>668</v>
      </c>
      <c r="D18" s="1">
        <v>0</v>
      </c>
      <c r="E18" s="1">
        <v>170.49190572365799</v>
      </c>
      <c r="F18" s="1">
        <f>Table37[[#This Row],[ARIMAPP]]*$N$5+Table37[[#This Row],[LSTMPP]]*$N$6</f>
        <v>81.814490657194227</v>
      </c>
      <c r="G18" s="1">
        <f>Table37[[#This Row],[PP]]/$N$2</f>
        <v>3.8959281265330583</v>
      </c>
      <c r="H18" s="1">
        <v>18</v>
      </c>
      <c r="I18" s="1">
        <f>Table37[[#This Row],[PPG]]*Table37[[#This Row],[Plays]]</f>
        <v>70.126706277595048</v>
      </c>
      <c r="J18" s="1">
        <v>54</v>
      </c>
      <c r="K18" s="10">
        <f>Table37[[#This Row],[APP]]/Table37[[#This Row],[Plays]]</f>
        <v>3</v>
      </c>
    </row>
    <row r="19" spans="1:11" x14ac:dyDescent="0.3">
      <c r="A19" s="2" t="s">
        <v>691</v>
      </c>
      <c r="B19" s="2" t="s">
        <v>6</v>
      </c>
      <c r="C19" s="2" t="s">
        <v>668</v>
      </c>
      <c r="D19" s="2">
        <v>13.377495573283401</v>
      </c>
      <c r="E19" s="2">
        <v>52.592461780629399</v>
      </c>
      <c r="F19" s="1">
        <f>Table37[[#This Row],[ARIMAPP]]*$N$5+Table37[[#This Row],[LSTMPP]]*$N$6</f>
        <v>30.544880679011222</v>
      </c>
      <c r="G19" s="2">
        <f>Table37[[#This Row],[PP]]/$N$2</f>
        <v>1.454518127571963</v>
      </c>
      <c r="H19" s="2">
        <v>14</v>
      </c>
      <c r="I19" s="2">
        <f>Table37[[#This Row],[PPG]]*Table37[[#This Row],[Plays]]</f>
        <v>20.363253786007483</v>
      </c>
      <c r="J19" s="2">
        <v>38</v>
      </c>
      <c r="K19" s="10">
        <f>Table37[[#This Row],[APP]]/Table37[[#This Row],[Plays]]</f>
        <v>2.7142857142857144</v>
      </c>
    </row>
    <row r="20" spans="1:11" x14ac:dyDescent="0.3">
      <c r="A20" s="1" t="s">
        <v>693</v>
      </c>
      <c r="B20" s="1" t="s">
        <v>7</v>
      </c>
      <c r="C20" s="1" t="s">
        <v>668</v>
      </c>
      <c r="D20" s="1">
        <v>33.138219698508102</v>
      </c>
      <c r="E20" s="1">
        <v>115.845569974884</v>
      </c>
      <c r="F20" s="1">
        <f>Table37[[#This Row],[ARIMAPP]]*$N$5+Table37[[#This Row],[LSTMPP]]*$N$6</f>
        <v>68.73789754452676</v>
      </c>
      <c r="G20" s="1">
        <f>Table37[[#This Row],[PP]]/$N$2</f>
        <v>3.273233216406036</v>
      </c>
      <c r="H20" s="1">
        <v>17</v>
      </c>
      <c r="I20" s="1">
        <f>Table37[[#This Row],[PPG]]*Table37[[#This Row],[Plays]]</f>
        <v>55.64496467890261</v>
      </c>
      <c r="J20" s="1">
        <v>62</v>
      </c>
      <c r="K20" s="10">
        <f>Table37[[#This Row],[APP]]/Table37[[#This Row],[Plays]]</f>
        <v>3.6470588235294117</v>
      </c>
    </row>
    <row r="21" spans="1:11" x14ac:dyDescent="0.3">
      <c r="A21" s="2" t="s">
        <v>224</v>
      </c>
      <c r="B21" s="2" t="s">
        <v>7</v>
      </c>
      <c r="C21" s="2" t="s">
        <v>668</v>
      </c>
      <c r="D21" s="2">
        <v>7.34701707754731</v>
      </c>
      <c r="E21" s="2">
        <v>35.020880714781299</v>
      </c>
      <c r="F21" s="1">
        <f>Table37[[#This Row],[ARIMAPP]]*$N$5+Table37[[#This Row],[LSTMPP]]*$N$6</f>
        <v>19.720316704390388</v>
      </c>
      <c r="G21" s="2">
        <f>Table37[[#This Row],[PP]]/$N$2</f>
        <v>0.93906270020906613</v>
      </c>
      <c r="H21" s="2">
        <v>3</v>
      </c>
      <c r="I21" s="2">
        <f>Table37[[#This Row],[PPG]]*Table37[[#This Row],[Plays]]</f>
        <v>2.8171881006271984</v>
      </c>
      <c r="J21" s="2">
        <v>4</v>
      </c>
      <c r="K21" s="10">
        <f>Table37[[#This Row],[APP]]/Table37[[#This Row],[Plays]]</f>
        <v>1.3333333333333333</v>
      </c>
    </row>
    <row r="22" spans="1:11" x14ac:dyDescent="0.3">
      <c r="A22" s="1" t="s">
        <v>694</v>
      </c>
      <c r="B22" s="1" t="s">
        <v>7</v>
      </c>
      <c r="C22" s="1" t="s">
        <v>668</v>
      </c>
      <c r="D22" s="1">
        <v>54.934414695108501</v>
      </c>
      <c r="E22" s="1">
        <v>146.64061449293101</v>
      </c>
      <c r="F22" s="1">
        <f>Table37[[#This Row],[ARIMAPP]]*$N$5+Table37[[#This Row],[LSTMPP]]*$N$6</f>
        <v>92.162680147207993</v>
      </c>
      <c r="G22" s="1">
        <f>Table37[[#This Row],[PP]]/$N$2</f>
        <v>4.3886990546289519</v>
      </c>
      <c r="H22" s="1">
        <v>18</v>
      </c>
      <c r="I22" s="1">
        <f>Table37[[#This Row],[PPG]]*Table37[[#This Row],[Plays]]</f>
        <v>78.996582983321133</v>
      </c>
      <c r="J22" s="1">
        <v>50</v>
      </c>
      <c r="K22" s="10">
        <f>Table37[[#This Row],[APP]]/Table37[[#This Row],[Plays]]</f>
        <v>2.7777777777777777</v>
      </c>
    </row>
    <row r="23" spans="1:11" x14ac:dyDescent="0.3">
      <c r="A23" s="2" t="s">
        <v>696</v>
      </c>
      <c r="B23" s="2" t="s">
        <v>5</v>
      </c>
      <c r="C23" s="2" t="s">
        <v>668</v>
      </c>
      <c r="D23" s="2">
        <v>4.9930042262714496</v>
      </c>
      <c r="E23" s="2">
        <v>53.725508780134099</v>
      </c>
      <c r="F23" s="1">
        <f>Table37[[#This Row],[ARIMAPP]]*$N$5+Table37[[#This Row],[LSTMPP]]*$N$6</f>
        <v>27.762273118608405</v>
      </c>
      <c r="G23" s="2">
        <f>Table37[[#This Row],[PP]]/$N$2</f>
        <v>1.3220130056480193</v>
      </c>
      <c r="H23" s="2">
        <v>1</v>
      </c>
      <c r="I23" s="2">
        <f>Table37[[#This Row],[PPG]]*Table37[[#This Row],[Plays]]</f>
        <v>1.3220130056480193</v>
      </c>
      <c r="J23" s="2">
        <v>2</v>
      </c>
      <c r="K23" s="10">
        <f>Table37[[#This Row],[APP]]/Table37[[#This Row],[Plays]]</f>
        <v>2</v>
      </c>
    </row>
    <row r="24" spans="1:11" x14ac:dyDescent="0.3">
      <c r="A24" s="1" t="s">
        <v>699</v>
      </c>
      <c r="B24" s="1" t="s">
        <v>5</v>
      </c>
      <c r="C24" s="1" t="s">
        <v>668</v>
      </c>
      <c r="D24" s="1">
        <v>10.951557111260399</v>
      </c>
      <c r="E24" s="1">
        <v>111.711876496461</v>
      </c>
      <c r="F24" s="1">
        <f>Table37[[#This Row],[ARIMAPP]]*$N$5+Table37[[#This Row],[LSTMPP]]*$N$6</f>
        <v>57.952274141156373</v>
      </c>
      <c r="G24" s="1">
        <f>Table37[[#This Row],[PP]]/$N$2</f>
        <v>2.7596321019598271</v>
      </c>
      <c r="H24" s="1">
        <v>10</v>
      </c>
      <c r="I24" s="1">
        <f>Table37[[#This Row],[PPG]]*Table37[[#This Row],[Plays]]</f>
        <v>27.596321019598271</v>
      </c>
      <c r="J24" s="1">
        <v>9</v>
      </c>
      <c r="K24" s="10">
        <f>Table37[[#This Row],[APP]]/Table37[[#This Row],[Plays]]</f>
        <v>0.9</v>
      </c>
    </row>
    <row r="25" spans="1:11" x14ac:dyDescent="0.3">
      <c r="A25" s="5" t="s">
        <v>701</v>
      </c>
      <c r="B25" s="5" t="s">
        <v>4</v>
      </c>
      <c r="C25" s="5" t="s">
        <v>668</v>
      </c>
      <c r="D25" s="5">
        <v>4.1999997551026498</v>
      </c>
      <c r="E25" s="5">
        <v>34.543476830137998</v>
      </c>
      <c r="F25" s="1">
        <f>Table37[[#This Row],[ARIMAPP]]*$N$5+Table37[[#This Row],[LSTMPP]]*$N$6</f>
        <v>18.242727041209143</v>
      </c>
      <c r="G25" s="5">
        <f>Table37[[#This Row],[PP]]/$N$2</f>
        <v>0.86870128767662591</v>
      </c>
      <c r="H25" s="5">
        <v>2</v>
      </c>
      <c r="I25" s="5">
        <f>Table37[[#This Row],[PPG]]*Table37[[#This Row],[Plays]]</f>
        <v>1.7374025753532518</v>
      </c>
      <c r="J25" s="5">
        <v>2</v>
      </c>
      <c r="K25" s="12">
        <f>Table37[[#This Row],[APP]]/Table37[[#This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E219-DA2B-43AE-A32F-DAA8DEEE1A65}">
  <dimension ref="A1:N23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704</v>
      </c>
      <c r="B2" s="1" t="s">
        <v>4</v>
      </c>
      <c r="C2" s="1" t="s">
        <v>702</v>
      </c>
      <c r="D2" s="1">
        <v>62.370608598472799</v>
      </c>
      <c r="E2" s="1">
        <v>74.173723161221801</v>
      </c>
      <c r="F2" s="1">
        <f>Table38[[#This Row],[ARIMAPP]]*$N$5+Table38[[#This Row],[LSTMPP]]*$N$6</f>
        <v>68.837252561399112</v>
      </c>
      <c r="G2" s="1">
        <f>Table38[[#This Row],[PP]]/$N$2</f>
        <v>3.8242918089666174</v>
      </c>
      <c r="H2" s="1">
        <v>18</v>
      </c>
      <c r="I2" s="1">
        <f>Table38[[#This Row],[PPG]]*Table38[[#This Row],[Plays]]</f>
        <v>68.837252561399112</v>
      </c>
      <c r="J2" s="1">
        <v>81</v>
      </c>
      <c r="K2" s="11">
        <f>Table38[[#This Row],[APP]]/Table38[[#This Row],[Plays]]</f>
        <v>4.5</v>
      </c>
      <c r="M2" t="s">
        <v>846</v>
      </c>
      <c r="N2">
        <v>18</v>
      </c>
    </row>
    <row r="3" spans="1:14" x14ac:dyDescent="0.3">
      <c r="A3" s="2" t="s">
        <v>705</v>
      </c>
      <c r="B3" s="2" t="s">
        <v>7</v>
      </c>
      <c r="C3" s="2" t="s">
        <v>702</v>
      </c>
      <c r="D3" s="2">
        <v>84.363985959505499</v>
      </c>
      <c r="E3" s="2">
        <v>99.927383909480994</v>
      </c>
      <c r="F3" s="1">
        <f>Table38[[#This Row],[ARIMAPP]]*$N$5+Table38[[#This Row],[LSTMPP]]*$N$6</f>
        <v>92.885863141050379</v>
      </c>
      <c r="G3" s="2">
        <f>Table38[[#This Row],[PP]]/$N$2</f>
        <v>5.1603257300583545</v>
      </c>
      <c r="H3" s="2">
        <v>17</v>
      </c>
      <c r="I3" s="2">
        <f>Table38[[#This Row],[PPG]]*Table38[[#This Row],[Plays]]</f>
        <v>87.725537410992033</v>
      </c>
      <c r="J3" s="2">
        <v>53</v>
      </c>
      <c r="K3" s="10">
        <f>Table38[[#This Row],[APP]]/Table38[[#This Row],[Plays]]</f>
        <v>3.1176470588235294</v>
      </c>
    </row>
    <row r="4" spans="1:14" x14ac:dyDescent="0.3">
      <c r="A4" s="1" t="s">
        <v>707</v>
      </c>
      <c r="B4" s="1" t="s">
        <v>6</v>
      </c>
      <c r="C4" s="1" t="s">
        <v>702</v>
      </c>
      <c r="D4" s="1">
        <v>202.723569822191</v>
      </c>
      <c r="E4" s="1">
        <v>117.45164583822999</v>
      </c>
      <c r="F4" s="1">
        <f>Table38[[#This Row],[ARIMAPP]]*$N$5+Table38[[#This Row],[LSTMPP]]*$N$6</f>
        <v>154.48619968623902</v>
      </c>
      <c r="G4" s="1">
        <f>Table38[[#This Row],[PP]]/$N$2</f>
        <v>8.5825666492355008</v>
      </c>
      <c r="H4" s="1">
        <v>17</v>
      </c>
      <c r="I4" s="1">
        <f>Table38[[#This Row],[PPG]]*Table38[[#This Row],[Plays]]</f>
        <v>145.90363303700352</v>
      </c>
      <c r="J4" s="1">
        <v>108</v>
      </c>
      <c r="K4" s="10">
        <f>Table38[[#This Row],[APP]]/Table38[[#This Row],[Plays]]</f>
        <v>6.3529411764705879</v>
      </c>
    </row>
    <row r="5" spans="1:14" x14ac:dyDescent="0.3">
      <c r="A5" s="2" t="s">
        <v>708</v>
      </c>
      <c r="B5" s="2" t="s">
        <v>5</v>
      </c>
      <c r="C5" s="2" t="s">
        <v>702</v>
      </c>
      <c r="D5" s="2">
        <v>39.9698630980049</v>
      </c>
      <c r="E5" s="2">
        <v>44.049488246185497</v>
      </c>
      <c r="F5" s="1">
        <f>Table38[[#This Row],[ARIMAPP]]*$N$5+Table38[[#This Row],[LSTMPP]]*$N$6</f>
        <v>42.16218531343948</v>
      </c>
      <c r="G5" s="2">
        <f>Table38[[#This Row],[PP]]/$N$2</f>
        <v>2.3423436285244157</v>
      </c>
      <c r="H5" s="2">
        <v>4</v>
      </c>
      <c r="I5" s="2">
        <f>Table38[[#This Row],[PPG]]*Table38[[#This Row],[Plays]]</f>
        <v>9.3693745140976628</v>
      </c>
      <c r="J5" s="2">
        <v>4</v>
      </c>
      <c r="K5" s="10">
        <f>Table38[[#This Row],[APP]]/Table38[[#This Row],[Plays]]</f>
        <v>1</v>
      </c>
      <c r="M5" t="s">
        <v>9</v>
      </c>
      <c r="N5">
        <v>0.43751352564509022</v>
      </c>
    </row>
    <row r="6" spans="1:14" x14ac:dyDescent="0.3">
      <c r="A6" s="1" t="s">
        <v>709</v>
      </c>
      <c r="B6" s="1" t="s">
        <v>5</v>
      </c>
      <c r="C6" s="1" t="s">
        <v>702</v>
      </c>
      <c r="D6" s="1">
        <v>39.573010261384603</v>
      </c>
      <c r="E6" s="1">
        <v>74.462705040674194</v>
      </c>
      <c r="F6" s="1">
        <f>Table38[[#This Row],[ARIMAPP]]*$N$5+Table38[[#This Row],[LSTMPP]]*$N$6</f>
        <v>59.024871474065336</v>
      </c>
      <c r="G6" s="1">
        <f>Table38[[#This Row],[PP]]/$N$2</f>
        <v>3.2791595263369633</v>
      </c>
      <c r="H6" s="1">
        <v>18</v>
      </c>
      <c r="I6" s="1">
        <f>Table38[[#This Row],[PPG]]*Table38[[#This Row],[Plays]]</f>
        <v>59.024871474065336</v>
      </c>
      <c r="J6" s="1">
        <v>69</v>
      </c>
      <c r="K6" s="10">
        <f>Table38[[#This Row],[APP]]/Table38[[#This Row],[Plays]]</f>
        <v>3.8333333333333335</v>
      </c>
      <c r="M6" t="s">
        <v>10</v>
      </c>
      <c r="N6">
        <v>0.56016154948216701</v>
      </c>
    </row>
    <row r="7" spans="1:14" x14ac:dyDescent="0.3">
      <c r="A7" s="2" t="s">
        <v>711</v>
      </c>
      <c r="B7" s="2" t="s">
        <v>6</v>
      </c>
      <c r="C7" s="2" t="s">
        <v>702</v>
      </c>
      <c r="D7" s="2">
        <v>45.535805102095097</v>
      </c>
      <c r="E7" s="2">
        <v>55.461292342711801</v>
      </c>
      <c r="F7" s="1">
        <f>Table38[[#This Row],[ARIMAPP]]*$N$5+Table38[[#This Row],[LSTMPP]]*$N$6</f>
        <v>50.989814088282202</v>
      </c>
      <c r="G7" s="2">
        <f>Table38[[#This Row],[PP]]/$N$2</f>
        <v>2.8327674493490114</v>
      </c>
      <c r="H7" s="2">
        <v>17</v>
      </c>
      <c r="I7" s="2">
        <f>Table38[[#This Row],[PPG]]*Table38[[#This Row],[Plays]]</f>
        <v>48.157046638933195</v>
      </c>
      <c r="J7" s="2">
        <v>58</v>
      </c>
      <c r="K7" s="10">
        <f>Table38[[#This Row],[APP]]/Table38[[#This Row],[Plays]]</f>
        <v>3.4117647058823528</v>
      </c>
    </row>
    <row r="8" spans="1:14" x14ac:dyDescent="0.3">
      <c r="A8" s="1" t="s">
        <v>714</v>
      </c>
      <c r="B8" s="1" t="s">
        <v>6</v>
      </c>
      <c r="C8" s="1" t="s">
        <v>702</v>
      </c>
      <c r="D8" s="1">
        <v>12.6557392449135</v>
      </c>
      <c r="E8" s="1">
        <v>39.701822560909697</v>
      </c>
      <c r="F8" s="1">
        <f>Table38[[#This Row],[ARIMAPP]]*$N$5+Table38[[#This Row],[LSTMPP]]*$N$6</f>
        <v>27.776491539672268</v>
      </c>
      <c r="G8" s="1">
        <f>Table38[[#This Row],[PP]]/$N$2</f>
        <v>1.5431384188706816</v>
      </c>
      <c r="H8" s="1">
        <v>10</v>
      </c>
      <c r="I8" s="1">
        <f>Table38[[#This Row],[PPG]]*Table38[[#This Row],[Plays]]</f>
        <v>15.431384188706815</v>
      </c>
      <c r="J8" s="1">
        <v>25</v>
      </c>
      <c r="K8" s="10">
        <f>Table38[[#This Row],[APP]]/Table38[[#This Row],[Plays]]</f>
        <v>2.5</v>
      </c>
      <c r="M8" t="s">
        <v>849</v>
      </c>
      <c r="N8" cm="1">
        <f t="array" ref="N8">(SUM(Table38[Tot]-Table38[APP]))^2</f>
        <v>5.0487097934144756E-29</v>
      </c>
    </row>
    <row r="9" spans="1:14" x14ac:dyDescent="0.3">
      <c r="A9" s="2" t="s">
        <v>356</v>
      </c>
      <c r="B9" s="2" t="s">
        <v>5</v>
      </c>
      <c r="C9" s="2" t="s">
        <v>702</v>
      </c>
      <c r="D9" s="2">
        <v>23.9685588491527</v>
      </c>
      <c r="E9" s="2">
        <v>36.2995943823231</v>
      </c>
      <c r="F9" s="1">
        <f>Table38[[#This Row],[ARIMAPP]]*$N$5+Table38[[#This Row],[LSTMPP]]*$N$6</f>
        <v>30.820205721500898</v>
      </c>
      <c r="G9" s="2">
        <f>Table38[[#This Row],[PP]]/$N$2</f>
        <v>1.7122336511944942</v>
      </c>
      <c r="H9" s="2">
        <v>9</v>
      </c>
      <c r="I9" s="2">
        <f>Table38[[#This Row],[PPG]]*Table38[[#This Row],[Plays]]</f>
        <v>15.410102860750449</v>
      </c>
      <c r="J9" s="2">
        <v>37</v>
      </c>
      <c r="K9" s="10">
        <f>Table38[[#This Row],[APP]]/Table38[[#This Row],[Plays]]</f>
        <v>4.1111111111111107</v>
      </c>
    </row>
    <row r="10" spans="1:14" x14ac:dyDescent="0.3">
      <c r="A10" s="1" t="s">
        <v>716</v>
      </c>
      <c r="B10" s="1" t="s">
        <v>6</v>
      </c>
      <c r="C10" s="1" t="s">
        <v>702</v>
      </c>
      <c r="D10" s="1">
        <v>46.627310431982302</v>
      </c>
      <c r="E10" s="1">
        <v>80.012474402341496</v>
      </c>
      <c r="F10" s="1">
        <f>Table38[[#This Row],[ARIMAPP]]*$N$5+Table38[[#This Row],[LSTMPP]]*$N$6</f>
        <v>65.219990617562516</v>
      </c>
      <c r="G10" s="1">
        <f>Table38[[#This Row],[PP]]/$N$2</f>
        <v>3.6233328120868062</v>
      </c>
      <c r="H10" s="1">
        <v>17</v>
      </c>
      <c r="I10" s="1">
        <f>Table38[[#This Row],[PPG]]*Table38[[#This Row],[Plays]]</f>
        <v>61.596657805475708</v>
      </c>
      <c r="J10" s="1">
        <v>60</v>
      </c>
      <c r="K10" s="10">
        <f>Table38[[#This Row],[APP]]/Table38[[#This Row],[Plays]]</f>
        <v>3.5294117647058822</v>
      </c>
    </row>
    <row r="11" spans="1:14" x14ac:dyDescent="0.3">
      <c r="A11" s="2" t="s">
        <v>717</v>
      </c>
      <c r="B11" s="2" t="s">
        <v>6</v>
      </c>
      <c r="C11" s="2" t="s">
        <v>702</v>
      </c>
      <c r="D11" s="2">
        <v>16.4088807161191</v>
      </c>
      <c r="E11" s="2">
        <v>31.316680051669302</v>
      </c>
      <c r="F11" s="1">
        <f>Table38[[#This Row],[ARIMAPP]]*$N$5+Table38[[#This Row],[LSTMPP]]*$N$6</f>
        <v>24.721507276379345</v>
      </c>
      <c r="G11" s="2">
        <f>Table38[[#This Row],[PP]]/$N$2</f>
        <v>1.3734170709099636</v>
      </c>
      <c r="H11" s="2">
        <v>7</v>
      </c>
      <c r="I11" s="2">
        <f>Table38[[#This Row],[PPG]]*Table38[[#This Row],[Plays]]</f>
        <v>9.6139194963697445</v>
      </c>
      <c r="J11" s="2">
        <v>12</v>
      </c>
      <c r="K11" s="10">
        <f>Table38[[#This Row],[APP]]/Table38[[#This Row],[Plays]]</f>
        <v>1.7142857142857142</v>
      </c>
    </row>
    <row r="12" spans="1:14" x14ac:dyDescent="0.3">
      <c r="A12" s="1" t="s">
        <v>194</v>
      </c>
      <c r="B12" s="1" t="s">
        <v>5</v>
      </c>
      <c r="C12" s="1" t="s">
        <v>702</v>
      </c>
      <c r="D12" s="1">
        <v>35.662449990726898</v>
      </c>
      <c r="E12" s="1">
        <v>46.901097374163101</v>
      </c>
      <c r="F12" s="1">
        <f>Table38[[#This Row],[ARIMAPP]]*$N$5+Table38[[#This Row],[LSTMPP]]*$N$6</f>
        <v>41.874995606109835</v>
      </c>
      <c r="G12" s="1">
        <f>Table38[[#This Row],[PP]]/$N$2</f>
        <v>2.3263886447838797</v>
      </c>
      <c r="H12" s="1">
        <v>12</v>
      </c>
      <c r="I12" s="1">
        <f>Table38[[#This Row],[PPG]]*Table38[[#This Row],[Plays]]</f>
        <v>27.916663737406559</v>
      </c>
      <c r="J12" s="1">
        <v>63</v>
      </c>
      <c r="K12" s="10">
        <f>Table38[[#This Row],[APP]]/Table38[[#This Row],[Plays]]</f>
        <v>5.25</v>
      </c>
    </row>
    <row r="13" spans="1:14" x14ac:dyDescent="0.3">
      <c r="A13" s="2" t="s">
        <v>719</v>
      </c>
      <c r="B13" s="2" t="s">
        <v>5</v>
      </c>
      <c r="C13" s="2" t="s">
        <v>702</v>
      </c>
      <c r="D13" s="2">
        <v>3.3650336647903498</v>
      </c>
      <c r="E13" s="2">
        <v>23.370492025369501</v>
      </c>
      <c r="F13" s="1">
        <f>Table38[[#This Row],[ARIMAPP]]*$N$5+Table38[[#This Row],[LSTMPP]]*$N$6</f>
        <v>14.563498767688451</v>
      </c>
      <c r="G13" s="2">
        <f>Table38[[#This Row],[PP]]/$N$2</f>
        <v>0.80908326487158055</v>
      </c>
      <c r="H13" s="2">
        <v>3</v>
      </c>
      <c r="I13" s="2">
        <f>Table38[[#This Row],[PPG]]*Table38[[#This Row],[Plays]]</f>
        <v>2.4272497946147418</v>
      </c>
      <c r="J13" s="2">
        <v>8</v>
      </c>
      <c r="K13" s="10">
        <f>Table38[[#This Row],[APP]]/Table38[[#This Row],[Plays]]</f>
        <v>2.6666666666666665</v>
      </c>
    </row>
    <row r="14" spans="1:14" x14ac:dyDescent="0.3">
      <c r="A14" s="1" t="s">
        <v>720</v>
      </c>
      <c r="B14" s="1" t="s">
        <v>6</v>
      </c>
      <c r="C14" s="1" t="s">
        <v>702</v>
      </c>
      <c r="D14" s="1">
        <v>32.5793062342197</v>
      </c>
      <c r="E14" s="1">
        <v>49.184513729898597</v>
      </c>
      <c r="F14" s="1">
        <f>Table38[[#This Row],[ARIMAPP]]*$N$5+Table38[[#This Row],[LSTMPP]]*$N$6</f>
        <v>41.805160555071446</v>
      </c>
      <c r="G14" s="1">
        <f>Table38[[#This Row],[PP]]/$N$2</f>
        <v>2.3225089197261912</v>
      </c>
      <c r="H14" s="1">
        <v>8</v>
      </c>
      <c r="I14" s="1">
        <f>Table38[[#This Row],[PPG]]*Table38[[#This Row],[Plays]]</f>
        <v>18.58007135780953</v>
      </c>
      <c r="J14" s="1">
        <v>20</v>
      </c>
      <c r="K14" s="10">
        <f>Table38[[#This Row],[APP]]/Table38[[#This Row],[Plays]]</f>
        <v>2.5</v>
      </c>
    </row>
    <row r="15" spans="1:14" x14ac:dyDescent="0.3">
      <c r="A15" s="2" t="s">
        <v>722</v>
      </c>
      <c r="B15" s="2" t="s">
        <v>5</v>
      </c>
      <c r="C15" s="2" t="s">
        <v>702</v>
      </c>
      <c r="D15" s="2">
        <v>55.8030070830985</v>
      </c>
      <c r="E15" s="2">
        <v>81.086958032328099</v>
      </c>
      <c r="F15" s="1">
        <f>Table38[[#This Row],[ARIMAPP]]*$N$5+Table38[[#This Row],[LSTMPP]]*$N$6</f>
        <v>69.836366424708729</v>
      </c>
      <c r="G15" s="2">
        <f>Table38[[#This Row],[PP]]/$N$2</f>
        <v>3.8797981347060406</v>
      </c>
      <c r="H15" s="2">
        <v>17</v>
      </c>
      <c r="I15" s="2">
        <f>Table38[[#This Row],[PPG]]*Table38[[#This Row],[Plays]]</f>
        <v>65.956568290002693</v>
      </c>
      <c r="J15" s="2">
        <v>76</v>
      </c>
      <c r="K15" s="10">
        <f>Table38[[#This Row],[APP]]/Table38[[#This Row],[Plays]]</f>
        <v>4.4705882352941178</v>
      </c>
    </row>
    <row r="16" spans="1:14" x14ac:dyDescent="0.3">
      <c r="A16" s="1" t="s">
        <v>724</v>
      </c>
      <c r="B16" s="1" t="s">
        <v>5</v>
      </c>
      <c r="C16" s="1" t="s">
        <v>702</v>
      </c>
      <c r="D16" s="1">
        <v>31.999999999999901</v>
      </c>
      <c r="E16" s="1">
        <v>38.714518784492</v>
      </c>
      <c r="F16" s="1">
        <f>Table38[[#This Row],[ARIMAPP]]*$N$5+Table38[[#This Row],[LSTMPP]]*$N$6</f>
        <v>35.686817650420338</v>
      </c>
      <c r="G16" s="1">
        <f>Table38[[#This Row],[PP]]/$N$2</f>
        <v>1.9826009805789075</v>
      </c>
      <c r="H16" s="1">
        <v>9</v>
      </c>
      <c r="I16" s="1">
        <f>Table38[[#This Row],[PPG]]*Table38[[#This Row],[Plays]]</f>
        <v>17.843408825210169</v>
      </c>
      <c r="J16" s="1">
        <v>29</v>
      </c>
      <c r="K16" s="10">
        <f>Table38[[#This Row],[APP]]/Table38[[#This Row],[Plays]]</f>
        <v>3.2222222222222223</v>
      </c>
    </row>
    <row r="17" spans="1:11" x14ac:dyDescent="0.3">
      <c r="A17" s="2" t="s">
        <v>726</v>
      </c>
      <c r="B17" s="2" t="s">
        <v>6</v>
      </c>
      <c r="C17" s="2" t="s">
        <v>702</v>
      </c>
      <c r="D17" s="2">
        <v>17.540084272785101</v>
      </c>
      <c r="E17" s="2">
        <v>32.887947929850199</v>
      </c>
      <c r="F17" s="1">
        <f>Table38[[#This Row],[ARIMAPP]]*$N$5+Table38[[#This Row],[LSTMPP]]*$N$6</f>
        <v>26.096587981971922</v>
      </c>
      <c r="G17" s="2">
        <f>Table38[[#This Row],[PP]]/$N$2</f>
        <v>1.4498104434428845</v>
      </c>
      <c r="H17" s="2">
        <v>8</v>
      </c>
      <c r="I17" s="2">
        <f>Table38[[#This Row],[PPG]]*Table38[[#This Row],[Plays]]</f>
        <v>11.598483547543076</v>
      </c>
      <c r="J17" s="2">
        <v>10</v>
      </c>
      <c r="K17" s="10">
        <f>Table38[[#This Row],[APP]]/Table38[[#This Row],[Plays]]</f>
        <v>1.25</v>
      </c>
    </row>
    <row r="18" spans="1:11" x14ac:dyDescent="0.3">
      <c r="A18" s="1" t="s">
        <v>728</v>
      </c>
      <c r="B18" s="1" t="s">
        <v>6</v>
      </c>
      <c r="C18" s="1" t="s">
        <v>702</v>
      </c>
      <c r="D18" s="1">
        <v>29.627248070373501</v>
      </c>
      <c r="E18" s="1">
        <v>29.663372654657799</v>
      </c>
      <c r="F18" s="1">
        <f>Table38[[#This Row],[ARIMAPP]]*$N$5+Table38[[#This Row],[LSTMPP]]*$N$6</f>
        <v>29.578602547530863</v>
      </c>
      <c r="G18" s="1">
        <f>Table38[[#This Row],[PP]]/$N$2</f>
        <v>1.643255697085048</v>
      </c>
      <c r="H18" s="1">
        <v>16</v>
      </c>
      <c r="I18" s="1">
        <f>Table38[[#This Row],[PPG]]*Table38[[#This Row],[Plays]]</f>
        <v>26.292091153360769</v>
      </c>
      <c r="J18" s="1">
        <v>31</v>
      </c>
      <c r="K18" s="10">
        <f>Table38[[#This Row],[APP]]/Table38[[#This Row],[Plays]]</f>
        <v>1.9375</v>
      </c>
    </row>
    <row r="19" spans="1:11" x14ac:dyDescent="0.3">
      <c r="A19" s="2" t="s">
        <v>729</v>
      </c>
      <c r="B19" s="2" t="s">
        <v>5</v>
      </c>
      <c r="C19" s="2" t="s">
        <v>702</v>
      </c>
      <c r="D19" s="2">
        <v>22.9574463540701</v>
      </c>
      <c r="E19" s="2">
        <v>52.446803929101399</v>
      </c>
      <c r="F19" s="1">
        <f>Table38[[#This Row],[ARIMAPP]]*$N$5+Table38[[#This Row],[LSTMPP]]*$N$6</f>
        <v>39.422876248490077</v>
      </c>
      <c r="G19" s="2">
        <f>Table38[[#This Row],[PP]]/$N$2</f>
        <v>2.190159791582782</v>
      </c>
      <c r="H19" s="2">
        <v>1</v>
      </c>
      <c r="I19" s="2">
        <f>Table38[[#This Row],[PPG]]*Table38[[#This Row],[Plays]]</f>
        <v>2.190159791582782</v>
      </c>
      <c r="J19" s="2">
        <v>1</v>
      </c>
      <c r="K19" s="10">
        <f>Table38[[#This Row],[APP]]/Table38[[#This Row],[Plays]]</f>
        <v>1</v>
      </c>
    </row>
    <row r="20" spans="1:11" x14ac:dyDescent="0.3">
      <c r="A20" s="1" t="s">
        <v>731</v>
      </c>
      <c r="B20" s="1" t="s">
        <v>6</v>
      </c>
      <c r="C20" s="1" t="s">
        <v>702</v>
      </c>
      <c r="D20" s="1">
        <v>31.255722019614701</v>
      </c>
      <c r="E20" s="1">
        <v>42.188827583047299</v>
      </c>
      <c r="F20" s="1">
        <f>Table38[[#This Row],[ARIMAPP]]*$N$5+Table38[[#This Row],[LSTMPP]]*$N$6</f>
        <v>37.307360167140267</v>
      </c>
      <c r="G20" s="1">
        <f>Table38[[#This Row],[PP]]/$N$2</f>
        <v>2.0726311203966814</v>
      </c>
      <c r="H20" s="1">
        <v>9</v>
      </c>
      <c r="I20" s="1">
        <f>Table38[[#This Row],[PPG]]*Table38[[#This Row],[Plays]]</f>
        <v>18.653680083570134</v>
      </c>
      <c r="J20" s="1">
        <v>22</v>
      </c>
      <c r="K20" s="10">
        <f>Table38[[#This Row],[APP]]/Table38[[#This Row],[Plays]]</f>
        <v>2.4444444444444446</v>
      </c>
    </row>
    <row r="21" spans="1:11" x14ac:dyDescent="0.3">
      <c r="A21" s="2" t="s">
        <v>149</v>
      </c>
      <c r="B21" s="2" t="s">
        <v>6</v>
      </c>
      <c r="C21" s="2" t="s">
        <v>702</v>
      </c>
      <c r="D21" s="2">
        <v>8.0002436232229108</v>
      </c>
      <c r="E21" s="2">
        <v>90.738440492827095</v>
      </c>
      <c r="F21" s="1">
        <f>Table38[[#This Row],[ARIMAPP]]*$N$5+Table38[[#This Row],[LSTMPP]]*$N$6</f>
        <v>54.328400217673334</v>
      </c>
      <c r="G21" s="2">
        <f>Table38[[#This Row],[PP]]/$N$2</f>
        <v>3.0182444565374076</v>
      </c>
      <c r="H21" s="2">
        <v>8</v>
      </c>
      <c r="I21" s="2">
        <f>Table38[[#This Row],[PPG]]*Table38[[#This Row],[Plays]]</f>
        <v>24.145955652299261</v>
      </c>
      <c r="J21" s="2">
        <v>8</v>
      </c>
      <c r="K21" s="10">
        <f>Table38[[#This Row],[APP]]/Table38[[#This Row],[Plays]]</f>
        <v>1</v>
      </c>
    </row>
    <row r="22" spans="1:11" x14ac:dyDescent="0.3">
      <c r="A22" s="1" t="s">
        <v>734</v>
      </c>
      <c r="B22" s="1" t="s">
        <v>5</v>
      </c>
      <c r="C22" s="1" t="s">
        <v>702</v>
      </c>
      <c r="D22" s="1">
        <v>13.0001839883149</v>
      </c>
      <c r="E22" s="1">
        <v>89.799985856366106</v>
      </c>
      <c r="F22" s="1">
        <f>Table38[[#This Row],[ARIMAPP]]*$N$5+Table38[[#This Row],[LSTMPP]]*$N$6</f>
        <v>55.990255551541225</v>
      </c>
      <c r="G22" s="1">
        <f>Table38[[#This Row],[PP]]/$N$2</f>
        <v>3.1105697528634013</v>
      </c>
      <c r="H22" s="1">
        <v>7</v>
      </c>
      <c r="I22" s="1">
        <f>Table38[[#This Row],[PPG]]*Table38[[#This Row],[Plays]]</f>
        <v>21.773988270043809</v>
      </c>
      <c r="J22" s="1">
        <v>13</v>
      </c>
      <c r="K22" s="10">
        <f>Table38[[#This Row],[APP]]/Table38[[#This Row],[Plays]]</f>
        <v>1.8571428571428572</v>
      </c>
    </row>
    <row r="23" spans="1:11" x14ac:dyDescent="0.3">
      <c r="A23" s="5" t="s">
        <v>737</v>
      </c>
      <c r="B23" s="5" t="s">
        <v>5</v>
      </c>
      <c r="C23" s="5" t="s">
        <v>702</v>
      </c>
      <c r="D23" s="5">
        <v>47.496163384533403</v>
      </c>
      <c r="E23" s="5">
        <v>131.72363242544299</v>
      </c>
      <c r="F23" s="1">
        <f>Table38[[#This Row],[ARIMAPP]]*$N$5+Table38[[#This Row],[LSTMPP]]*$N$6</f>
        <v>94.566727939838003</v>
      </c>
      <c r="G23" s="5">
        <f>Table38[[#This Row],[PP]]/$N$2</f>
        <v>5.2537071077687783</v>
      </c>
      <c r="H23" s="5">
        <v>14</v>
      </c>
      <c r="I23" s="5">
        <f>Table38[[#This Row],[PPG]]*Table38[[#This Row],[Plays]]</f>
        <v>73.551899508762901</v>
      </c>
      <c r="J23" s="5">
        <v>44</v>
      </c>
      <c r="K23" s="12">
        <f>Table38[[#This Row],[APP]]/Table38[[#This Row],[Plays]]</f>
        <v>3.1428571428571428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56F-F70A-4186-A773-B26B3DD1B0DA}">
  <dimension ref="A1:N26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738</v>
      </c>
      <c r="B2" s="1" t="s">
        <v>6</v>
      </c>
      <c r="C2" s="1" t="s">
        <v>739</v>
      </c>
      <c r="D2" s="1">
        <v>32.802684596750403</v>
      </c>
      <c r="E2" s="1">
        <v>43.524126932794701</v>
      </c>
      <c r="F2" s="1">
        <f>Table39[[#This Row],[ARIMAPP]]*$N$5+Table39[[#This Row],[LSTMPP]]*$N$6</f>
        <v>24.229886656315131</v>
      </c>
      <c r="G2" s="1">
        <f>Table39[[#This Row],[PP]]/$N$2</f>
        <v>1.2752571924376384</v>
      </c>
      <c r="H2" s="1">
        <v>17</v>
      </c>
      <c r="I2" s="1">
        <f>Table39[[#This Row],[PPG]]*Table39[[#This Row],[Plays]]</f>
        <v>21.679372271439853</v>
      </c>
      <c r="J2" s="1">
        <v>35</v>
      </c>
      <c r="K2" s="7">
        <f>Table39[[#This Row],[APP]]/Table39[[#This Row],[Plays]]</f>
        <v>2.0588235294117645</v>
      </c>
      <c r="M2" t="s">
        <v>846</v>
      </c>
      <c r="N2">
        <v>19</v>
      </c>
    </row>
    <row r="3" spans="1:14" x14ac:dyDescent="0.3">
      <c r="A3" s="2" t="s">
        <v>740</v>
      </c>
      <c r="B3" s="2" t="s">
        <v>4</v>
      </c>
      <c r="C3" s="2" t="s">
        <v>739</v>
      </c>
      <c r="D3" s="2">
        <v>55.125433809721002</v>
      </c>
      <c r="E3" s="2">
        <v>70.854091490316094</v>
      </c>
      <c r="F3" s="1">
        <f>Table39[[#This Row],[ARIMAPP]]*$N$5+Table39[[#This Row],[LSTMPP]]*$N$6</f>
        <v>40.071236796767558</v>
      </c>
      <c r="G3" s="2">
        <f>Table39[[#This Row],[PP]]/$N$2</f>
        <v>2.1090124629877662</v>
      </c>
      <c r="H3" s="2">
        <v>9</v>
      </c>
      <c r="I3" s="2">
        <f>Table39[[#This Row],[PPG]]*Table39[[#This Row],[Plays]]</f>
        <v>18.981112166889897</v>
      </c>
      <c r="J3" s="2">
        <v>30</v>
      </c>
      <c r="K3" s="6">
        <f>Table39[[#This Row],[APP]]/Table39[[#This Row],[Plays]]</f>
        <v>3.3333333333333335</v>
      </c>
    </row>
    <row r="4" spans="1:14" x14ac:dyDescent="0.3">
      <c r="A4" s="1" t="s">
        <v>741</v>
      </c>
      <c r="B4" s="1" t="s">
        <v>5</v>
      </c>
      <c r="C4" s="1" t="s">
        <v>739</v>
      </c>
      <c r="D4" s="1">
        <v>11.266059635061699</v>
      </c>
      <c r="E4" s="1">
        <v>52.756515457908201</v>
      </c>
      <c r="F4" s="1">
        <f>Table39[[#This Row],[ARIMAPP]]*$N$5+Table39[[#This Row],[LSTMPP]]*$N$6</f>
        <v>19.016758640747284</v>
      </c>
      <c r="G4" s="1">
        <f>Table39[[#This Row],[PP]]/$N$2</f>
        <v>1.0008820337235413</v>
      </c>
      <c r="H4" s="1">
        <v>8</v>
      </c>
      <c r="I4" s="1">
        <f>Table39[[#This Row],[PPG]]*Table39[[#This Row],[Plays]]</f>
        <v>8.0070562697883307</v>
      </c>
      <c r="J4" s="1">
        <v>7</v>
      </c>
      <c r="K4" s="6">
        <f>Table39[[#This Row],[APP]]/Table39[[#This Row],[Plays]]</f>
        <v>0.875</v>
      </c>
    </row>
    <row r="5" spans="1:14" x14ac:dyDescent="0.3">
      <c r="A5" s="2" t="s">
        <v>742</v>
      </c>
      <c r="B5" s="2" t="s">
        <v>6</v>
      </c>
      <c r="C5" s="2" t="s">
        <v>739</v>
      </c>
      <c r="D5" s="2">
        <v>17.553100531082698</v>
      </c>
      <c r="E5" s="2">
        <v>51.354436305655703</v>
      </c>
      <c r="F5" s="1">
        <f>Table39[[#This Row],[ARIMAPP]]*$N$5+Table39[[#This Row],[LSTMPP]]*$N$6</f>
        <v>20.904369816975578</v>
      </c>
      <c r="G5" s="2">
        <f>Table39[[#This Row],[PP]]/$N$2</f>
        <v>1.1002299903671358</v>
      </c>
      <c r="H5" s="2">
        <v>1</v>
      </c>
      <c r="I5" s="2">
        <f>Table39[[#This Row],[PPG]]*Table39[[#This Row],[Plays]]</f>
        <v>1.1002299903671358</v>
      </c>
      <c r="J5" s="2">
        <v>1</v>
      </c>
      <c r="K5" s="6">
        <f>Table39[[#This Row],[APP]]/Table39[[#This Row],[Plays]]</f>
        <v>1</v>
      </c>
      <c r="M5" t="s">
        <v>9</v>
      </c>
      <c r="N5">
        <v>0.36332282385572345</v>
      </c>
    </row>
    <row r="6" spans="1:14" x14ac:dyDescent="0.3">
      <c r="A6" s="1" t="s">
        <v>744</v>
      </c>
      <c r="B6" s="1" t="s">
        <v>5</v>
      </c>
      <c r="C6" s="1" t="s">
        <v>739</v>
      </c>
      <c r="D6" s="1">
        <v>30.756135621898899</v>
      </c>
      <c r="E6" s="1">
        <v>58.845189229394698</v>
      </c>
      <c r="F6" s="1">
        <f>Table39[[#This Row],[ARIMAPP]]*$N$5+Table39[[#This Row],[LSTMPP]]*$N$6</f>
        <v>27.820286610091344</v>
      </c>
      <c r="G6" s="1">
        <f>Table39[[#This Row],[PP]]/$N$2</f>
        <v>1.4642256110574392</v>
      </c>
      <c r="H6" s="1">
        <v>17</v>
      </c>
      <c r="I6" s="1">
        <f>Table39[[#This Row],[PPG]]*Table39[[#This Row],[Plays]]</f>
        <v>24.891835387976467</v>
      </c>
      <c r="J6" s="1">
        <v>21</v>
      </c>
      <c r="K6" s="6">
        <f>Table39[[#This Row],[APP]]/Table39[[#This Row],[Plays]]</f>
        <v>1.2352941176470589</v>
      </c>
      <c r="M6" t="s">
        <v>10</v>
      </c>
      <c r="N6">
        <v>0.28287580995216477</v>
      </c>
    </row>
    <row r="7" spans="1:14" x14ac:dyDescent="0.3">
      <c r="A7" s="2" t="s">
        <v>745</v>
      </c>
      <c r="B7" s="2" t="s">
        <v>6</v>
      </c>
      <c r="C7" s="2" t="s">
        <v>739</v>
      </c>
      <c r="D7" s="2">
        <v>18.8132482509833</v>
      </c>
      <c r="E7" s="2">
        <v>50.6972755227631</v>
      </c>
      <c r="F7" s="1">
        <f>Table39[[#This Row],[ARIMAPP]]*$N$5+Table39[[#This Row],[LSTMPP]]*$N$6</f>
        <v>21.176315356315669</v>
      </c>
      <c r="G7" s="2">
        <f>Table39[[#This Row],[PP]]/$N$2</f>
        <v>1.1145429134902984</v>
      </c>
      <c r="H7" s="2">
        <v>14</v>
      </c>
      <c r="I7" s="2">
        <f>Table39[[#This Row],[PPG]]*Table39[[#This Row],[Plays]]</f>
        <v>15.603600788864178</v>
      </c>
      <c r="J7" s="2">
        <v>24</v>
      </c>
      <c r="K7" s="6">
        <f>Table39[[#This Row],[APP]]/Table39[[#This Row],[Plays]]</f>
        <v>1.7142857142857142</v>
      </c>
    </row>
    <row r="8" spans="1:14" x14ac:dyDescent="0.3">
      <c r="A8" s="1" t="s">
        <v>747</v>
      </c>
      <c r="B8" s="1" t="s">
        <v>5</v>
      </c>
      <c r="C8" s="1" t="s">
        <v>739</v>
      </c>
      <c r="D8" s="1">
        <v>41.75</v>
      </c>
      <c r="E8" s="1">
        <v>54.945235180763</v>
      </c>
      <c r="F8" s="1">
        <f>Table39[[#This Row],[ARIMAPP]]*$N$5+Table39[[#This Row],[LSTMPP]]*$N$6</f>
        <v>30.711405800746967</v>
      </c>
      <c r="G8" s="1">
        <f>Table39[[#This Row],[PP]]/$N$2</f>
        <v>1.6163897789866823</v>
      </c>
      <c r="H8" s="1">
        <v>12</v>
      </c>
      <c r="I8" s="1">
        <f>Table39[[#This Row],[PPG]]*Table39[[#This Row],[Plays]]</f>
        <v>19.396677347840189</v>
      </c>
      <c r="J8" s="1">
        <v>20</v>
      </c>
      <c r="K8" s="6">
        <f>Table39[[#This Row],[APP]]/Table39[[#This Row],[Plays]]</f>
        <v>1.6666666666666667</v>
      </c>
      <c r="M8" t="s">
        <v>849</v>
      </c>
      <c r="N8" cm="1">
        <f t="array" ref="N8">(SUM(Table39[Tot]-Table39[APP]))^2</f>
        <v>9.5452169531742428E-27</v>
      </c>
    </row>
    <row r="9" spans="1:14" x14ac:dyDescent="0.3">
      <c r="A9" s="2" t="s">
        <v>748</v>
      </c>
      <c r="B9" s="2" t="s">
        <v>5</v>
      </c>
      <c r="C9" s="2" t="s">
        <v>739</v>
      </c>
      <c r="D9" s="2">
        <v>24.9527377249116</v>
      </c>
      <c r="E9" s="2">
        <v>52.330164687185501</v>
      </c>
      <c r="F9" s="1">
        <f>Table39[[#This Row],[ARIMAPP]]*$N$5+Table39[[#This Row],[LSTMPP]]*$N$6</f>
        <v>23.868836853963892</v>
      </c>
      <c r="G9" s="2">
        <f>Table39[[#This Row],[PP]]/$N$2</f>
        <v>1.2562545712612574</v>
      </c>
      <c r="H9" s="2">
        <v>3</v>
      </c>
      <c r="I9" s="2">
        <f>Table39[[#This Row],[PPG]]*Table39[[#This Row],[Plays]]</f>
        <v>3.7687637137837724</v>
      </c>
      <c r="J9" s="2">
        <v>3</v>
      </c>
      <c r="K9" s="6">
        <f>Table39[[#This Row],[APP]]/Table39[[#This Row],[Plays]]</f>
        <v>1</v>
      </c>
    </row>
    <row r="10" spans="1:14" x14ac:dyDescent="0.3">
      <c r="A10" s="1" t="s">
        <v>749</v>
      </c>
      <c r="B10" s="1" t="s">
        <v>5</v>
      </c>
      <c r="C10" s="1" t="s">
        <v>739</v>
      </c>
      <c r="D10" s="1">
        <v>30.724682449353899</v>
      </c>
      <c r="E10" s="1">
        <v>136.36956793280299</v>
      </c>
      <c r="F10" s="1">
        <f>Table39[[#This Row],[ARIMAPP]]*$N$5+Table39[[#This Row],[LSTMPP]]*$N$6</f>
        <v>49.738630371388048</v>
      </c>
      <c r="G10" s="1">
        <f>Table39[[#This Row],[PP]]/$N$2</f>
        <v>2.6178226511256866</v>
      </c>
      <c r="H10" s="1">
        <v>16</v>
      </c>
      <c r="I10" s="1">
        <f>Table39[[#This Row],[PPG]]*Table39[[#This Row],[Plays]]</f>
        <v>41.885162418010985</v>
      </c>
      <c r="J10" s="1">
        <v>17</v>
      </c>
      <c r="K10" s="6">
        <f>Table39[[#This Row],[APP]]/Table39[[#This Row],[Plays]]</f>
        <v>1.0625</v>
      </c>
    </row>
    <row r="11" spans="1:14" x14ac:dyDescent="0.3">
      <c r="A11" s="2" t="s">
        <v>750</v>
      </c>
      <c r="B11" s="2" t="s">
        <v>4</v>
      </c>
      <c r="C11" s="2" t="s">
        <v>739</v>
      </c>
      <c r="D11" s="2">
        <v>68.571783888608707</v>
      </c>
      <c r="E11" s="2">
        <v>138.27486936695601</v>
      </c>
      <c r="F11" s="1">
        <f>Table39[[#This Row],[ARIMAPP]]*$N$5+Table39[[#This Row],[LSTMPP]]*$N$6</f>
        <v>64.028309827441177</v>
      </c>
      <c r="G11" s="2">
        <f>Table39[[#This Row],[PP]]/$N$2</f>
        <v>3.3699110435495356</v>
      </c>
      <c r="H11" s="2">
        <v>10</v>
      </c>
      <c r="I11" s="2">
        <f>Table39[[#This Row],[PPG]]*Table39[[#This Row],[Plays]]</f>
        <v>33.699110435495356</v>
      </c>
      <c r="J11" s="2">
        <v>21</v>
      </c>
      <c r="K11" s="6">
        <f>Table39[[#This Row],[APP]]/Table39[[#This Row],[Plays]]</f>
        <v>2.1</v>
      </c>
    </row>
    <row r="12" spans="1:14" x14ac:dyDescent="0.3">
      <c r="A12" s="1" t="s">
        <v>751</v>
      </c>
      <c r="B12" s="1" t="s">
        <v>5</v>
      </c>
      <c r="C12" s="1" t="s">
        <v>739</v>
      </c>
      <c r="D12" s="1">
        <v>22.127835115404199</v>
      </c>
      <c r="E12" s="1">
        <v>54.492697667727803</v>
      </c>
      <c r="F12" s="1">
        <f>Table39[[#This Row],[ARIMAPP]]*$N$5+Table39[[#This Row],[LSTMPP]]*$N$6</f>
        <v>23.454213529179434</v>
      </c>
      <c r="G12" s="1">
        <f>Table39[[#This Row],[PP]]/$N$2</f>
        <v>1.2344322910094438</v>
      </c>
      <c r="H12" s="1">
        <v>11</v>
      </c>
      <c r="I12" s="1">
        <f>Table39[[#This Row],[PPG]]*Table39[[#This Row],[Plays]]</f>
        <v>13.578755201103883</v>
      </c>
      <c r="J12" s="1">
        <v>12</v>
      </c>
      <c r="K12" s="6">
        <f>Table39[[#This Row],[APP]]/Table39[[#This Row],[Plays]]</f>
        <v>1.0909090909090908</v>
      </c>
    </row>
    <row r="13" spans="1:14" x14ac:dyDescent="0.3">
      <c r="A13" s="2" t="s">
        <v>753</v>
      </c>
      <c r="B13" s="2" t="s">
        <v>6</v>
      </c>
      <c r="C13" s="2" t="s">
        <v>739</v>
      </c>
      <c r="D13" s="2">
        <v>30.665795714173001</v>
      </c>
      <c r="E13" s="2">
        <v>41.659918914555497</v>
      </c>
      <c r="F13" s="1">
        <f>Table39[[#This Row],[ARIMAPP]]*$N$5+Table39[[#This Row],[LSTMPP]]*$N$6</f>
        <v>22.926166800152473</v>
      </c>
      <c r="G13" s="2">
        <f>Table39[[#This Row],[PP]]/$N$2</f>
        <v>1.2066403579027618</v>
      </c>
      <c r="H13" s="2">
        <v>9</v>
      </c>
      <c r="I13" s="2">
        <f>Table39[[#This Row],[PPG]]*Table39[[#This Row],[Plays]]</f>
        <v>10.859763221124856</v>
      </c>
      <c r="J13" s="2">
        <v>11</v>
      </c>
      <c r="K13" s="6">
        <f>Table39[[#This Row],[APP]]/Table39[[#This Row],[Plays]]</f>
        <v>1.2222222222222223</v>
      </c>
    </row>
    <row r="14" spans="1:14" x14ac:dyDescent="0.3">
      <c r="A14" s="1" t="s">
        <v>754</v>
      </c>
      <c r="B14" s="1" t="s">
        <v>7</v>
      </c>
      <c r="C14" s="1" t="s">
        <v>739</v>
      </c>
      <c r="D14" s="1">
        <v>3.1668877717184598</v>
      </c>
      <c r="E14" s="1">
        <v>85.500384769709299</v>
      </c>
      <c r="F14" s="1">
        <f>Table39[[#This Row],[ARIMAPP]]*$N$5+Table39[[#This Row],[LSTMPP]]*$N$6</f>
        <v>25.33659320100816</v>
      </c>
      <c r="G14" s="1">
        <f>Table39[[#This Row],[PP]]/$N$2</f>
        <v>1.3335049053162189</v>
      </c>
      <c r="H14" s="1">
        <v>3</v>
      </c>
      <c r="I14" s="1">
        <f>Table39[[#This Row],[PPG]]*Table39[[#This Row],[Plays]]</f>
        <v>4.0005147159486567</v>
      </c>
      <c r="J14" s="1">
        <v>3</v>
      </c>
      <c r="K14" s="6">
        <f>Table39[[#This Row],[APP]]/Table39[[#This Row],[Plays]]</f>
        <v>1</v>
      </c>
    </row>
    <row r="15" spans="1:14" x14ac:dyDescent="0.3">
      <c r="A15" s="2" t="s">
        <v>755</v>
      </c>
      <c r="B15" s="2" t="s">
        <v>5</v>
      </c>
      <c r="C15" s="2" t="s">
        <v>739</v>
      </c>
      <c r="D15" s="2">
        <v>3.39844126989522</v>
      </c>
      <c r="E15" s="2">
        <v>91.2358452770642</v>
      </c>
      <c r="F15" s="1">
        <f>Table39[[#This Row],[ARIMAPP]]*$N$5+Table39[[#This Row],[LSTMPP]]*$N$6</f>
        <v>27.043144908306086</v>
      </c>
      <c r="G15" s="2">
        <f>Table39[[#This Row],[PP]]/$N$2</f>
        <v>1.4233234162266362</v>
      </c>
      <c r="H15" s="2">
        <v>5</v>
      </c>
      <c r="I15" s="2">
        <f>Table39[[#This Row],[PPG]]*Table39[[#This Row],[Plays]]</f>
        <v>7.1166170811331808</v>
      </c>
      <c r="J15" s="2">
        <v>5</v>
      </c>
      <c r="K15" s="6">
        <f>Table39[[#This Row],[APP]]/Table39[[#This Row],[Plays]]</f>
        <v>1</v>
      </c>
    </row>
    <row r="16" spans="1:14" x14ac:dyDescent="0.3">
      <c r="A16" s="1" t="s">
        <v>289</v>
      </c>
      <c r="B16" s="1" t="s">
        <v>6</v>
      </c>
      <c r="C16" s="1" t="s">
        <v>739</v>
      </c>
      <c r="D16" s="1">
        <v>56.862812276939898</v>
      </c>
      <c r="E16" s="1">
        <v>148.19442167595099</v>
      </c>
      <c r="F16" s="1">
        <f>Table39[[#This Row],[ARIMAPP]]*$N$5+Table39[[#This Row],[LSTMPP]]*$N$6</f>
        <v>62.580174590812987</v>
      </c>
      <c r="G16" s="1">
        <f>Table39[[#This Row],[PP]]/$N$2</f>
        <v>3.293693399516473</v>
      </c>
      <c r="H16" s="1">
        <v>12</v>
      </c>
      <c r="I16" s="1">
        <f>Table39[[#This Row],[PPG]]*Table39[[#This Row],[Plays]]</f>
        <v>39.524320794197678</v>
      </c>
      <c r="J16" s="1">
        <v>53</v>
      </c>
      <c r="K16" s="6">
        <f>Table39[[#This Row],[APP]]/Table39[[#This Row],[Plays]]</f>
        <v>4.416666666666667</v>
      </c>
    </row>
    <row r="17" spans="1:11" x14ac:dyDescent="0.3">
      <c r="A17" s="2" t="s">
        <v>757</v>
      </c>
      <c r="B17" s="2" t="s">
        <v>5</v>
      </c>
      <c r="C17" s="2" t="s">
        <v>739</v>
      </c>
      <c r="D17" s="2">
        <v>10.0177381994295</v>
      </c>
      <c r="E17" s="2">
        <v>68.986758918477804</v>
      </c>
      <c r="F17" s="1">
        <f>Table39[[#This Row],[ARIMAPP]]*$N$5+Table39[[#This Row],[LSTMPP]]*$N$6</f>
        <v>23.15435823630321</v>
      </c>
      <c r="G17" s="2">
        <f>Table39[[#This Row],[PP]]/$N$2</f>
        <v>1.2186504334896426</v>
      </c>
      <c r="H17" s="2">
        <v>11</v>
      </c>
      <c r="I17" s="2">
        <f>Table39[[#This Row],[PPG]]*Table39[[#This Row],[Plays]]</f>
        <v>13.405154768386069</v>
      </c>
      <c r="J17" s="2">
        <v>13</v>
      </c>
      <c r="K17" s="6">
        <f>Table39[[#This Row],[APP]]/Table39[[#This Row],[Plays]]</f>
        <v>1.1818181818181819</v>
      </c>
    </row>
    <row r="18" spans="1:11" x14ac:dyDescent="0.3">
      <c r="A18" s="1" t="s">
        <v>759</v>
      </c>
      <c r="B18" s="1" t="s">
        <v>6</v>
      </c>
      <c r="C18" s="1" t="s">
        <v>739</v>
      </c>
      <c r="D18" s="1">
        <v>3.5015281285596198</v>
      </c>
      <c r="E18" s="1">
        <v>129.981190683672</v>
      </c>
      <c r="F18" s="1">
        <f>Table39[[#This Row],[ARIMAPP]]*$N$5+Table39[[#This Row],[LSTMPP]]*$N$6</f>
        <v>38.040719680669014</v>
      </c>
      <c r="G18" s="1">
        <f>Table39[[#This Row],[PP]]/$N$2</f>
        <v>2.002143141087843</v>
      </c>
      <c r="H18" s="1">
        <v>7</v>
      </c>
      <c r="I18" s="1">
        <f>Table39[[#This Row],[PPG]]*Table39[[#This Row],[Plays]]</f>
        <v>14.015001987614902</v>
      </c>
      <c r="J18" s="1">
        <v>9</v>
      </c>
      <c r="K18" s="6">
        <f>Table39[[#This Row],[APP]]/Table39[[#This Row],[Plays]]</f>
        <v>1.2857142857142858</v>
      </c>
    </row>
    <row r="19" spans="1:11" x14ac:dyDescent="0.3">
      <c r="A19" s="2" t="s">
        <v>760</v>
      </c>
      <c r="B19" s="2" t="s">
        <v>7</v>
      </c>
      <c r="C19" s="2" t="s">
        <v>739</v>
      </c>
      <c r="D19" s="2">
        <v>13.3671069224878</v>
      </c>
      <c r="E19" s="2">
        <v>76.749891172005803</v>
      </c>
      <c r="F19" s="1">
        <f>Table39[[#This Row],[ARIMAPP]]*$N$5+Table39[[#This Row],[LSTMPP]]*$N$6</f>
        <v>26.567262662881298</v>
      </c>
      <c r="G19" s="2">
        <f>Table39[[#This Row],[PP]]/$N$2</f>
        <v>1.3982769822569103</v>
      </c>
      <c r="H19" s="2">
        <v>14</v>
      </c>
      <c r="I19" s="2">
        <f>Table39[[#This Row],[PPG]]*Table39[[#This Row],[Plays]]</f>
        <v>19.575877751596746</v>
      </c>
      <c r="J19" s="2">
        <v>31</v>
      </c>
      <c r="K19" s="6">
        <f>Table39[[#This Row],[APP]]/Table39[[#This Row],[Plays]]</f>
        <v>2.2142857142857144</v>
      </c>
    </row>
    <row r="20" spans="1:11" x14ac:dyDescent="0.3">
      <c r="A20" s="1" t="s">
        <v>389</v>
      </c>
      <c r="B20" s="1" t="s">
        <v>7</v>
      </c>
      <c r="C20" s="1" t="s">
        <v>739</v>
      </c>
      <c r="D20" s="1">
        <v>97.390781388249906</v>
      </c>
      <c r="E20" s="1">
        <v>148.452980449818</v>
      </c>
      <c r="F20" s="1">
        <f>Table39[[#This Row],[ARIMAPP]]*$N$5+Table39[[#This Row],[LSTMPP]]*$N$6</f>
        <v>77.378050796049536</v>
      </c>
      <c r="G20" s="1">
        <f>Table39[[#This Row],[PP]]/$N$2</f>
        <v>4.0725289892657655</v>
      </c>
      <c r="H20" s="1">
        <v>18</v>
      </c>
      <c r="I20" s="1">
        <f>Table39[[#This Row],[PPG]]*Table39[[#This Row],[Plays]]</f>
        <v>73.305521806783773</v>
      </c>
      <c r="J20" s="1">
        <v>94</v>
      </c>
      <c r="K20" s="6">
        <f>Table39[[#This Row],[APP]]/Table39[[#This Row],[Plays]]</f>
        <v>5.2222222222222223</v>
      </c>
    </row>
    <row r="21" spans="1:11" x14ac:dyDescent="0.3">
      <c r="A21" s="2" t="s">
        <v>764</v>
      </c>
      <c r="B21" s="2" t="s">
        <v>6</v>
      </c>
      <c r="C21" s="2" t="s">
        <v>739</v>
      </c>
      <c r="D21" s="2">
        <v>164.588235294117</v>
      </c>
      <c r="E21" s="2">
        <v>124.25346401027601</v>
      </c>
      <c r="F21" s="1">
        <f>Table39[[#This Row],[ARIMAPP]]*$N$5+Table39[[#This Row],[LSTMPP]]*$N$6</f>
        <v>94.946961691757821</v>
      </c>
      <c r="G21" s="2">
        <f>Table39[[#This Row],[PP]]/$N$2</f>
        <v>4.9972085100925172</v>
      </c>
      <c r="H21" s="2">
        <v>6</v>
      </c>
      <c r="I21" s="2">
        <f>Table39[[#This Row],[PPG]]*Table39[[#This Row],[Plays]]</f>
        <v>29.983251060555105</v>
      </c>
      <c r="J21" s="2">
        <v>7</v>
      </c>
      <c r="K21" s="6">
        <f>Table39[[#This Row],[APP]]/Table39[[#This Row],[Plays]]</f>
        <v>1.1666666666666667</v>
      </c>
    </row>
    <row r="22" spans="1:11" x14ac:dyDescent="0.3">
      <c r="A22" s="1" t="s">
        <v>765</v>
      </c>
      <c r="B22" s="1" t="s">
        <v>7</v>
      </c>
      <c r="C22" s="1" t="s">
        <v>739</v>
      </c>
      <c r="D22" s="1">
        <v>92.142856949749998</v>
      </c>
      <c r="E22" s="1">
        <v>61.456758540095102</v>
      </c>
      <c r="F22" s="1">
        <f>Table39[[#This Row],[ARIMAPP]]*$N$5+Table39[[#This Row],[LSTMPP]]*$N$6</f>
        <v>50.86223333418117</v>
      </c>
      <c r="G22" s="1">
        <f>Table39[[#This Row],[PP]]/$N$2</f>
        <v>2.6769596491674301</v>
      </c>
      <c r="H22" s="1">
        <v>17</v>
      </c>
      <c r="I22" s="1">
        <f>Table39[[#This Row],[PPG]]*Table39[[#This Row],[Plays]]</f>
        <v>45.508314035846311</v>
      </c>
      <c r="J22" s="1">
        <v>65</v>
      </c>
      <c r="K22" s="6">
        <f>Table39[[#This Row],[APP]]/Table39[[#This Row],[Plays]]</f>
        <v>3.8235294117647061</v>
      </c>
    </row>
    <row r="23" spans="1:11" x14ac:dyDescent="0.3">
      <c r="A23" s="2" t="s">
        <v>768</v>
      </c>
      <c r="B23" s="2" t="s">
        <v>7</v>
      </c>
      <c r="C23" s="2" t="s">
        <v>739</v>
      </c>
      <c r="D23" s="2">
        <v>30.099670873565799</v>
      </c>
      <c r="E23" s="2">
        <v>140.49075002258601</v>
      </c>
      <c r="F23" s="1">
        <f>Table39[[#This Row],[ARIMAPP]]*$N$5+Table39[[#This Row],[LSTMPP]]*$N$6</f>
        <v>50.67733212233793</v>
      </c>
      <c r="G23" s="2">
        <f>Table39[[#This Row],[PP]]/$N$2</f>
        <v>2.6672280064388385</v>
      </c>
      <c r="H23" s="2">
        <v>15</v>
      </c>
      <c r="I23" s="2">
        <f>Table39[[#This Row],[PPG]]*Table39[[#This Row],[Plays]]</f>
        <v>40.008420096582576</v>
      </c>
      <c r="J23" s="2">
        <v>32</v>
      </c>
      <c r="K23" s="6">
        <f>Table39[[#This Row],[APP]]/Table39[[#This Row],[Plays]]</f>
        <v>2.1333333333333333</v>
      </c>
    </row>
    <row r="24" spans="1:11" x14ac:dyDescent="0.3">
      <c r="A24" s="1" t="s">
        <v>770</v>
      </c>
      <c r="B24" s="1" t="s">
        <v>6</v>
      </c>
      <c r="C24" s="1" t="s">
        <v>739</v>
      </c>
      <c r="D24" s="1">
        <v>28.825421397172299</v>
      </c>
      <c r="E24" s="1">
        <v>142.05708864716701</v>
      </c>
      <c r="F24" s="1">
        <f>Table39[[#This Row],[ARIMAPP]]*$N$5+Table39[[#This Row],[LSTMPP]]*$N$6</f>
        <v>50.657447511365667</v>
      </c>
      <c r="G24" s="1">
        <f>Table39[[#This Row],[PP]]/$N$2</f>
        <v>2.6661814479666139</v>
      </c>
      <c r="H24" s="1">
        <v>16</v>
      </c>
      <c r="I24" s="1">
        <f>Table39[[#This Row],[PPG]]*Table39[[#This Row],[Plays]]</f>
        <v>42.658903167465823</v>
      </c>
      <c r="J24" s="1">
        <v>31</v>
      </c>
      <c r="K24" s="6">
        <f>Table39[[#This Row],[APP]]/Table39[[#This Row],[Plays]]</f>
        <v>1.9375</v>
      </c>
    </row>
    <row r="25" spans="1:11" x14ac:dyDescent="0.3">
      <c r="A25" s="2" t="s">
        <v>771</v>
      </c>
      <c r="B25" s="2" t="s">
        <v>6</v>
      </c>
      <c r="C25" s="2" t="s">
        <v>739</v>
      </c>
      <c r="D25" s="2">
        <v>11.682288492941799</v>
      </c>
      <c r="E25" s="2">
        <v>98.366760217113594</v>
      </c>
      <c r="F25" s="1">
        <f>Table39[[#This Row],[ARIMAPP]]*$N$5+Table39[[#This Row],[LSTMPP]]*$N$6</f>
        <v>32.070019013139223</v>
      </c>
      <c r="G25" s="2">
        <f>Table39[[#This Row],[PP]]/$N$2</f>
        <v>1.6878957375336434</v>
      </c>
      <c r="H25" s="2">
        <v>7</v>
      </c>
      <c r="I25" s="2">
        <f>Table39[[#This Row],[PPG]]*Table39[[#This Row],[Plays]]</f>
        <v>11.815270162735503</v>
      </c>
      <c r="J25" s="2">
        <v>10</v>
      </c>
      <c r="K25" s="6">
        <f>Table39[[#This Row],[APP]]/Table39[[#This Row],[Plays]]</f>
        <v>1.4285714285714286</v>
      </c>
    </row>
    <row r="26" spans="1:11" x14ac:dyDescent="0.3">
      <c r="A26" s="4" t="s">
        <v>772</v>
      </c>
      <c r="B26" s="4" t="s">
        <v>5</v>
      </c>
      <c r="C26" s="4" t="s">
        <v>739</v>
      </c>
      <c r="D26" s="4">
        <v>7.1708617326687096E-2</v>
      </c>
      <c r="E26" s="4">
        <v>125.989698090432</v>
      </c>
      <c r="F26" s="1">
        <f>Table39[[#This Row],[ARIMAPP]]*$N$5+Table39[[#This Row],[LSTMPP]]*$N$6</f>
        <v>35.66549127030158</v>
      </c>
      <c r="G26" s="4">
        <f>Table39[[#This Row],[PP]]/$N$2</f>
        <v>1.8771311194895568</v>
      </c>
      <c r="H26" s="4">
        <v>3</v>
      </c>
      <c r="I26" s="4">
        <f>Table39[[#This Row],[PPG]]*Table39[[#This Row],[Plays]]</f>
        <v>5.6313933584686708</v>
      </c>
      <c r="J26" s="4">
        <v>5</v>
      </c>
      <c r="K26" s="8">
        <f>Table39[[#This Row],[APP]]/Table39[[#This Row],[Plays]]</f>
        <v>1.6666666666666667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418A-98CC-4EAB-9871-0C0C97425E04}">
  <dimension ref="A1:N22"/>
  <sheetViews>
    <sheetView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774</v>
      </c>
      <c r="B2" s="1" t="s">
        <v>5</v>
      </c>
      <c r="C2" s="1" t="s">
        <v>775</v>
      </c>
      <c r="D2" s="1">
        <v>45.309640660894601</v>
      </c>
      <c r="E2" s="1">
        <v>60.552362382952197</v>
      </c>
      <c r="F2" s="1">
        <f>Table40[[#This Row],[ARIMAPP]]*$N$5+Table40[[#This Row],[LSTMPP]]*$N$6</f>
        <v>55.420221324364874</v>
      </c>
      <c r="G2" s="1">
        <f>Table40[[#This Row],[PP]]/$N$2</f>
        <v>2.5191009692893123</v>
      </c>
      <c r="H2" s="1">
        <v>11</v>
      </c>
      <c r="I2" s="1">
        <f>Table40[[#This Row],[PPG]]*Table40[[#This Row],[Plays]]</f>
        <v>27.710110662182434</v>
      </c>
      <c r="J2" s="1">
        <v>32</v>
      </c>
      <c r="K2" s="7">
        <f>Table40[[#This Row],[APP]]/Table40[[#This Row],[Plays]]</f>
        <v>2.9090909090909092</v>
      </c>
      <c r="M2" t="s">
        <v>846</v>
      </c>
      <c r="N2">
        <v>22</v>
      </c>
    </row>
    <row r="3" spans="1:14" x14ac:dyDescent="0.3">
      <c r="A3" s="2" t="s">
        <v>776</v>
      </c>
      <c r="B3" s="2" t="s">
        <v>6</v>
      </c>
      <c r="C3" s="2" t="s">
        <v>775</v>
      </c>
      <c r="D3" s="2">
        <v>30.769872829711701</v>
      </c>
      <c r="E3" s="2">
        <v>66.744152870508003</v>
      </c>
      <c r="F3" s="1">
        <f>Table40[[#This Row],[ARIMAPP]]*$N$5+Table40[[#This Row],[LSTMPP]]*$N$6</f>
        <v>49.55043497038173</v>
      </c>
      <c r="G3" s="2">
        <f>Table40[[#This Row],[PP]]/$N$2</f>
        <v>2.2522924986537149</v>
      </c>
      <c r="H3" s="2">
        <v>4</v>
      </c>
      <c r="I3" s="2">
        <f>Table40[[#This Row],[PPG]]*Table40[[#This Row],[Plays]]</f>
        <v>9.0091699946148598</v>
      </c>
      <c r="J3" s="2">
        <v>9</v>
      </c>
      <c r="K3" s="6">
        <f>Table40[[#This Row],[APP]]/Table40[[#This Row],[Plays]]</f>
        <v>2.25</v>
      </c>
    </row>
    <row r="4" spans="1:14" x14ac:dyDescent="0.3">
      <c r="A4" s="1" t="s">
        <v>778</v>
      </c>
      <c r="B4" s="1" t="s">
        <v>4</v>
      </c>
      <c r="C4" s="1" t="s">
        <v>775</v>
      </c>
      <c r="D4" s="1">
        <v>65.152084778442003</v>
      </c>
      <c r="E4" s="1">
        <v>96.820983416851405</v>
      </c>
      <c r="F4" s="1">
        <f>Table40[[#This Row],[ARIMAPP]]*$N$5+Table40[[#This Row],[LSTMPP]]*$N$6</f>
        <v>84.224494840451598</v>
      </c>
      <c r="G4" s="1">
        <f>Table40[[#This Row],[PP]]/$N$2</f>
        <v>3.8283861291114363</v>
      </c>
      <c r="H4" s="1">
        <v>22</v>
      </c>
      <c r="I4" s="1">
        <f>Table40[[#This Row],[PPG]]*Table40[[#This Row],[Plays]]</f>
        <v>84.224494840451598</v>
      </c>
      <c r="J4" s="1">
        <v>79</v>
      </c>
      <c r="K4" s="6">
        <f>Table40[[#This Row],[APP]]/Table40[[#This Row],[Plays]]</f>
        <v>3.5909090909090908</v>
      </c>
    </row>
    <row r="5" spans="1:14" x14ac:dyDescent="0.3">
      <c r="A5" s="2" t="s">
        <v>780</v>
      </c>
      <c r="B5" s="2" t="s">
        <v>5</v>
      </c>
      <c r="C5" s="2" t="s">
        <v>775</v>
      </c>
      <c r="D5" s="2">
        <v>50.118709297441796</v>
      </c>
      <c r="E5" s="2">
        <v>58.549141848720097</v>
      </c>
      <c r="F5" s="1">
        <f>Table40[[#This Row],[ARIMAPP]]*$N$5+Table40[[#This Row],[LSTMPP]]*$N$6</f>
        <v>57.382469208331642</v>
      </c>
      <c r="G5" s="2">
        <f>Table40[[#This Row],[PP]]/$N$2</f>
        <v>2.6082940549241656</v>
      </c>
      <c r="H5" s="2">
        <v>11</v>
      </c>
      <c r="I5" s="2">
        <f>Table40[[#This Row],[PPG]]*Table40[[#This Row],[Plays]]</f>
        <v>28.691234604165821</v>
      </c>
      <c r="J5" s="2">
        <v>40</v>
      </c>
      <c r="K5" s="6">
        <f>Table40[[#This Row],[APP]]/Table40[[#This Row],[Plays]]</f>
        <v>3.6363636363636362</v>
      </c>
      <c r="M5" t="s">
        <v>9</v>
      </c>
      <c r="N5">
        <v>0.60172337136921805</v>
      </c>
    </row>
    <row r="6" spans="1:14" x14ac:dyDescent="0.3">
      <c r="A6" s="1" t="s">
        <v>458</v>
      </c>
      <c r="B6" s="1" t="s">
        <v>5</v>
      </c>
      <c r="C6" s="1" t="s">
        <v>775</v>
      </c>
      <c r="D6" s="1">
        <v>67.425463186329694</v>
      </c>
      <c r="E6" s="1">
        <v>75.398932536744098</v>
      </c>
      <c r="F6" s="1">
        <f>Table40[[#This Row],[ARIMAPP]]*$N$5+Table40[[#This Row],[LSTMPP]]*$N$6</f>
        <v>75.631361899396126</v>
      </c>
      <c r="G6" s="1">
        <f>Table40[[#This Row],[PP]]/$N$2</f>
        <v>3.4377891772452784</v>
      </c>
      <c r="H6" s="1">
        <v>15</v>
      </c>
      <c r="I6" s="1">
        <f>Table40[[#This Row],[PPG]]*Table40[[#This Row],[Plays]]</f>
        <v>51.566837658679177</v>
      </c>
      <c r="J6" s="1">
        <v>64</v>
      </c>
      <c r="K6" s="6">
        <f>Table40[[#This Row],[APP]]/Table40[[#This Row],[Plays]]</f>
        <v>4.2666666666666666</v>
      </c>
      <c r="M6" t="s">
        <v>10</v>
      </c>
      <c r="N6">
        <v>0.4649917935867463</v>
      </c>
    </row>
    <row r="7" spans="1:14" x14ac:dyDescent="0.3">
      <c r="A7" s="2" t="s">
        <v>782</v>
      </c>
      <c r="B7" s="2" t="s">
        <v>6</v>
      </c>
      <c r="C7" s="2" t="s">
        <v>775</v>
      </c>
      <c r="D7" s="2">
        <v>21.625542698175899</v>
      </c>
      <c r="E7" s="2">
        <v>39.6026798046639</v>
      </c>
      <c r="F7" s="1">
        <f>Table40[[#This Row],[ARIMAPP]]*$N$5+Table40[[#This Row],[LSTMPP]]*$N$6</f>
        <v>31.427515573247661</v>
      </c>
      <c r="G7" s="2">
        <f>Table40[[#This Row],[PP]]/$N$2</f>
        <v>1.428523435147621</v>
      </c>
      <c r="H7" s="2">
        <v>11</v>
      </c>
      <c r="I7" s="2">
        <f>Table40[[#This Row],[PPG]]*Table40[[#This Row],[Plays]]</f>
        <v>15.713757786623832</v>
      </c>
      <c r="J7" s="2">
        <v>10</v>
      </c>
      <c r="K7" s="6">
        <f>Table40[[#This Row],[APP]]/Table40[[#This Row],[Plays]]</f>
        <v>0.90909090909090906</v>
      </c>
    </row>
    <row r="8" spans="1:14" x14ac:dyDescent="0.3">
      <c r="A8" s="1" t="s">
        <v>263</v>
      </c>
      <c r="B8" s="1" t="s">
        <v>7</v>
      </c>
      <c r="C8" s="1" t="s">
        <v>775</v>
      </c>
      <c r="D8" s="1">
        <v>71.703758636542602</v>
      </c>
      <c r="E8" s="1">
        <v>85.333471719668097</v>
      </c>
      <c r="F8" s="1">
        <f>Table40[[#This Row],[ARIMAPP]]*$N$5+Table40[[#This Row],[LSTMPP]]*$N$6</f>
        <v>82.82519145453746</v>
      </c>
      <c r="G8" s="1">
        <f>Table40[[#This Row],[PP]]/$N$2</f>
        <v>3.7647814297517028</v>
      </c>
      <c r="H8" s="1">
        <v>21</v>
      </c>
      <c r="I8" s="1">
        <f>Table40[[#This Row],[PPG]]*Table40[[#This Row],[Plays]]</f>
        <v>79.060410024785753</v>
      </c>
      <c r="J8" s="1">
        <v>98</v>
      </c>
      <c r="K8" s="6">
        <f>Table40[[#This Row],[APP]]/Table40[[#This Row],[Plays]]</f>
        <v>4.666666666666667</v>
      </c>
      <c r="M8" t="s">
        <v>849</v>
      </c>
      <c r="N8" cm="1">
        <f t="array" ref="N8">(SUM(Table40[Tot]-Table40[APP]))^2</f>
        <v>7.90219718130255E-26</v>
      </c>
    </row>
    <row r="9" spans="1:14" x14ac:dyDescent="0.3">
      <c r="A9" s="2" t="s">
        <v>784</v>
      </c>
      <c r="B9" s="2" t="s">
        <v>5</v>
      </c>
      <c r="C9" s="2" t="s">
        <v>775</v>
      </c>
      <c r="D9" s="2">
        <v>40.5285631824691</v>
      </c>
      <c r="E9" s="2">
        <v>54.809248714524401</v>
      </c>
      <c r="F9" s="1">
        <f>Table40[[#This Row],[ARIMAPP]]*$N$5+Table40[[#This Row],[LSTMPP]]*$N$6</f>
        <v>49.872834539814441</v>
      </c>
      <c r="G9" s="1">
        <f>Table40[[#This Row],[PP]]/$N$2</f>
        <v>2.26694702453702</v>
      </c>
      <c r="H9" s="2">
        <v>19</v>
      </c>
      <c r="I9" s="2">
        <f>Table40[[#This Row],[PPG]]*Table40[[#This Row],[Plays]]</f>
        <v>43.071993466203381</v>
      </c>
      <c r="J9" s="2">
        <v>39</v>
      </c>
      <c r="K9" s="6">
        <f>Table40[[#This Row],[APP]]/Table40[[#This Row],[Plays]]</f>
        <v>2.0526315789473686</v>
      </c>
    </row>
    <row r="10" spans="1:14" x14ac:dyDescent="0.3">
      <c r="A10" s="1" t="s">
        <v>785</v>
      </c>
      <c r="B10" s="1" t="s">
        <v>5</v>
      </c>
      <c r="C10" s="1" t="s">
        <v>775</v>
      </c>
      <c r="D10" s="1">
        <v>23.748009675472002</v>
      </c>
      <c r="E10" s="1">
        <v>64.765199514490405</v>
      </c>
      <c r="F10" s="1">
        <f>Table40[[#This Row],[ARIMAPP]]*$N$5+Table40[[#This Row],[LSTMPP]]*$N$6</f>
        <v>44.405018729480183</v>
      </c>
      <c r="G10" s="1">
        <f>Table40[[#This Row],[PP]]/$N$2</f>
        <v>2.0184099422490993</v>
      </c>
      <c r="H10" s="1">
        <v>1</v>
      </c>
      <c r="I10" s="1">
        <f>Table40[[#This Row],[PPG]]*Table40[[#This Row],[Plays]]</f>
        <v>2.0184099422490993</v>
      </c>
      <c r="J10" s="1">
        <v>1</v>
      </c>
      <c r="K10" s="6">
        <f>Table40[[#This Row],[APP]]/Table40[[#This Row],[Plays]]</f>
        <v>1</v>
      </c>
    </row>
    <row r="11" spans="1:14" x14ac:dyDescent="0.3">
      <c r="A11" s="2" t="s">
        <v>787</v>
      </c>
      <c r="B11" s="2" t="s">
        <v>6</v>
      </c>
      <c r="C11" s="2" t="s">
        <v>775</v>
      </c>
      <c r="D11" s="2">
        <v>32.088587491558897</v>
      </c>
      <c r="E11" s="2">
        <v>68.457534987710005</v>
      </c>
      <c r="F11" s="1">
        <f>Table40[[#This Row],[ARIMAPP]]*$N$5+Table40[[#This Row],[LSTMPP]]*$N$6</f>
        <v>51.14064502635965</v>
      </c>
      <c r="G11" s="1">
        <f>Table40[[#This Row],[PP]]/$N$2</f>
        <v>2.3245747739254385</v>
      </c>
      <c r="H11" s="2">
        <v>16</v>
      </c>
      <c r="I11" s="2">
        <f>Table40[[#This Row],[PPG]]*Table40[[#This Row],[Plays]]</f>
        <v>37.193196382807017</v>
      </c>
      <c r="J11" s="2">
        <v>53</v>
      </c>
      <c r="K11" s="6">
        <f>Table40[[#This Row],[APP]]/Table40[[#This Row],[Plays]]</f>
        <v>3.3125</v>
      </c>
    </row>
    <row r="12" spans="1:14" x14ac:dyDescent="0.3">
      <c r="A12" s="1" t="s">
        <v>788</v>
      </c>
      <c r="B12" s="1" t="s">
        <v>5</v>
      </c>
      <c r="C12" s="1" t="s">
        <v>775</v>
      </c>
      <c r="D12" s="1">
        <v>23.723539155202999</v>
      </c>
      <c r="E12" s="1">
        <v>41.087890388159302</v>
      </c>
      <c r="F12" s="1">
        <f>Table40[[#This Row],[ARIMAPP]]*$N$5+Table40[[#This Row],[LSTMPP]]*$N$6</f>
        <v>33.380539807564226</v>
      </c>
      <c r="G12" s="1">
        <f>Table40[[#This Row],[PP]]/$N$2</f>
        <v>1.517297263980192</v>
      </c>
      <c r="H12" s="1">
        <v>11</v>
      </c>
      <c r="I12" s="1">
        <f>Table40[[#This Row],[PPG]]*Table40[[#This Row],[Plays]]</f>
        <v>16.690269903782113</v>
      </c>
      <c r="J12" s="1">
        <v>27</v>
      </c>
      <c r="K12" s="6">
        <f>Table40[[#This Row],[APP]]/Table40[[#This Row],[Plays]]</f>
        <v>2.4545454545454546</v>
      </c>
    </row>
    <row r="13" spans="1:14" x14ac:dyDescent="0.3">
      <c r="A13" s="2" t="s">
        <v>790</v>
      </c>
      <c r="B13" s="2" t="s">
        <v>5</v>
      </c>
      <c r="C13" s="2" t="s">
        <v>775</v>
      </c>
      <c r="D13" s="2">
        <v>61.522757649958898</v>
      </c>
      <c r="E13" s="2">
        <v>91.036786547857105</v>
      </c>
      <c r="F13" s="1">
        <f>Table40[[#This Row],[ARIMAPP]]*$N$5+Table40[[#This Row],[LSTMPP]]*$N$6</f>
        <v>79.351039808326476</v>
      </c>
      <c r="G13" s="1">
        <f>Table40[[#This Row],[PP]]/$N$2</f>
        <v>3.6068654458330216</v>
      </c>
      <c r="H13" s="2">
        <v>19</v>
      </c>
      <c r="I13" s="2">
        <f>Table40[[#This Row],[PPG]]*Table40[[#This Row],[Plays]]</f>
        <v>68.530443470827407</v>
      </c>
      <c r="J13" s="2">
        <v>45</v>
      </c>
      <c r="K13" s="6">
        <f>Table40[[#This Row],[APP]]/Table40[[#This Row],[Plays]]</f>
        <v>2.3684210526315788</v>
      </c>
    </row>
    <row r="14" spans="1:14" x14ac:dyDescent="0.3">
      <c r="A14" s="1" t="s">
        <v>792</v>
      </c>
      <c r="B14" s="1" t="s">
        <v>6</v>
      </c>
      <c r="C14" s="1" t="s">
        <v>775</v>
      </c>
      <c r="D14" s="1">
        <v>62.918090659875297</v>
      </c>
      <c r="E14" s="1">
        <v>102.376630750987</v>
      </c>
      <c r="F14" s="1">
        <f>Table40[[#This Row],[ARIMAPP]]*$N$5+Table40[[#This Row],[LSTMPP]]*$N$6</f>
        <v>85.463578786243772</v>
      </c>
      <c r="G14" s="1">
        <f>Table40[[#This Row],[PP]]/$N$2</f>
        <v>3.8847081266474444</v>
      </c>
      <c r="H14" s="1">
        <v>20</v>
      </c>
      <c r="I14" s="1">
        <f>Table40[[#This Row],[PPG]]*Table40[[#This Row],[Plays]]</f>
        <v>77.694162532948894</v>
      </c>
      <c r="J14" s="1">
        <v>89</v>
      </c>
      <c r="K14" s="6">
        <f>Table40[[#This Row],[APP]]/Table40[[#This Row],[Plays]]</f>
        <v>4.45</v>
      </c>
    </row>
    <row r="15" spans="1:14" x14ac:dyDescent="0.3">
      <c r="A15" s="2" t="s">
        <v>794</v>
      </c>
      <c r="B15" s="2" t="s">
        <v>6</v>
      </c>
      <c r="C15" s="2" t="s">
        <v>775</v>
      </c>
      <c r="D15" s="2">
        <v>96.376560674223199</v>
      </c>
      <c r="E15" s="2">
        <v>111.828338061295</v>
      </c>
      <c r="F15" s="1">
        <f>Table40[[#This Row],[ARIMAPP]]*$N$5+Table40[[#This Row],[LSTMPP]]*$N$6</f>
        <v>109.99128849881015</v>
      </c>
      <c r="G15" s="1">
        <f>Table40[[#This Row],[PP]]/$N$2</f>
        <v>4.9996040226731884</v>
      </c>
      <c r="H15" s="2">
        <v>22</v>
      </c>
      <c r="I15" s="2">
        <f>Table40[[#This Row],[PPG]]*Table40[[#This Row],[Plays]]</f>
        <v>109.99128849881015</v>
      </c>
      <c r="J15" s="2">
        <v>122</v>
      </c>
      <c r="K15" s="6">
        <f>Table40[[#This Row],[APP]]/Table40[[#This Row],[Plays]]</f>
        <v>5.5454545454545459</v>
      </c>
    </row>
    <row r="16" spans="1:14" x14ac:dyDescent="0.3">
      <c r="A16" s="1" t="s">
        <v>796</v>
      </c>
      <c r="B16" s="1" t="s">
        <v>6</v>
      </c>
      <c r="C16" s="1" t="s">
        <v>775</v>
      </c>
      <c r="D16" s="1">
        <v>101.32967071377399</v>
      </c>
      <c r="E16" s="1">
        <v>91.149569141817096</v>
      </c>
      <c r="F16" s="1">
        <f>Table40[[#This Row],[ARIMAPP]]*$N$5+Table40[[#This Row],[LSTMPP]]*$N$6</f>
        <v>103.35623272153748</v>
      </c>
      <c r="G16" s="1">
        <f>Table40[[#This Row],[PP]]/$N$2</f>
        <v>4.6980105782517034</v>
      </c>
      <c r="H16" s="1">
        <v>21</v>
      </c>
      <c r="I16" s="1">
        <f>Table40[[#This Row],[PPG]]*Table40[[#This Row],[Plays]]</f>
        <v>98.658222143285769</v>
      </c>
      <c r="J16" s="1">
        <v>64</v>
      </c>
      <c r="K16" s="6">
        <f>Table40[[#This Row],[APP]]/Table40[[#This Row],[Plays]]</f>
        <v>3.0476190476190474</v>
      </c>
    </row>
    <row r="17" spans="1:11" x14ac:dyDescent="0.3">
      <c r="A17" s="2" t="s">
        <v>798</v>
      </c>
      <c r="B17" s="2" t="s">
        <v>6</v>
      </c>
      <c r="C17" s="2" t="s">
        <v>775</v>
      </c>
      <c r="D17" s="2">
        <v>124.58823527853301</v>
      </c>
      <c r="E17" s="2">
        <v>90.757385983638301</v>
      </c>
      <c r="F17" s="1">
        <f>Table40[[#This Row],[ARIMAPP]]*$N$5+Table40[[#This Row],[LSTMPP]]*$N$6</f>
        <v>117.16909265451683</v>
      </c>
      <c r="G17" s="1">
        <f>Table40[[#This Row],[PP]]/$N$2</f>
        <v>5.3258678479325834</v>
      </c>
      <c r="H17" s="2">
        <v>20</v>
      </c>
      <c r="I17" s="2">
        <f>Table40[[#This Row],[PPG]]*Table40[[#This Row],[Plays]]</f>
        <v>106.51735695865167</v>
      </c>
      <c r="J17" s="2">
        <v>68</v>
      </c>
      <c r="K17" s="6">
        <f>Table40[[#This Row],[APP]]/Table40[[#This Row],[Plays]]</f>
        <v>3.4</v>
      </c>
    </row>
    <row r="18" spans="1:11" x14ac:dyDescent="0.3">
      <c r="A18" s="1" t="s">
        <v>799</v>
      </c>
      <c r="B18" s="1" t="s">
        <v>6</v>
      </c>
      <c r="C18" s="1" t="s">
        <v>775</v>
      </c>
      <c r="D18" s="1">
        <v>61.941409633471501</v>
      </c>
      <c r="E18" s="1">
        <v>70.4596253281033</v>
      </c>
      <c r="F18" s="1">
        <f>Table40[[#This Row],[ARIMAPP]]*$N$5+Table40[[#This Row],[LSTMPP]]*$N$6</f>
        <v>70.034741388779125</v>
      </c>
      <c r="G18" s="1">
        <f>Table40[[#This Row],[PP]]/$N$2</f>
        <v>3.1833973358535967</v>
      </c>
      <c r="H18" s="1">
        <v>20</v>
      </c>
      <c r="I18" s="1">
        <f>Table40[[#This Row],[PPG]]*Table40[[#This Row],[Plays]]</f>
        <v>63.667946717071935</v>
      </c>
      <c r="J18" s="1">
        <v>76</v>
      </c>
      <c r="K18" s="6">
        <f>Table40[[#This Row],[APP]]/Table40[[#This Row],[Plays]]</f>
        <v>3.8</v>
      </c>
    </row>
    <row r="19" spans="1:11" x14ac:dyDescent="0.3">
      <c r="A19" s="2" t="s">
        <v>801</v>
      </c>
      <c r="B19" s="2" t="s">
        <v>5</v>
      </c>
      <c r="C19" s="2" t="s">
        <v>775</v>
      </c>
      <c r="D19" s="2">
        <v>63.912088251089301</v>
      </c>
      <c r="E19" s="2">
        <v>46.667940047147297</v>
      </c>
      <c r="F19" s="1">
        <f>Table40[[#This Row],[ARIMAPP]]*$N$5+Table40[[#This Row],[LSTMPP]]*$N$6</f>
        <v>60.157606359214213</v>
      </c>
      <c r="G19" s="1">
        <f>Table40[[#This Row],[PP]]/$N$2</f>
        <v>2.7344366526915551</v>
      </c>
      <c r="H19" s="2">
        <v>8</v>
      </c>
      <c r="I19" s="2">
        <f>Table40[[#This Row],[PPG]]*Table40[[#This Row],[Plays]]</f>
        <v>21.875493221532441</v>
      </c>
      <c r="J19" s="2">
        <v>20</v>
      </c>
      <c r="K19" s="6">
        <f>Table40[[#This Row],[APP]]/Table40[[#This Row],[Plays]]</f>
        <v>2.5</v>
      </c>
    </row>
    <row r="20" spans="1:11" x14ac:dyDescent="0.3">
      <c r="A20" s="1" t="s">
        <v>802</v>
      </c>
      <c r="B20" s="1" t="s">
        <v>5</v>
      </c>
      <c r="C20" s="1" t="s">
        <v>775</v>
      </c>
      <c r="D20" s="1">
        <v>14.0755657793097</v>
      </c>
      <c r="E20" s="1">
        <v>38.760642333523201</v>
      </c>
      <c r="F20" s="1">
        <f>Table40[[#This Row],[ARIMAPP]]*$N$5+Table40[[#This Row],[LSTMPP]]*$N$6</f>
        <v>26.492977493894749</v>
      </c>
      <c r="G20" s="1">
        <f>Table40[[#This Row],[PP]]/$N$2</f>
        <v>1.2042262497224885</v>
      </c>
      <c r="H20" s="1">
        <v>11</v>
      </c>
      <c r="I20" s="1">
        <f>Table40[[#This Row],[PPG]]*Table40[[#This Row],[Plays]]</f>
        <v>13.246488746947373</v>
      </c>
      <c r="J20" s="1">
        <v>30</v>
      </c>
      <c r="K20" s="6">
        <f>Table40[[#This Row],[APP]]/Table40[[#This Row],[Plays]]</f>
        <v>2.7272727272727271</v>
      </c>
    </row>
    <row r="21" spans="1:11" x14ac:dyDescent="0.3">
      <c r="A21" s="2" t="s">
        <v>804</v>
      </c>
      <c r="B21" s="2" t="s">
        <v>6</v>
      </c>
      <c r="C21" s="2" t="s">
        <v>775</v>
      </c>
      <c r="D21" s="2">
        <v>35.240347795794399</v>
      </c>
      <c r="E21" s="2">
        <v>129.06270988009001</v>
      </c>
      <c r="F21" s="1">
        <f>Table40[[#This Row],[ARIMAPP]]*$N$5+Table40[[#This Row],[LSTMPP]]*$N$6</f>
        <v>81.218041836218134</v>
      </c>
      <c r="G21" s="1">
        <f>Table40[[#This Row],[PP]]/$N$2</f>
        <v>3.6917291743735516</v>
      </c>
      <c r="H21" s="2">
        <v>8</v>
      </c>
      <c r="I21" s="2">
        <f>Table40[[#This Row],[PPG]]*Table40[[#This Row],[Plays]]</f>
        <v>29.533833394988413</v>
      </c>
      <c r="J21" s="2">
        <v>20</v>
      </c>
      <c r="K21" s="6">
        <f>Table40[[#This Row],[APP]]/Table40[[#This Row],[Plays]]</f>
        <v>2.5</v>
      </c>
    </row>
    <row r="22" spans="1:11" x14ac:dyDescent="0.3">
      <c r="A22" s="4" t="s">
        <v>805</v>
      </c>
      <c r="B22" s="4" t="s">
        <v>6</v>
      </c>
      <c r="C22" s="4" t="s">
        <v>775</v>
      </c>
      <c r="D22" s="4">
        <v>-1.0871265475927701</v>
      </c>
      <c r="E22" s="4">
        <v>111.87614326407</v>
      </c>
      <c r="F22" s="1">
        <f>Table40[[#This Row],[ARIMAPP]]*$N$5+Table40[[#This Row],[LSTMPP]]*$N$6</f>
        <v>51.36733906460519</v>
      </c>
      <c r="G22" s="1">
        <f>Table40[[#This Row],[PP]]/$N$2</f>
        <v>2.3348790483911448</v>
      </c>
      <c r="H22" s="4">
        <v>1</v>
      </c>
      <c r="I22" s="4">
        <f>Table40[[#This Row],[PPG]]*Table40[[#This Row],[Plays]]</f>
        <v>2.3348790483911448</v>
      </c>
      <c r="J22" s="4">
        <v>1</v>
      </c>
      <c r="K22" s="8">
        <f>Table40[[#This Row],[APP]]/Table40[[#This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7B7D-7AEB-4D90-B1C1-53F7FED77810}">
  <dimension ref="A1:N18"/>
  <sheetViews>
    <sheetView tabSelected="1" workbookViewId="0">
      <selection activeCell="N6" sqref="N6"/>
    </sheetView>
  </sheetViews>
  <sheetFormatPr defaultRowHeight="14.4" x14ac:dyDescent="0.3"/>
  <cols>
    <col min="1" max="1" width="12.21875" customWidth="1"/>
    <col min="2" max="2" width="9.6640625" customWidth="1"/>
    <col min="4" max="4" width="11" customWidth="1"/>
    <col min="5" max="5" width="9.77734375" customWidth="1"/>
  </cols>
  <sheetData>
    <row r="1" spans="1:14" x14ac:dyDescent="0.3">
      <c r="A1" s="3" t="s">
        <v>2</v>
      </c>
      <c r="B1" s="3" t="s">
        <v>3</v>
      </c>
      <c r="C1" s="3" t="s">
        <v>8</v>
      </c>
      <c r="D1" s="3" t="s">
        <v>844</v>
      </c>
      <c r="E1" s="3" t="s">
        <v>845</v>
      </c>
      <c r="F1" s="3" t="s">
        <v>842</v>
      </c>
      <c r="G1" s="3" t="s">
        <v>11</v>
      </c>
      <c r="H1" s="3" t="s">
        <v>841</v>
      </c>
      <c r="I1" s="3" t="s">
        <v>848</v>
      </c>
      <c r="J1" s="3" t="s">
        <v>843</v>
      </c>
      <c r="K1" s="9" t="s">
        <v>847</v>
      </c>
    </row>
    <row r="2" spans="1:14" x14ac:dyDescent="0.3">
      <c r="A2" s="1" t="s">
        <v>808</v>
      </c>
      <c r="B2" s="1" t="s">
        <v>6</v>
      </c>
      <c r="C2" s="1" t="s">
        <v>809</v>
      </c>
      <c r="D2" s="1">
        <v>55.195370468198199</v>
      </c>
      <c r="E2" s="1">
        <v>57.606436833347402</v>
      </c>
      <c r="F2" s="1">
        <f>Table41[[#This Row],[ARIMAPP]]*$N$5+Table41[[#This Row],[LSTMPP]]*$N$6</f>
        <v>49.071005504083601</v>
      </c>
      <c r="G2" s="1">
        <f>Table41[[#This Row],[PP]]/$N$2</f>
        <v>2.4535502752041802</v>
      </c>
      <c r="H2" s="1">
        <v>20</v>
      </c>
      <c r="I2" s="1">
        <f>Table41[[#This Row],[PPG]]*Table41[[#This Row],[Plays]]</f>
        <v>49.071005504083601</v>
      </c>
      <c r="J2" s="1">
        <v>55</v>
      </c>
      <c r="K2" s="7">
        <f>Table41[[#This Row],[APP]]/Table41[[#This Row],[Plays]]</f>
        <v>2.75</v>
      </c>
      <c r="M2" t="s">
        <v>846</v>
      </c>
      <c r="N2">
        <v>20</v>
      </c>
    </row>
    <row r="3" spans="1:14" x14ac:dyDescent="0.3">
      <c r="A3" s="2" t="s">
        <v>810</v>
      </c>
      <c r="B3" s="2" t="s">
        <v>5</v>
      </c>
      <c r="C3" s="2" t="s">
        <v>809</v>
      </c>
      <c r="D3" s="2">
        <v>103.51648351648301</v>
      </c>
      <c r="E3" s="2">
        <v>94.913338335792602</v>
      </c>
      <c r="F3" s="1">
        <f>Table41[[#This Row],[ARIMAPP]]*$N$5+Table41[[#This Row],[LSTMPP]]*$N$6</f>
        <v>87.088263925676969</v>
      </c>
      <c r="G3" s="2">
        <f>Table41[[#This Row],[PP]]/$N$2</f>
        <v>4.3544131962838488</v>
      </c>
      <c r="H3" s="2">
        <v>20</v>
      </c>
      <c r="I3" s="2">
        <f>Table41[[#This Row],[PPG]]*Table41[[#This Row],[Plays]]</f>
        <v>87.088263925676983</v>
      </c>
      <c r="J3" s="2">
        <v>86</v>
      </c>
      <c r="K3" s="6">
        <f>Table41[[#This Row],[APP]]/Table41[[#This Row],[Plays]]</f>
        <v>4.3</v>
      </c>
    </row>
    <row r="4" spans="1:14" x14ac:dyDescent="0.3">
      <c r="A4" s="1" t="s">
        <v>812</v>
      </c>
      <c r="B4" s="1" t="s">
        <v>7</v>
      </c>
      <c r="C4" s="1" t="s">
        <v>809</v>
      </c>
      <c r="D4" s="1">
        <v>16.8930098270462</v>
      </c>
      <c r="E4" s="1">
        <v>85.190205350488995</v>
      </c>
      <c r="F4" s="1">
        <f>Table41[[#This Row],[ARIMAPP]]*$N$5+Table41[[#This Row],[LSTMPP]]*$N$6</f>
        <v>40.458176160249884</v>
      </c>
      <c r="G4" s="1">
        <f>Table41[[#This Row],[PP]]/$N$2</f>
        <v>2.0229088080124944</v>
      </c>
      <c r="H4" s="1">
        <v>19</v>
      </c>
      <c r="I4" s="1">
        <f>Table41[[#This Row],[PPG]]*Table41[[#This Row],[Plays]]</f>
        <v>38.435267352237396</v>
      </c>
      <c r="J4" s="1">
        <v>63</v>
      </c>
      <c r="K4" s="6">
        <f>Table41[[#This Row],[APP]]/Table41[[#This Row],[Plays]]</f>
        <v>3.3157894736842106</v>
      </c>
    </row>
    <row r="5" spans="1:14" x14ac:dyDescent="0.3">
      <c r="A5" s="2" t="s">
        <v>813</v>
      </c>
      <c r="B5" s="2" t="s">
        <v>5</v>
      </c>
      <c r="C5" s="2" t="s">
        <v>809</v>
      </c>
      <c r="D5" s="2">
        <v>59.4246831615038</v>
      </c>
      <c r="E5" s="2">
        <v>90.512911103050399</v>
      </c>
      <c r="F5" s="1">
        <f>Table41[[#This Row],[ARIMAPP]]*$N$5+Table41[[#This Row],[LSTMPP]]*$N$6</f>
        <v>63.559919236695066</v>
      </c>
      <c r="G5" s="2">
        <f>Table41[[#This Row],[PP]]/$N$2</f>
        <v>3.1779959618347533</v>
      </c>
      <c r="H5" s="2">
        <v>19</v>
      </c>
      <c r="I5" s="2">
        <f>Table41[[#This Row],[PPG]]*Table41[[#This Row],[Plays]]</f>
        <v>60.381923274860313</v>
      </c>
      <c r="J5" s="2">
        <v>81</v>
      </c>
      <c r="K5" s="6">
        <f>Table41[[#This Row],[APP]]/Table41[[#This Row],[Plays]]</f>
        <v>4.2631578947368425</v>
      </c>
      <c r="M5" t="s">
        <v>9</v>
      </c>
      <c r="N5">
        <v>0.4960413201440767</v>
      </c>
    </row>
    <row r="6" spans="1:14" x14ac:dyDescent="0.3">
      <c r="A6" s="1" t="s">
        <v>814</v>
      </c>
      <c r="B6" s="1" t="s">
        <v>5</v>
      </c>
      <c r="C6" s="1" t="s">
        <v>809</v>
      </c>
      <c r="D6" s="1">
        <v>35.106535046972397</v>
      </c>
      <c r="E6" s="1">
        <v>59.696397359095897</v>
      </c>
      <c r="F6" s="1">
        <f>Table41[[#This Row],[ARIMAPP]]*$N$5+Table41[[#This Row],[LSTMPP]]*$N$6</f>
        <v>39.893091952526675</v>
      </c>
      <c r="G6" s="1">
        <f>Table41[[#This Row],[PP]]/$N$2</f>
        <v>1.9946545976263337</v>
      </c>
      <c r="H6" s="1">
        <v>11</v>
      </c>
      <c r="I6" s="1">
        <f>Table41[[#This Row],[PPG]]*Table41[[#This Row],[Plays]]</f>
        <v>21.94120057388967</v>
      </c>
      <c r="J6" s="1">
        <v>47</v>
      </c>
      <c r="K6" s="6">
        <f>Table41[[#This Row],[APP]]/Table41[[#This Row],[Plays]]</f>
        <v>4.2727272727272725</v>
      </c>
      <c r="M6" t="s">
        <v>10</v>
      </c>
      <c r="N6">
        <v>0.37655203591137837</v>
      </c>
    </row>
    <row r="7" spans="1:14" x14ac:dyDescent="0.3">
      <c r="A7" s="2" t="s">
        <v>816</v>
      </c>
      <c r="B7" s="2" t="s">
        <v>6</v>
      </c>
      <c r="C7" s="2" t="s">
        <v>809</v>
      </c>
      <c r="D7" s="2">
        <v>82.516484064364505</v>
      </c>
      <c r="E7" s="2">
        <v>75.083152712127699</v>
      </c>
      <c r="F7" s="1">
        <f>Table41[[#This Row],[ARIMAPP]]*$N$5+Table41[[#This Row],[LSTMPP]]*$N$6</f>
        <v>69.20429970533165</v>
      </c>
      <c r="G7" s="2">
        <f>Table41[[#This Row],[PP]]/$N$2</f>
        <v>3.4602149852665827</v>
      </c>
      <c r="H7" s="2">
        <v>16</v>
      </c>
      <c r="I7" s="2">
        <f>Table41[[#This Row],[PPG]]*Table41[[#This Row],[Plays]]</f>
        <v>55.363439764265323</v>
      </c>
      <c r="J7" s="2">
        <v>27</v>
      </c>
      <c r="K7" s="6">
        <f>Table41[[#This Row],[APP]]/Table41[[#This Row],[Plays]]</f>
        <v>1.6875</v>
      </c>
    </row>
    <row r="8" spans="1:14" x14ac:dyDescent="0.3">
      <c r="A8" s="1" t="s">
        <v>74</v>
      </c>
      <c r="B8" s="1" t="s">
        <v>6</v>
      </c>
      <c r="C8" s="1" t="s">
        <v>809</v>
      </c>
      <c r="D8" s="1">
        <v>81.846153846153797</v>
      </c>
      <c r="E8" s="1">
        <v>82.997432370050106</v>
      </c>
      <c r="F8" s="1">
        <f>Table41[[#This Row],[ARIMAPP]]*$N$5+Table41[[#This Row],[LSTMPP]]*$N$6</f>
        <v>71.851926336920641</v>
      </c>
      <c r="G8" s="1">
        <f>Table41[[#This Row],[PP]]/$N$2</f>
        <v>3.592596316846032</v>
      </c>
      <c r="H8" s="1">
        <v>19</v>
      </c>
      <c r="I8" s="1">
        <f>Table41[[#This Row],[PPG]]*Table41[[#This Row],[Plays]]</f>
        <v>68.259330020074614</v>
      </c>
      <c r="J8" s="1">
        <v>43</v>
      </c>
      <c r="K8" s="6">
        <f>Table41[[#This Row],[APP]]/Table41[[#This Row],[Plays]]</f>
        <v>2.263157894736842</v>
      </c>
      <c r="M8" t="s">
        <v>849</v>
      </c>
      <c r="N8" cm="1">
        <f t="array" ref="N8">(SUM(Table41[Tot]-Table41[APP]))^2</f>
        <v>4.0894549326657252E-27</v>
      </c>
    </row>
    <row r="9" spans="1:14" x14ac:dyDescent="0.3">
      <c r="A9" s="2" t="s">
        <v>820</v>
      </c>
      <c r="B9" s="2" t="s">
        <v>6</v>
      </c>
      <c r="C9" s="2" t="s">
        <v>809</v>
      </c>
      <c r="D9" s="2">
        <v>91.450549631350199</v>
      </c>
      <c r="E9" s="2">
        <v>58.812041610500302</v>
      </c>
      <c r="F9" s="1">
        <f>Table41[[#This Row],[ARIMAPP]]*$N$5+Table41[[#This Row],[LSTMPP]]*$N$6</f>
        <v>67.509045371574956</v>
      </c>
      <c r="G9" s="2">
        <f>Table41[[#This Row],[PP]]/$N$2</f>
        <v>3.3754522685787478</v>
      </c>
      <c r="H9" s="2">
        <v>18</v>
      </c>
      <c r="I9" s="2">
        <f>Table41[[#This Row],[PPG]]*Table41[[#This Row],[Plays]]</f>
        <v>60.75814083441746</v>
      </c>
      <c r="J9" s="2">
        <v>44</v>
      </c>
      <c r="K9" s="6">
        <f>Table41[[#This Row],[APP]]/Table41[[#This Row],[Plays]]</f>
        <v>2.4444444444444446</v>
      </c>
    </row>
    <row r="10" spans="1:14" x14ac:dyDescent="0.3">
      <c r="A10" s="1" t="s">
        <v>823</v>
      </c>
      <c r="B10" s="1" t="s">
        <v>5</v>
      </c>
      <c r="C10" s="1" t="s">
        <v>809</v>
      </c>
      <c r="D10" s="1">
        <v>94.568627356241706</v>
      </c>
      <c r="E10" s="1">
        <v>86.811427483680603</v>
      </c>
      <c r="F10" s="1">
        <f>Table41[[#This Row],[ARIMAPP]]*$N$5+Table41[[#This Row],[LSTMPP]]*$N$6</f>
        <v>79.598966517356303</v>
      </c>
      <c r="G10" s="1">
        <f>Table41[[#This Row],[PP]]/$N$2</f>
        <v>3.9799483258678152</v>
      </c>
      <c r="H10" s="1">
        <v>18</v>
      </c>
      <c r="I10" s="1">
        <f>Table41[[#This Row],[PPG]]*Table41[[#This Row],[Plays]]</f>
        <v>71.639069865620669</v>
      </c>
      <c r="J10" s="1">
        <v>68</v>
      </c>
      <c r="K10" s="6">
        <f>Table41[[#This Row],[APP]]/Table41[[#This Row],[Plays]]</f>
        <v>3.7777777777777777</v>
      </c>
    </row>
    <row r="11" spans="1:14" x14ac:dyDescent="0.3">
      <c r="A11" s="2" t="s">
        <v>825</v>
      </c>
      <c r="B11" s="2" t="s">
        <v>6</v>
      </c>
      <c r="C11" s="2" t="s">
        <v>809</v>
      </c>
      <c r="D11" s="2">
        <v>36.868813472380403</v>
      </c>
      <c r="E11" s="2">
        <v>53.3942083796682</v>
      </c>
      <c r="F11" s="1">
        <f>Table41[[#This Row],[ARIMAPP]]*$N$5+Table41[[#This Row],[LSTMPP]]*$N$6</f>
        <v>38.394152778225738</v>
      </c>
      <c r="G11" s="2">
        <f>Table41[[#This Row],[PP]]/$N$2</f>
        <v>1.9197076389112868</v>
      </c>
      <c r="H11" s="2">
        <v>14</v>
      </c>
      <c r="I11" s="2">
        <f>Table41[[#This Row],[PPG]]*Table41[[#This Row],[Plays]]</f>
        <v>26.875906944758015</v>
      </c>
      <c r="J11" s="2">
        <v>30</v>
      </c>
      <c r="K11" s="6">
        <f>Table41[[#This Row],[APP]]/Table41[[#This Row],[Plays]]</f>
        <v>2.1428571428571428</v>
      </c>
    </row>
    <row r="12" spans="1:14" x14ac:dyDescent="0.3">
      <c r="A12" s="1" t="s">
        <v>826</v>
      </c>
      <c r="B12" s="1" t="s">
        <v>5</v>
      </c>
      <c r="C12" s="1" t="s">
        <v>809</v>
      </c>
      <c r="D12" s="1">
        <v>29.559835781928001</v>
      </c>
      <c r="E12" s="1">
        <v>47.961782936817002</v>
      </c>
      <c r="F12" s="1">
        <f>Table41[[#This Row],[ARIMAPP]]*$N$5+Table41[[#This Row],[LSTMPP]]*$N$6</f>
        <v>32.723006975307733</v>
      </c>
      <c r="G12" s="1">
        <f>Table41[[#This Row],[PP]]/$N$2</f>
        <v>1.6361503487653866</v>
      </c>
      <c r="H12" s="1">
        <v>20</v>
      </c>
      <c r="I12" s="1">
        <f>Table41[[#This Row],[PPG]]*Table41[[#This Row],[Plays]]</f>
        <v>32.723006975307733</v>
      </c>
      <c r="J12" s="1">
        <v>77</v>
      </c>
      <c r="K12" s="6">
        <f>Table41[[#This Row],[APP]]/Table41[[#This Row],[Plays]]</f>
        <v>3.85</v>
      </c>
    </row>
    <row r="13" spans="1:14" x14ac:dyDescent="0.3">
      <c r="A13" s="2" t="s">
        <v>828</v>
      </c>
      <c r="B13" s="2" t="s">
        <v>5</v>
      </c>
      <c r="C13" s="2" t="s">
        <v>809</v>
      </c>
      <c r="D13" s="2">
        <v>8.7741935375403202</v>
      </c>
      <c r="E13" s="2">
        <v>39.889753854337101</v>
      </c>
      <c r="F13" s="1">
        <f>Table41[[#This Row],[ARIMAPP]]*$N$5+Table41[[#This Row],[LSTMPP]]*$N$6</f>
        <v>19.372930571415516</v>
      </c>
      <c r="G13" s="2">
        <f>Table41[[#This Row],[PP]]/$N$2</f>
        <v>0.96864652857077582</v>
      </c>
      <c r="H13" s="2">
        <v>6</v>
      </c>
      <c r="I13" s="2">
        <f>Table41[[#This Row],[PPG]]*Table41[[#This Row],[Plays]]</f>
        <v>5.8118791714246552</v>
      </c>
      <c r="J13" s="2">
        <v>11</v>
      </c>
      <c r="K13" s="6">
        <f>Table41[[#This Row],[APP]]/Table41[[#This Row],[Plays]]</f>
        <v>1.8333333333333333</v>
      </c>
    </row>
    <row r="14" spans="1:14" x14ac:dyDescent="0.3">
      <c r="A14" s="1" t="s">
        <v>831</v>
      </c>
      <c r="B14" s="1" t="s">
        <v>7</v>
      </c>
      <c r="C14" s="1" t="s">
        <v>809</v>
      </c>
      <c r="D14" s="1">
        <v>25.688272503939299</v>
      </c>
      <c r="E14" s="1">
        <v>62.545648111430097</v>
      </c>
      <c r="F14" s="1">
        <f>Table41[[#This Row],[ARIMAPP]]*$N$5+Table41[[#This Row],[LSTMPP]]*$N$6</f>
        <v>36.294135738830498</v>
      </c>
      <c r="G14" s="1">
        <f>Table41[[#This Row],[PP]]/$N$2</f>
        <v>1.814706786941525</v>
      </c>
      <c r="H14" s="1">
        <v>10</v>
      </c>
      <c r="I14" s="1">
        <f>Table41[[#This Row],[PPG]]*Table41[[#This Row],[Plays]]</f>
        <v>18.147067869415249</v>
      </c>
      <c r="J14" s="1">
        <v>10</v>
      </c>
      <c r="K14" s="6">
        <f>Table41[[#This Row],[APP]]/Table41[[#This Row],[Plays]]</f>
        <v>1</v>
      </c>
    </row>
    <row r="15" spans="1:14" x14ac:dyDescent="0.3">
      <c r="A15" s="2" t="s">
        <v>833</v>
      </c>
      <c r="B15" s="2" t="s">
        <v>6</v>
      </c>
      <c r="C15" s="2" t="s">
        <v>809</v>
      </c>
      <c r="D15" s="2">
        <v>54.794006004921599</v>
      </c>
      <c r="E15" s="2">
        <v>112.97762639644</v>
      </c>
      <c r="F15" s="1">
        <f>Table41[[#This Row],[ARIMAPP]]*$N$5+Table41[[#This Row],[LSTMPP]]*$N$6</f>
        <v>69.722046306678337</v>
      </c>
      <c r="G15" s="2">
        <f>Table41[[#This Row],[PP]]/$N$2</f>
        <v>3.486102315333917</v>
      </c>
      <c r="H15" s="2">
        <v>16</v>
      </c>
      <c r="I15" s="2">
        <f>Table41[[#This Row],[PPG]]*Table41[[#This Row],[Plays]]</f>
        <v>55.777637045342672</v>
      </c>
      <c r="J15" s="2">
        <v>34</v>
      </c>
      <c r="K15" s="6">
        <f>Table41[[#This Row],[APP]]/Table41[[#This Row],[Plays]]</f>
        <v>2.125</v>
      </c>
    </row>
    <row r="16" spans="1:14" x14ac:dyDescent="0.3">
      <c r="A16" s="1" t="s">
        <v>835</v>
      </c>
      <c r="B16" s="1" t="s">
        <v>5</v>
      </c>
      <c r="C16" s="1" t="s">
        <v>809</v>
      </c>
      <c r="D16" s="1">
        <v>54.551020264602897</v>
      </c>
      <c r="E16" s="1">
        <v>73.436882052614607</v>
      </c>
      <c r="F16" s="1">
        <f>Table41[[#This Row],[ARIMAPP]]*$N$5+Table41[[#This Row],[LSTMPP]]*$N$6</f>
        <v>54.712367555155694</v>
      </c>
      <c r="G16" s="1">
        <f>Table41[[#This Row],[PP]]/$N$2</f>
        <v>2.7356183777577847</v>
      </c>
      <c r="H16" s="1">
        <v>10</v>
      </c>
      <c r="I16" s="1">
        <f>Table41[[#This Row],[PPG]]*Table41[[#This Row],[Plays]]</f>
        <v>27.356183777577847</v>
      </c>
      <c r="J16" s="1">
        <v>52</v>
      </c>
      <c r="K16" s="6">
        <f>Table41[[#This Row],[APP]]/Table41[[#This Row],[Plays]]</f>
        <v>5.2</v>
      </c>
    </row>
    <row r="17" spans="1:11" x14ac:dyDescent="0.3">
      <c r="A17" s="2" t="s">
        <v>838</v>
      </c>
      <c r="B17" s="2" t="s">
        <v>4</v>
      </c>
      <c r="C17" s="2" t="s">
        <v>809</v>
      </c>
      <c r="D17" s="2">
        <v>90.089370049554006</v>
      </c>
      <c r="E17" s="2">
        <v>189.14387923439301</v>
      </c>
      <c r="F17" s="1">
        <f>Table41[[#This Row],[ARIMAPP]]*$N$5+Table41[[#This Row],[LSTMPP]]*$N$6</f>
        <v>115.91056285621558</v>
      </c>
      <c r="G17" s="2">
        <f>Table41[[#This Row],[PP]]/$N$2</f>
        <v>5.7955281428107792</v>
      </c>
      <c r="H17" s="2">
        <v>20</v>
      </c>
      <c r="I17" s="2">
        <f>Table41[[#This Row],[PPG]]*Table41[[#This Row],[Plays]]</f>
        <v>115.91056285621559</v>
      </c>
      <c r="J17" s="2">
        <v>95</v>
      </c>
      <c r="K17" s="6">
        <f>Table41[[#This Row],[APP]]/Table41[[#This Row],[Plays]]</f>
        <v>4.75</v>
      </c>
    </row>
    <row r="18" spans="1:11" x14ac:dyDescent="0.3">
      <c r="A18" s="4" t="s">
        <v>840</v>
      </c>
      <c r="B18" s="4" t="s">
        <v>7</v>
      </c>
      <c r="C18" s="4" t="s">
        <v>809</v>
      </c>
      <c r="D18" s="4">
        <v>65.983327722632296</v>
      </c>
      <c r="E18" s="4">
        <v>145.71605563584001</v>
      </c>
      <c r="F18" s="1">
        <f>Table41[[#This Row],[ARIMAPP]]*$N$5+Table41[[#This Row],[LSTMPP]]*$N$6</f>
        <v>87.600134405685012</v>
      </c>
      <c r="G18" s="4">
        <f>Table41[[#This Row],[PP]]/$N$2</f>
        <v>4.3800067202842508</v>
      </c>
      <c r="H18" s="4">
        <v>17</v>
      </c>
      <c r="I18" s="4">
        <f>Table41[[#This Row],[PPG]]*Table41[[#This Row],[Plays]]</f>
        <v>74.460114244832269</v>
      </c>
      <c r="J18" s="4">
        <v>47</v>
      </c>
      <c r="K18" s="8">
        <f>Table41[[#This Row],[APP]]/Table41[[#This Row],[Plays]]</f>
        <v>2.7647058823529411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ARS</vt:lpstr>
      <vt:lpstr>AVL</vt:lpstr>
      <vt:lpstr>BRE</vt:lpstr>
      <vt:lpstr>BHA</vt:lpstr>
      <vt:lpstr>BUR</vt:lpstr>
      <vt:lpstr>CHE</vt:lpstr>
      <vt:lpstr>CRY</vt:lpstr>
      <vt:lpstr>EVE</vt:lpstr>
      <vt:lpstr>LEE</vt:lpstr>
      <vt:lpstr>LEI</vt:lpstr>
      <vt:lpstr>LIV</vt:lpstr>
      <vt:lpstr>MCI</vt:lpstr>
      <vt:lpstr>MUN</vt:lpstr>
      <vt:lpstr>NEW</vt:lpstr>
      <vt:lpstr>NOR</vt:lpstr>
      <vt:lpstr>SOU</vt:lpstr>
      <vt:lpstr>TOT</vt:lpstr>
      <vt:lpstr>WAT</vt:lpstr>
      <vt:lpstr>WHU</vt:lpstr>
      <vt:lpstr>WOL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2022-01-17T15:49:32Z</dcterms:created>
  <dcterms:modified xsi:type="dcterms:W3CDTF">2022-01-17T21:09:28Z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78a3b848-19f9-4844-8510-6ff603003ec2</vt:lpwstr>
  </property>
</Properties>
</file>