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F69DB6A9-5603-1D4B-B356-DEFAF0390DCF}" xr6:coauthVersionLast="47" xr6:coauthVersionMax="47" xr10:uidLastSave="{00000000-0000-0000-0000-000000000000}"/>
  <bookViews>
    <workbookView xWindow="240" yWindow="500" windowWidth="57500" windowHeight="34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8" i="1" l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54" i="1"/>
  <c r="AI54" i="1"/>
  <c r="AJ108" i="1"/>
  <c r="AI108" i="1"/>
  <c r="AJ107" i="1"/>
  <c r="AI107" i="1"/>
  <c r="AJ106" i="1"/>
  <c r="AI106" i="1"/>
  <c r="AJ105" i="1"/>
  <c r="AI105" i="1"/>
  <c r="AJ104" i="1"/>
  <c r="AI104" i="1"/>
  <c r="AJ97" i="1"/>
  <c r="AI97" i="1"/>
  <c r="AJ102" i="1"/>
  <c r="AI102" i="1"/>
  <c r="AJ101" i="1"/>
  <c r="AI101" i="1"/>
  <c r="AJ100" i="1"/>
  <c r="AI100" i="1"/>
  <c r="AJ99" i="1"/>
  <c r="AI99" i="1"/>
  <c r="AJ84" i="1"/>
  <c r="AI84" i="1"/>
  <c r="AJ55" i="1"/>
  <c r="AI55" i="1"/>
  <c r="AJ92" i="1"/>
  <c r="AI92" i="1"/>
  <c r="AJ103" i="1"/>
  <c r="AI103" i="1"/>
  <c r="AJ94" i="1"/>
  <c r="AI94" i="1"/>
  <c r="AJ93" i="1"/>
  <c r="AI93" i="1"/>
  <c r="AJ98" i="1"/>
  <c r="AI98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3" i="1"/>
  <c r="AI3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95" i="1"/>
  <c r="AI95" i="1"/>
  <c r="AJ57" i="1"/>
  <c r="AI57" i="1"/>
  <c r="AJ56" i="1"/>
  <c r="AI56" i="1"/>
  <c r="AJ96" i="1"/>
  <c r="AI96" i="1"/>
  <c r="AJ109" i="1"/>
  <c r="AI109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58" i="1"/>
  <c r="AI58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8" i="1"/>
  <c r="AI8" i="1"/>
  <c r="AP7" i="1"/>
  <c r="AJ7" i="1"/>
  <c r="AI7" i="1"/>
  <c r="AP6" i="1"/>
  <c r="AJ43" i="1"/>
  <c r="AI43" i="1"/>
  <c r="AJ5" i="1"/>
  <c r="AI5" i="1"/>
  <c r="AP2" i="1" s="1"/>
  <c r="AP4" i="1"/>
  <c r="AJ4" i="1"/>
  <c r="AI4" i="1"/>
  <c r="AJ6" i="1"/>
  <c r="AI6" i="1"/>
  <c r="AJ2" i="1"/>
  <c r="AI2" i="1"/>
  <c r="AP16" i="1" l="1"/>
</calcChain>
</file>

<file path=xl/sharedStrings.xml><?xml version="1.0" encoding="utf-8"?>
<sst xmlns="http://schemas.openxmlformats.org/spreadsheetml/2006/main" count="705" uniqueCount="313">
  <si>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</si>
  <si>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</si>
  <si>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</si>
  <si>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</si>
  <si>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</si>
  <si>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</si>
  <si>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</si>
  <si>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</si>
  <si>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</si>
  <si>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</si>
  <si>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</si>
  <si>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</si>
  <si>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</si>
  <si>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</si>
  <si>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</si>
  <si>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</si>
  <si>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</si>
  <si>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</si>
  <si>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</si>
  <si>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</si>
  <si>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</si>
  <si>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</si>
  <si>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</si>
  <si>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</si>
  <si>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</si>
  <si>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</si>
  <si>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</si>
  <si>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</si>
  <si>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</si>
  <si>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</si>
  <si>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</si>
  <si>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</si>
  <si>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</si>
  <si>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</si>
  <si>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</si>
  <si>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</si>
  <si>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</si>
  <si>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</si>
  <si>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</si>
  <si>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</si>
  <si>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</si>
  <si>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</si>
  <si>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</si>
  <si>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</si>
  <si>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</si>
  <si>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</si>
  <si>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</si>
  <si>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</si>
  <si>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</si>
  <si>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</t>
  </si>
  <si>
    <t>Ødegaard</t>
  </si>
  <si>
    <t>David</t>
  </si>
  <si>
    <t>Raya Martin</t>
  </si>
  <si>
    <t>Raya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</si>
  <si>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</si>
  <si>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</si>
  <si>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</si>
  <si>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</si>
  <si>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</si>
  <si>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</si>
  <si>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</si>
  <si>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</si>
  <si>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</si>
  <si>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</si>
  <si>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</si>
  <si>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</si>
  <si>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</si>
  <si>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</si>
  <si>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</si>
  <si>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Moussa</t>
  </si>
  <si>
    <t>Diaby</t>
  </si>
  <si>
    <t>Lucas</t>
  </si>
  <si>
    <t>Digne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</si>
  <si>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</si>
  <si>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</si>
  <si>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</si>
  <si>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</si>
  <si>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</si>
  <si>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</si>
  <si>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</si>
  <si>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</si>
  <si>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</si>
  <si>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</si>
  <si>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Justin</t>
  </si>
  <si>
    <t>Kluivert</t>
  </si>
  <si>
    <t>Antoine</t>
  </si>
  <si>
    <t>Semenyo</t>
  </si>
  <si>
    <t>Adam</t>
  </si>
  <si>
    <t>Smith</t>
  </si>
  <si>
    <t>Marcus</t>
  </si>
  <si>
    <t>Tavernier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</si>
  <si>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</si>
  <si>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</si>
  <si>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</si>
  <si>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</si>
  <si>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</si>
  <si>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</si>
  <si>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</si>
  <si>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</si>
  <si>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</si>
  <si>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</si>
  <si>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</si>
  <si>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</si>
  <si>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</si>
  <si>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</si>
  <si>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</si>
  <si>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</si>
  <si>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</si>
  <si>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</si>
  <si>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</si>
  <si>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</si>
  <si>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</si>
  <si>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</si>
  <si>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</si>
  <si>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</si>
  <si>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</si>
  <si>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</si>
  <si>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</si>
  <si>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Danny</t>
  </si>
  <si>
    <t>Welbeck</t>
  </si>
  <si>
    <t>Moisés</t>
  </si>
  <si>
    <t>Caicedo Corozo</t>
  </si>
  <si>
    <t>Caicedo</t>
  </si>
  <si>
    <t>Enzo</t>
  </si>
  <si>
    <t>Fernández</t>
  </si>
  <si>
    <t>Conor</t>
  </si>
  <si>
    <t>Gallagher</t>
  </si>
  <si>
    <t>Malo</t>
  </si>
  <si>
    <t>Gusto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</si>
  <si>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</si>
  <si>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</si>
  <si>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</si>
  <si>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</si>
  <si>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</si>
  <si>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</si>
  <si>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</si>
  <si>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</si>
  <si>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</si>
  <si>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</si>
  <si>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Jean-Philippe</t>
  </si>
  <si>
    <t>Mateta</t>
  </si>
  <si>
    <t>Tyrick</t>
  </si>
  <si>
    <t>Mitchell</t>
  </si>
  <si>
    <t>Jeffrey</t>
  </si>
  <si>
    <t>Schlupp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</si>
  <si>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</si>
  <si>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</si>
  <si>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</si>
  <si>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</si>
  <si>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</si>
  <si>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</si>
  <si>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</si>
  <si>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</si>
  <si>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</si>
  <si>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</si>
  <si>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</si>
  <si>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</si>
  <si>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</si>
  <si>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</si>
  <si>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</si>
  <si>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</si>
  <si>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</si>
  <si>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</si>
  <si>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</si>
  <si>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</si>
  <si>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Joachim</t>
  </si>
  <si>
    <t>Andersen</t>
  </si>
  <si>
    <t>Andreas</t>
  </si>
  <si>
    <t>Hoelgebaum Pereira</t>
  </si>
  <si>
    <t>Timothy</t>
  </si>
  <si>
    <t>Castagne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</si>
  <si>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</si>
  <si>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</si>
  <si>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</si>
  <si>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</si>
  <si>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</si>
  <si>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</si>
  <si>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</si>
  <si>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</si>
  <si>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Harry</t>
  </si>
  <si>
    <t>Wilson</t>
  </si>
  <si>
    <t>Dara</t>
  </si>
  <si>
    <t>O'Shea</t>
  </si>
  <si>
    <t>Chiedozie</t>
  </si>
  <si>
    <t>Ogbene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</si>
  <si>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</si>
  <si>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</si>
  <si>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</si>
  <si>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</si>
  <si>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</si>
  <si>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</si>
  <si>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</si>
  <si>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</si>
  <si>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</si>
  <si>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</si>
  <si>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</si>
  <si>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</si>
  <si>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</si>
  <si>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</si>
  <si>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</si>
  <si>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</si>
  <si>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</si>
  <si>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</si>
  <si>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</si>
  <si>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</si>
  <si>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</si>
  <si>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</si>
  <si>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</si>
  <si>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</si>
  <si>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</si>
  <si>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</si>
  <si>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</si>
  <si>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</si>
  <si>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</si>
  <si>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</si>
  <si>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</si>
  <si>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</si>
  <si>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</si>
  <si>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</si>
  <si>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</si>
  <si>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</si>
  <si>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</si>
  <si>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</si>
  <si>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</si>
  <si>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</si>
  <si>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</si>
  <si>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</si>
  <si>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</si>
  <si>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</si>
  <si>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Rúben</t>
  </si>
  <si>
    <t>Gato Alves Dias</t>
  </si>
  <si>
    <t>Kyle</t>
  </si>
  <si>
    <t>Walker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</si>
  <si>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</si>
  <si>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</si>
  <si>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</si>
  <si>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</si>
  <si>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</si>
  <si>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</si>
  <si>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</si>
  <si>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</si>
  <si>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</si>
  <si>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</si>
  <si>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</si>
  <si>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</si>
  <si>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</si>
  <si>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</si>
  <si>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Guimarães Rodriguez Moura</t>
  </si>
  <si>
    <t>Bruno G.</t>
  </si>
  <si>
    <t>Anthony</t>
  </si>
  <si>
    <t>Gordon</t>
  </si>
  <si>
    <t>Alexander</t>
  </si>
  <si>
    <t>Isak</t>
  </si>
  <si>
    <t>Sean</t>
  </si>
  <si>
    <t>Longstaff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</si>
  <si>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</si>
  <si>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</si>
  <si>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</si>
  <si>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</si>
  <si>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</si>
  <si>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</si>
  <si>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</si>
  <si>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Wood</t>
  </si>
  <si>
    <t>Ward-Prowse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</si>
  <si>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</si>
  <si>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</si>
  <si>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</si>
  <si>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</si>
  <si>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</si>
  <si>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</si>
  <si>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</si>
  <si>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</si>
  <si>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</si>
  <si>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</si>
  <si>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</si>
  <si>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</si>
  <si>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</si>
  <si>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</si>
  <si>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</si>
  <si>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</si>
  <si>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</si>
  <si>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</si>
  <si>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</si>
  <si>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</si>
  <si>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</si>
  <si>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Odobert</t>
  </si>
  <si>
    <t>Michail</t>
  </si>
  <si>
    <t>Antonio</t>
  </si>
  <si>
    <t>Alphonse</t>
  </si>
  <si>
    <t>Areola</t>
  </si>
  <si>
    <t>Jarrod</t>
  </si>
  <si>
    <t>Bowen</t>
  </si>
  <si>
    <t>Wes</t>
  </si>
  <si>
    <t>Foderingham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</si>
  <si>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</si>
  <si>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</si>
  <si>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</si>
  <si>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</si>
  <si>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</si>
  <si>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</si>
  <si>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</si>
  <si>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</si>
  <si>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Matheus</t>
  </si>
  <si>
    <t>Santos Carneiro Da Cunha</t>
  </si>
  <si>
    <t>Cunha</t>
  </si>
  <si>
    <t>Craig</t>
  </si>
  <si>
    <t>Dawson</t>
  </si>
  <si>
    <t>José</t>
  </si>
  <si>
    <t>Malheiro de Sá</t>
  </si>
  <si>
    <t>José Sá</t>
  </si>
  <si>
    <t>Mario</t>
  </si>
  <si>
    <t>Lemina</t>
  </si>
  <si>
    <t>Mario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</si>
</sst>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28" totalsRowShown="0">
  <autoFilter ref="A1:AM128" xr:uid="{00000000-0009-0000-0100-000001000000}">
    <filterColumn colId="38">
      <filters>
        <filter val="1"/>
      </filters>
    </filterColumn>
  </autoFilter>
  <sortState xmlns:xlrd2="http://schemas.microsoft.com/office/spreadsheetml/2017/richdata2" ref="A3:AM109">
    <sortCondition descending="1" ref="AJ1:AJ128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8"/>
  <sheetViews>
    <sheetView tabSelected="1" zoomScale="130" zoomScaleNormal="130" workbookViewId="0">
      <selection activeCell="C3" sqref="C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2</v>
      </c>
      <c r="AF2">
        <v>20.488560031958201</v>
      </c>
      <c r="AG2">
        <v>18.659120848259459</v>
      </c>
      <c r="AH2">
        <v>18.22795139935662</v>
      </c>
      <c r="AI2">
        <f>17.3987697064787*1</f>
        <v>17.398769706478699</v>
      </c>
      <c r="AJ2">
        <f>3.52065460763712*1</f>
        <v>3.5206546076371201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316.5574844956563</v>
      </c>
      <c r="AQ2" t="s">
        <v>1</v>
      </c>
    </row>
    <row r="3" spans="1:43" x14ac:dyDescent="0.2">
      <c r="A3" t="s">
        <v>220</v>
      </c>
      <c r="B3" t="s">
        <v>221</v>
      </c>
      <c r="C3" t="s">
        <v>221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23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404</v>
      </c>
      <c r="AF3">
        <v>18.833333333333329</v>
      </c>
      <c r="AG3">
        <v>23.668738348835131</v>
      </c>
      <c r="AH3">
        <v>25.171115596769841</v>
      </c>
      <c r="AI3">
        <f>41.9024049264173*1</f>
        <v>41.902404926417297</v>
      </c>
      <c r="AJ3">
        <f>8.05666720177413*1</f>
        <v>8.0566672017741308</v>
      </c>
      <c r="AK3">
        <v>1</v>
      </c>
      <c r="AL3">
        <v>1</v>
      </c>
      <c r="AM3">
        <v>1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8.4</v>
      </c>
      <c r="AE4">
        <v>10</v>
      </c>
      <c r="AF4">
        <v>23.432203389830509</v>
      </c>
      <c r="AG4">
        <v>23.48841947484544</v>
      </c>
      <c r="AH4">
        <v>23.003008963267511</v>
      </c>
      <c r="AI4">
        <f>7.81071733334495*1</f>
        <v>7.8107173333449502</v>
      </c>
      <c r="AJ4">
        <f>1.55573519381349*1</f>
        <v>1.55573519381349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99.300000000000026</v>
      </c>
      <c r="AQ4">
        <v>99.4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5.5</v>
      </c>
      <c r="AE5">
        <v>11</v>
      </c>
      <c r="AF5">
        <v>21.405502748722771</v>
      </c>
      <c r="AG5">
        <v>19.099044343253141</v>
      </c>
      <c r="AH5">
        <v>35.996923000509959</v>
      </c>
      <c r="AI5">
        <f>14.6171994416852*1</f>
        <v>14.6171994416852</v>
      </c>
      <c r="AJ5">
        <f>3.22459488718365*1</f>
        <v>3.2245948871836498</v>
      </c>
      <c r="AK5">
        <v>1</v>
      </c>
      <c r="AL5">
        <v>0</v>
      </c>
      <c r="AM5">
        <v>0</v>
      </c>
    </row>
    <row r="6" spans="1:43" x14ac:dyDescent="0.2">
      <c r="A6" t="s">
        <v>47</v>
      </c>
      <c r="B6" t="s">
        <v>48</v>
      </c>
      <c r="C6" t="s">
        <v>48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8.1</v>
      </c>
      <c r="AE6">
        <v>3</v>
      </c>
      <c r="AF6">
        <v>35.822869109646767</v>
      </c>
      <c r="AG6">
        <v>13.832885897674229</v>
      </c>
      <c r="AH6">
        <v>40.299999999999997</v>
      </c>
      <c r="AI6">
        <f>37.5747387222431*1</f>
        <v>37.574738722243097</v>
      </c>
      <c r="AJ6">
        <f>8.0381871773355*1</f>
        <v>8.0381871773354998</v>
      </c>
      <c r="AK6">
        <v>1</v>
      </c>
      <c r="AL6">
        <v>0</v>
      </c>
      <c r="AM6">
        <v>1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4</v>
      </c>
      <c r="E7">
        <v>0</v>
      </c>
      <c r="F7">
        <v>1</v>
      </c>
      <c r="G7">
        <v>0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14</v>
      </c>
      <c r="AF7">
        <v>21.984711988893189</v>
      </c>
      <c r="AG7">
        <v>19.993933479367971</v>
      </c>
      <c r="AH7">
        <v>21.433447826539119</v>
      </c>
      <c r="AI7">
        <f>16.6055115347109*1</f>
        <v>16.605511534710899</v>
      </c>
      <c r="AJ7">
        <f>3.62973122783428*1</f>
        <v>3.6297312278342799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6.9</v>
      </c>
      <c r="AE8">
        <v>18</v>
      </c>
      <c r="AF8">
        <v>18.986020465210231</v>
      </c>
      <c r="AG8">
        <v>14.49686325447523</v>
      </c>
      <c r="AH8">
        <v>16.93656681478025</v>
      </c>
      <c r="AI8">
        <f>14.1256044782438*1</f>
        <v>14.125604478243799</v>
      </c>
      <c r="AJ8">
        <f>2.5790385802168*1</f>
        <v>2.5790385802168001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19</v>
      </c>
      <c r="AF9">
        <v>22.466666666666669</v>
      </c>
      <c r="AG9">
        <v>19.755271515933039</v>
      </c>
      <c r="AH9">
        <v>23.45377383133145</v>
      </c>
      <c r="AI9">
        <f>18.7583239508317*1</f>
        <v>18.758323950831699</v>
      </c>
      <c r="AJ9">
        <f>4.04553801073159*1</f>
        <v>4.0455380107315904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20</v>
      </c>
      <c r="AF10">
        <v>17.008547008547001</v>
      </c>
      <c r="AG10">
        <v>16.669844179793039</v>
      </c>
      <c r="AH10">
        <v>17.743546669955329</v>
      </c>
      <c r="AI10">
        <f>10.5870902326322*1</f>
        <v>10.5870902326322</v>
      </c>
      <c r="AJ10">
        <f>2.16836757047569*1</f>
        <v>2.1683675704756902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66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</v>
      </c>
      <c r="AE11">
        <v>21</v>
      </c>
      <c r="AF11">
        <v>17.324115509868388</v>
      </c>
      <c r="AG11">
        <v>19.024268965686371</v>
      </c>
      <c r="AH11">
        <v>11.57699924616098</v>
      </c>
      <c r="AI11">
        <f>11.8356014989169*1</f>
        <v>11.835601498916899</v>
      </c>
      <c r="AJ11">
        <f>2.43316606108593*1</f>
        <v>2.43316606108593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2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6.8</v>
      </c>
      <c r="AE12">
        <v>22</v>
      </c>
      <c r="AF12">
        <v>19.185200005024878</v>
      </c>
      <c r="AG12">
        <v>27.71575791239994</v>
      </c>
      <c r="AH12">
        <v>13.64608601357666</v>
      </c>
      <c r="AI12">
        <f>11.599966914533*1</f>
        <v>11.599966914533001</v>
      </c>
      <c r="AJ12">
        <f>2.26086819278545*1</f>
        <v>2.2608681927854501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6.5</v>
      </c>
      <c r="AE13">
        <v>34</v>
      </c>
      <c r="AF13">
        <v>18.684210526315798</v>
      </c>
      <c r="AG13">
        <v>21.614593037439441</v>
      </c>
      <c r="AH13">
        <v>13.573775455109431</v>
      </c>
      <c r="AI13">
        <f>24.5139423511872*1</f>
        <v>24.5139423511872</v>
      </c>
      <c r="AJ13">
        <f>4.73409931384949*1</f>
        <v>4.73409931384949</v>
      </c>
      <c r="AK13">
        <v>1</v>
      </c>
      <c r="AL13">
        <v>0</v>
      </c>
      <c r="AM13">
        <v>0</v>
      </c>
    </row>
    <row r="14" spans="1:43" hidden="1" x14ac:dyDescent="0.2">
      <c r="A14" t="s">
        <v>71</v>
      </c>
      <c r="B14" t="s">
        <v>72</v>
      </c>
      <c r="C14" t="s">
        <v>72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36</v>
      </c>
      <c r="AF14">
        <v>11.96857396672292</v>
      </c>
      <c r="AG14">
        <v>15.36345346387583</v>
      </c>
      <c r="AH14">
        <v>22.82033362021485</v>
      </c>
      <c r="AI14">
        <f>14.6710519181389*1</f>
        <v>14.6710519181389</v>
      </c>
      <c r="AJ14">
        <f>2.55517134683642*1</f>
        <v>2.5551713468364201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4</v>
      </c>
    </row>
    <row r="15" spans="1:43" hidden="1" x14ac:dyDescent="0.2">
      <c r="A15" t="s">
        <v>73</v>
      </c>
      <c r="B15" t="s">
        <v>74</v>
      </c>
      <c r="C15" t="s">
        <v>74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5.5</v>
      </c>
      <c r="AE15">
        <v>57</v>
      </c>
      <c r="AF15">
        <v>14.06750817643653</v>
      </c>
      <c r="AG15">
        <v>14.99207760033959</v>
      </c>
      <c r="AH15">
        <v>10.90455559620694</v>
      </c>
      <c r="AI15">
        <f>17.3227918611734*1</f>
        <v>17.3227918611734</v>
      </c>
      <c r="AJ15">
        <f>3.46003588736878*1</f>
        <v>3.4600358873687802</v>
      </c>
      <c r="AK15">
        <v>1</v>
      </c>
      <c r="AL15">
        <v>0</v>
      </c>
      <c r="AM15"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8.9</v>
      </c>
      <c r="AE16">
        <v>58</v>
      </c>
      <c r="AF16">
        <v>23.70629370629371</v>
      </c>
      <c r="AG16">
        <v>19.99474388592412</v>
      </c>
      <c r="AH16">
        <v>20.380448097994851</v>
      </c>
      <c r="AI16">
        <f>17.389955863535*1</f>
        <v>17.389955863535</v>
      </c>
      <c r="AJ16">
        <f>3.16570481562364*1</f>
        <v>3.16570481562364</v>
      </c>
      <c r="AK16">
        <v>1</v>
      </c>
      <c r="AL16">
        <v>0</v>
      </c>
      <c r="AM16">
        <v>0</v>
      </c>
      <c r="AO16" t="s">
        <v>10</v>
      </c>
      <c r="AP16">
        <f>AP2-AP14*5</f>
        <v>296.5574844956563</v>
      </c>
    </row>
    <row r="17" spans="1:43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5.0999999999999996</v>
      </c>
      <c r="AE17">
        <v>59</v>
      </c>
      <c r="AF17">
        <v>10.926734208475761</v>
      </c>
      <c r="AG17">
        <v>10.318592319407349</v>
      </c>
      <c r="AH17">
        <v>20.704021757068279</v>
      </c>
      <c r="AI17">
        <f>13.9171764381408*1</f>
        <v>13.9171764381408</v>
      </c>
      <c r="AJ17">
        <f>1.80030211293059*1</f>
        <v>1.8003021129305901</v>
      </c>
      <c r="AK17">
        <v>1</v>
      </c>
      <c r="AL17">
        <v>0</v>
      </c>
      <c r="AM17">
        <v>0</v>
      </c>
    </row>
    <row r="18" spans="1:43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4.9000000000000004</v>
      </c>
      <c r="AE18">
        <v>68</v>
      </c>
      <c r="AF18">
        <v>10.579710144927541</v>
      </c>
      <c r="AG18">
        <v>8.7464864141182392</v>
      </c>
      <c r="AH18">
        <v>9.4758202255022166</v>
      </c>
      <c r="AI18">
        <f>5.30591630616695*1</f>
        <v>5.3059163061669503</v>
      </c>
      <c r="AJ18">
        <f>1.05672128199924*1</f>
        <v>1.05672128199924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2</v>
      </c>
      <c r="AQ18">
        <v>3</v>
      </c>
    </row>
    <row r="19" spans="1:43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69</v>
      </c>
      <c r="AF19">
        <v>9.6078431372549034</v>
      </c>
      <c r="AG19">
        <v>8.2465529746835102</v>
      </c>
      <c r="AH19">
        <v>16.575631688572859</v>
      </c>
      <c r="AI19">
        <f>9.62726402934974*1</f>
        <v>9.6272640293497407</v>
      </c>
      <c r="AJ19">
        <f>1.98031050561325*1</f>
        <v>1.9803105056132499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5.4</v>
      </c>
      <c r="AE20">
        <v>76</v>
      </c>
      <c r="AF20">
        <v>15.58823529411764</v>
      </c>
      <c r="AG20">
        <v>22.824021871966909</v>
      </c>
      <c r="AH20">
        <v>17.847244294167371</v>
      </c>
      <c r="AI20">
        <f>7.82313132441681*1</f>
        <v>7.8231313244168099</v>
      </c>
      <c r="AJ20">
        <f>1.55608198617012*1</f>
        <v>1.5560819861701201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5.6</v>
      </c>
      <c r="AE21">
        <v>82</v>
      </c>
      <c r="AF21">
        <v>20.449500869929899</v>
      </c>
      <c r="AG21">
        <v>13.02442515608713</v>
      </c>
      <c r="AH21">
        <v>30.60244336467558</v>
      </c>
      <c r="AI21">
        <f>7.89828869389298*1</f>
        <v>7.8982886938929804</v>
      </c>
      <c r="AJ21">
        <f>1.56215773392431*1</f>
        <v>1.56215773392431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0</v>
      </c>
      <c r="AQ21">
        <v>3</v>
      </c>
    </row>
    <row r="22" spans="1:43" hidden="1" x14ac:dyDescent="0.2">
      <c r="A22" t="s">
        <v>87</v>
      </c>
      <c r="B22" t="s">
        <v>88</v>
      </c>
      <c r="C22" t="s">
        <v>88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</v>
      </c>
      <c r="AE22">
        <v>85</v>
      </c>
      <c r="AF22">
        <v>12.06140350877194</v>
      </c>
      <c r="AG22">
        <v>11.10681164086866</v>
      </c>
      <c r="AH22">
        <v>5.7636363636363637</v>
      </c>
      <c r="AI22">
        <f>6.11943813056739*1</f>
        <v>6.1194381305673904</v>
      </c>
      <c r="AJ22">
        <f>1.20600065037317*1</f>
        <v>1.2060006503731699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86</v>
      </c>
      <c r="AF23">
        <v>17.31481481481481</v>
      </c>
      <c r="AG23">
        <v>23.749565314008581</v>
      </c>
      <c r="AH23">
        <v>25.233333333333331</v>
      </c>
      <c r="AI23">
        <f>13.4250343155417*1</f>
        <v>13.4250343155417</v>
      </c>
      <c r="AJ23">
        <f>2.38703959121066*1</f>
        <v>2.3870395912106601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2</v>
      </c>
      <c r="AQ23">
        <v>3</v>
      </c>
    </row>
    <row r="24" spans="1:43" hidden="1" x14ac:dyDescent="0.2">
      <c r="A24" t="s">
        <v>91</v>
      </c>
      <c r="B24" t="s">
        <v>92</v>
      </c>
      <c r="C24" t="s">
        <v>92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14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94</v>
      </c>
      <c r="AF24">
        <v>14.444444444444439</v>
      </c>
      <c r="AG24">
        <v>12.82979048760788</v>
      </c>
      <c r="AH24">
        <v>5.8</v>
      </c>
      <c r="AI24">
        <f>4.17820625736168*1</f>
        <v>4.1782062573616798</v>
      </c>
      <c r="AJ24">
        <f>0.915699048060414*1</f>
        <v>0.91569904806041402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93</v>
      </c>
      <c r="B25" t="s">
        <v>94</v>
      </c>
      <c r="C25" t="s">
        <v>94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96</v>
      </c>
      <c r="AF25">
        <v>12.56410256410255</v>
      </c>
      <c r="AG25">
        <v>9.9662301843453154</v>
      </c>
      <c r="AH25">
        <v>17.698377601285301</v>
      </c>
      <c r="AI25">
        <f>16.7410355874076*1</f>
        <v>16.741035587407598</v>
      </c>
      <c r="AJ25">
        <f>2.49239430978345*1</f>
        <v>2.49239430978345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2</v>
      </c>
      <c r="AQ25">
        <v>3</v>
      </c>
    </row>
    <row r="26" spans="1:43" hidden="1" x14ac:dyDescent="0.2">
      <c r="A26" t="s">
        <v>95</v>
      </c>
      <c r="B26" t="s">
        <v>96</v>
      </c>
      <c r="C26" t="s">
        <v>96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99</v>
      </c>
      <c r="AF26">
        <v>16.410256410256419</v>
      </c>
      <c r="AG26">
        <v>23.623508435585808</v>
      </c>
      <c r="AH26">
        <v>14.775</v>
      </c>
      <c r="AI26">
        <f>9.08457011657922*1</f>
        <v>9.0845701165792203</v>
      </c>
      <c r="AJ26">
        <f>1.70042545376744*1</f>
        <v>1.7004254537674399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1</v>
      </c>
      <c r="AQ26">
        <v>3</v>
      </c>
    </row>
    <row r="27" spans="1:43" hidden="1" x14ac:dyDescent="0.2">
      <c r="A27" t="s">
        <v>97</v>
      </c>
      <c r="B27" t="s">
        <v>98</v>
      </c>
      <c r="C27" t="s">
        <v>98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4.9000000000000004</v>
      </c>
      <c r="AE27">
        <v>102</v>
      </c>
      <c r="AF27">
        <v>13.00970873786407</v>
      </c>
      <c r="AG27">
        <v>13.90008764300763</v>
      </c>
      <c r="AH27">
        <v>11.596533261613381</v>
      </c>
      <c r="AI27">
        <f>13.3384341680609*1</f>
        <v>13.3384341680609</v>
      </c>
      <c r="AJ27">
        <f>2.87620168137832*1</f>
        <v>2.87620168137832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5.5</v>
      </c>
      <c r="AE28">
        <v>103</v>
      </c>
      <c r="AF28">
        <v>14.994314332958689</v>
      </c>
      <c r="AG28">
        <v>16.67409728338933</v>
      </c>
      <c r="AH28">
        <v>15.086932030092591</v>
      </c>
      <c r="AI28">
        <f>8.71003672871178*1</f>
        <v>8.7100367287117795</v>
      </c>
      <c r="AJ28">
        <f>1.61534778368212*1</f>
        <v>1.61534778368212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106</v>
      </c>
      <c r="AF29">
        <v>10.71428571428571</v>
      </c>
      <c r="AG29">
        <v>14.81762274088841</v>
      </c>
      <c r="AH29">
        <v>7.2666666666666666</v>
      </c>
      <c r="AI29">
        <f>7.45884040704484*1</f>
        <v>7.45884040704484</v>
      </c>
      <c r="AJ29">
        <f>1.57012414442613*1</f>
        <v>1.57012414442613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0</v>
      </c>
      <c r="AQ29">
        <v>3</v>
      </c>
    </row>
    <row r="30" spans="1:43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7.1</v>
      </c>
      <c r="AE30">
        <v>107</v>
      </c>
      <c r="AF30">
        <v>25.567307906291571</v>
      </c>
      <c r="AG30">
        <v>18.756520614696889</v>
      </c>
      <c r="AH30">
        <v>40.621642316017322</v>
      </c>
      <c r="AI30">
        <f>28.325756644387*1</f>
        <v>28.325756644386999</v>
      </c>
      <c r="AJ30">
        <f>5.7364688233623*1</f>
        <v>5.7364688233622996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1</v>
      </c>
      <c r="AQ30">
        <v>3</v>
      </c>
    </row>
    <row r="31" spans="1:43" hidden="1" x14ac:dyDescent="0.2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0</v>
      </c>
      <c r="H31">
        <v>1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6.1</v>
      </c>
      <c r="AE31">
        <v>118</v>
      </c>
      <c r="AF31">
        <v>18.248038463750941</v>
      </c>
      <c r="AG31">
        <v>12.6577945182867</v>
      </c>
      <c r="AH31">
        <v>25.49215184835062</v>
      </c>
      <c r="AI31">
        <f>23.3895685150191*1</f>
        <v>23.3895685150191</v>
      </c>
      <c r="AJ31">
        <f>5.35539271372809*1</f>
        <v>5.3553927137280901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5.5</v>
      </c>
      <c r="AE32">
        <v>126</v>
      </c>
      <c r="AF32">
        <v>16.79751127787349</v>
      </c>
      <c r="AG32">
        <v>18.032966247614699</v>
      </c>
      <c r="AH32">
        <v>12.193156973978979</v>
      </c>
      <c r="AI32">
        <f>8.63781218666153*1</f>
        <v>8.6378121866615292</v>
      </c>
      <c r="AJ32">
        <f>1.61299758336083*1</f>
        <v>1.6129975833608301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3</v>
      </c>
      <c r="AQ32">
        <v>3</v>
      </c>
    </row>
    <row r="33" spans="1:43" hidden="1" x14ac:dyDescent="0.2">
      <c r="A33" t="s">
        <v>81</v>
      </c>
      <c r="B33" t="s">
        <v>109</v>
      </c>
      <c r="C33" t="s">
        <v>109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132</v>
      </c>
      <c r="AF33">
        <v>15.82051282051281</v>
      </c>
      <c r="AG33">
        <v>14.73817887419643</v>
      </c>
      <c r="AH33">
        <v>12.69594936826601</v>
      </c>
      <c r="AI33">
        <f>7.43855026027602*1</f>
        <v>7.4385502602760196</v>
      </c>
      <c r="AJ33">
        <f>1.37989636888198*1</f>
        <v>1.3798963688819801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1</v>
      </c>
      <c r="AQ33">
        <v>3</v>
      </c>
    </row>
    <row r="34" spans="1:43" hidden="1" x14ac:dyDescent="0.2">
      <c r="A34" t="s">
        <v>110</v>
      </c>
      <c r="B34" t="s">
        <v>111</v>
      </c>
      <c r="C34" t="s">
        <v>112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6.5</v>
      </c>
      <c r="AE34">
        <v>137</v>
      </c>
      <c r="AF34">
        <v>17.8611111111111</v>
      </c>
      <c r="AG34">
        <v>15.88488919762262</v>
      </c>
      <c r="AH34">
        <v>11.790668364711481</v>
      </c>
      <c r="AI34">
        <f>6.06404655297594*1</f>
        <v>6.06404655297594</v>
      </c>
      <c r="AJ34">
        <f>1.12190121583538*1</f>
        <v>1.1219012158353801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113</v>
      </c>
      <c r="B35" t="s">
        <v>114</v>
      </c>
      <c r="C35" t="s">
        <v>113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5.7</v>
      </c>
      <c r="AE35">
        <v>141</v>
      </c>
      <c r="AF35">
        <v>17.807272184898409</v>
      </c>
      <c r="AG35">
        <v>12.564700442789849</v>
      </c>
      <c r="AH35">
        <v>38.236904761904761</v>
      </c>
      <c r="AI35">
        <f>9.96019113626192*1</f>
        <v>9.9601911362619209</v>
      </c>
      <c r="AJ35">
        <f>1.95407281813574*1</f>
        <v>1.9540728181357401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115</v>
      </c>
      <c r="B36" t="s">
        <v>116</v>
      </c>
      <c r="C36" t="s">
        <v>117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156</v>
      </c>
      <c r="AF36">
        <v>12.383041657179071</v>
      </c>
      <c r="AG36">
        <v>8.0083493463332527</v>
      </c>
      <c r="AH36">
        <v>19.024668104206789</v>
      </c>
      <c r="AI36">
        <f>9.53589707439074*1</f>
        <v>9.5358970743907392</v>
      </c>
      <c r="AJ36">
        <f>1.76836992040314*1</f>
        <v>1.76836992040314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5.7</v>
      </c>
      <c r="AE37">
        <v>160</v>
      </c>
      <c r="AF37">
        <v>15.29593107156391</v>
      </c>
      <c r="AG37">
        <v>13.74744400589787</v>
      </c>
      <c r="AH37">
        <v>34.1</v>
      </c>
      <c r="AI37">
        <f>17.5363510045506*1</f>
        <v>17.5363510045506</v>
      </c>
      <c r="AJ37">
        <f>3.64797715916363*1</f>
        <v>3.6479771591636299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120</v>
      </c>
      <c r="B38" t="s">
        <v>121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174</v>
      </c>
      <c r="AF38">
        <v>11.02941176470588</v>
      </c>
      <c r="AG38">
        <v>7.7669551258414717</v>
      </c>
      <c r="AH38">
        <v>9.7926263976999586</v>
      </c>
      <c r="AI38">
        <f>11.905177974069*1</f>
        <v>11.905177974069</v>
      </c>
      <c r="AJ38">
        <f>2.32749522557876*1</f>
        <v>2.32749522557876</v>
      </c>
      <c r="AK38">
        <v>1</v>
      </c>
      <c r="AL38">
        <v>0</v>
      </c>
      <c r="AM38">
        <v>0</v>
      </c>
    </row>
    <row r="39" spans="1:43" hidden="1" x14ac:dyDescent="0.2">
      <c r="A39" t="s">
        <v>123</v>
      </c>
      <c r="B39" t="s">
        <v>124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184</v>
      </c>
      <c r="AF39">
        <v>13.08510638297872</v>
      </c>
      <c r="AG39">
        <v>12.360133672627549</v>
      </c>
      <c r="AH39">
        <v>7.2266666666666666</v>
      </c>
      <c r="AI39">
        <f>8.13337976575435*1</f>
        <v>8.1333797657543503</v>
      </c>
      <c r="AJ39">
        <f>1.57062404561069*1</f>
        <v>1.5706240456106899</v>
      </c>
      <c r="AK39">
        <v>1</v>
      </c>
      <c r="AL39">
        <v>0</v>
      </c>
      <c r="AM39">
        <v>0</v>
      </c>
    </row>
    <row r="40" spans="1:43" hidden="1" x14ac:dyDescent="0.2">
      <c r="A40" t="s">
        <v>125</v>
      </c>
      <c r="B40" t="s">
        <v>126</v>
      </c>
      <c r="C40" t="s">
        <v>126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5.9</v>
      </c>
      <c r="AE40">
        <v>185</v>
      </c>
      <c r="AF40">
        <v>15.14988984423073</v>
      </c>
      <c r="AG40">
        <v>13.431822512111371</v>
      </c>
      <c r="AH40">
        <v>13.89506378266335</v>
      </c>
      <c r="AI40">
        <f>18.3118232559998*1</f>
        <v>18.311823255999801</v>
      </c>
      <c r="AJ40">
        <f>4.04826822270209*1</f>
        <v>4.0482682227020899</v>
      </c>
      <c r="AK40">
        <v>1</v>
      </c>
      <c r="AL40">
        <v>0</v>
      </c>
      <c r="AM40">
        <v>0</v>
      </c>
    </row>
    <row r="41" spans="1:43" hidden="1" x14ac:dyDescent="0.2">
      <c r="A41" t="s">
        <v>127</v>
      </c>
      <c r="B41" t="s">
        <v>128</v>
      </c>
      <c r="C41" t="s">
        <v>128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187</v>
      </c>
      <c r="AF41">
        <v>13.103448275862069</v>
      </c>
      <c r="AG41">
        <v>12.802927049556891</v>
      </c>
      <c r="AH41">
        <v>7.2738206197565454</v>
      </c>
      <c r="AI41">
        <f>10.4933995568768*1</f>
        <v>10.493399556876801</v>
      </c>
      <c r="AJ41">
        <f>2.20037713361394*1</f>
        <v>2.2003771336139399</v>
      </c>
      <c r="AK41">
        <v>1</v>
      </c>
      <c r="AL41">
        <v>0</v>
      </c>
      <c r="AM41">
        <v>0</v>
      </c>
    </row>
    <row r="42" spans="1:43" x14ac:dyDescent="0.2">
      <c r="A42" t="s">
        <v>129</v>
      </c>
      <c r="B42" t="s">
        <v>130</v>
      </c>
      <c r="C42" t="s">
        <v>131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7.6</v>
      </c>
      <c r="AE42">
        <v>196</v>
      </c>
      <c r="AF42">
        <v>23.109939853874589</v>
      </c>
      <c r="AG42">
        <v>22.576211519949879</v>
      </c>
      <c r="AH42">
        <v>46.34070738368932</v>
      </c>
      <c r="AI42">
        <f>37.4117488816634*1</f>
        <v>37.411748881663399</v>
      </c>
      <c r="AJ42">
        <f>7.55491206371034*1</f>
        <v>7.55491206371034</v>
      </c>
      <c r="AK42">
        <v>1</v>
      </c>
      <c r="AL42">
        <v>1</v>
      </c>
      <c r="AM42">
        <v>1</v>
      </c>
    </row>
    <row r="43" spans="1:43" x14ac:dyDescent="0.2">
      <c r="A43" t="s">
        <v>54</v>
      </c>
      <c r="B43" t="s">
        <v>55</v>
      </c>
      <c r="C43" t="s">
        <v>55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10.1</v>
      </c>
      <c r="AE43">
        <v>13</v>
      </c>
      <c r="AF43">
        <v>33.373525398683412</v>
      </c>
      <c r="AG43">
        <v>22.48169162424843</v>
      </c>
      <c r="AH43">
        <v>28.60509261018175</v>
      </c>
      <c r="AI43">
        <f>32.2079033537244*1</f>
        <v>32.207903353724397</v>
      </c>
      <c r="AJ43">
        <f>6.88940076946847*1</f>
        <v>6.8894007694684696</v>
      </c>
      <c r="AK43">
        <v>1</v>
      </c>
      <c r="AL43">
        <v>0</v>
      </c>
      <c r="AM43">
        <v>1</v>
      </c>
    </row>
    <row r="44" spans="1:43" hidden="1" x14ac:dyDescent="0.2">
      <c r="A44" t="s">
        <v>134</v>
      </c>
      <c r="B44" t="s">
        <v>135</v>
      </c>
      <c r="C44" t="s">
        <v>136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213</v>
      </c>
      <c r="AF44">
        <v>10.405405405405411</v>
      </c>
      <c r="AG44">
        <v>8.6538810333875613</v>
      </c>
      <c r="AH44">
        <v>16.280297966959139</v>
      </c>
      <c r="AI44">
        <f>3.80527628516645*1</f>
        <v>3.8052762851664501</v>
      </c>
      <c r="AJ44">
        <f>0.707445864830379*1</f>
        <v>0.70744586483037897</v>
      </c>
      <c r="AK44">
        <v>1</v>
      </c>
      <c r="AL44">
        <v>0</v>
      </c>
      <c r="AM44">
        <v>0</v>
      </c>
    </row>
    <row r="45" spans="1:43" hidden="1" x14ac:dyDescent="0.2">
      <c r="A45" t="s">
        <v>137</v>
      </c>
      <c r="B45" t="s">
        <v>138</v>
      </c>
      <c r="C45" t="s">
        <v>138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6.9</v>
      </c>
      <c r="AE45">
        <v>217</v>
      </c>
      <c r="AF45">
        <v>24.67938675356632</v>
      </c>
      <c r="AG45">
        <v>15.36488568362893</v>
      </c>
      <c r="AH45">
        <v>60.785062921268462</v>
      </c>
      <c r="AI45">
        <f>29.0651347826599*1</f>
        <v>29.0651347826599</v>
      </c>
      <c r="AJ45">
        <f>5.36911456695529*1</f>
        <v>5.3691145669552904</v>
      </c>
      <c r="AK45">
        <v>1</v>
      </c>
      <c r="AL45">
        <v>0</v>
      </c>
      <c r="AM45">
        <v>0</v>
      </c>
    </row>
    <row r="46" spans="1:43" hidden="1" x14ac:dyDescent="0.2">
      <c r="A46" t="s">
        <v>139</v>
      </c>
      <c r="B46" t="s">
        <v>140</v>
      </c>
      <c r="C46" t="s">
        <v>140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7.4</v>
      </c>
      <c r="AE46">
        <v>224</v>
      </c>
      <c r="AF46">
        <v>26.620715145968529</v>
      </c>
      <c r="AG46">
        <v>10.475285945575941</v>
      </c>
      <c r="AH46">
        <v>8.3454545454545457</v>
      </c>
      <c r="AI46">
        <f>10.5934176455733*1</f>
        <v>10.5934176455733</v>
      </c>
      <c r="AJ46">
        <f>2.07941160320032*1</f>
        <v>2.0794116032003198</v>
      </c>
      <c r="AK46">
        <v>1</v>
      </c>
      <c r="AL46">
        <v>1</v>
      </c>
      <c r="AM46">
        <v>0</v>
      </c>
    </row>
    <row r="47" spans="1:43" hidden="1" x14ac:dyDescent="0.2">
      <c r="A47" t="s">
        <v>141</v>
      </c>
      <c r="B47" t="s">
        <v>142</v>
      </c>
      <c r="C47" t="s">
        <v>142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4.9000000000000004</v>
      </c>
      <c r="AE47">
        <v>227</v>
      </c>
      <c r="AF47">
        <v>14.90098799477747</v>
      </c>
      <c r="AG47">
        <v>14.449293763507701</v>
      </c>
      <c r="AH47">
        <v>9.7645327621632863</v>
      </c>
      <c r="AI47">
        <f>17.3790100983251*1</f>
        <v>17.3790100983251</v>
      </c>
      <c r="AJ47">
        <f>3.26285401045826*1</f>
        <v>3.26285401045826</v>
      </c>
      <c r="AK47">
        <v>1</v>
      </c>
      <c r="AL47">
        <v>0</v>
      </c>
      <c r="AM47">
        <v>0</v>
      </c>
    </row>
    <row r="48" spans="1:43" hidden="1" x14ac:dyDescent="0.2">
      <c r="A48" t="s">
        <v>143</v>
      </c>
      <c r="B48" t="s">
        <v>144</v>
      </c>
      <c r="C48" t="s">
        <v>144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231</v>
      </c>
      <c r="AF48">
        <v>13.03030303030304</v>
      </c>
      <c r="AG48">
        <v>13.16969062118867</v>
      </c>
      <c r="AH48">
        <v>5.3268220703193316</v>
      </c>
      <c r="AI48">
        <f>9.43603466368098*1</f>
        <v>9.4360346636809798</v>
      </c>
      <c r="AJ48">
        <f>1.85752439936725*1</f>
        <v>1.8575243993672499</v>
      </c>
      <c r="AK48">
        <v>1</v>
      </c>
      <c r="AL48">
        <v>0</v>
      </c>
      <c r="AM48">
        <v>0</v>
      </c>
    </row>
    <row r="49" spans="1:39" hidden="1" x14ac:dyDescent="0.2">
      <c r="A49" t="s">
        <v>145</v>
      </c>
      <c r="B49" t="s">
        <v>146</v>
      </c>
      <c r="C49" t="s">
        <v>147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5.4</v>
      </c>
      <c r="AE49">
        <v>242</v>
      </c>
      <c r="AF49">
        <v>15.71823204419889</v>
      </c>
      <c r="AG49">
        <v>15.82252981705394</v>
      </c>
      <c r="AH49">
        <v>8.7304804860323095</v>
      </c>
      <c r="AI49">
        <f>11.8979161065542*1</f>
        <v>11.897916106554201</v>
      </c>
      <c r="AJ49">
        <f>2.50795851394566*1</f>
        <v>2.5079585139456602</v>
      </c>
      <c r="AK49">
        <v>1</v>
      </c>
      <c r="AL49">
        <v>0</v>
      </c>
      <c r="AM49">
        <v>0</v>
      </c>
    </row>
    <row r="50" spans="1:39" hidden="1" x14ac:dyDescent="0.2">
      <c r="A50" t="s">
        <v>148</v>
      </c>
      <c r="B50" t="s">
        <v>149</v>
      </c>
      <c r="C50" t="s">
        <v>149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244</v>
      </c>
      <c r="AF50">
        <v>15.56818181818182</v>
      </c>
      <c r="AG50">
        <v>13.412496292931831</v>
      </c>
      <c r="AH50">
        <v>28.266627898731649</v>
      </c>
      <c r="AI50">
        <f>21.2621931855534*1</f>
        <v>21.2621931855534</v>
      </c>
      <c r="AJ50">
        <f>4.27207319292343*1</f>
        <v>4.2720731929234299</v>
      </c>
      <c r="AK50">
        <v>1</v>
      </c>
      <c r="AL50">
        <v>0</v>
      </c>
      <c r="AM50">
        <v>0</v>
      </c>
    </row>
    <row r="51" spans="1:39" hidden="1" x14ac:dyDescent="0.2">
      <c r="A51" t="s">
        <v>150</v>
      </c>
      <c r="B51" t="s">
        <v>151</v>
      </c>
      <c r="C51" t="s">
        <v>151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5.9</v>
      </c>
      <c r="AE51">
        <v>245</v>
      </c>
      <c r="AF51">
        <v>18.96607330679511</v>
      </c>
      <c r="AG51">
        <v>17.103304223990651</v>
      </c>
      <c r="AH51">
        <v>24.108433038939278</v>
      </c>
      <c r="AI51">
        <f>28.7026616283365*1</f>
        <v>28.7026616283365</v>
      </c>
      <c r="AJ51">
        <f>6.38014547093995*1</f>
        <v>6.3801454709399499</v>
      </c>
      <c r="AK51">
        <v>1</v>
      </c>
      <c r="AL51">
        <v>0</v>
      </c>
      <c r="AM51">
        <v>0</v>
      </c>
    </row>
    <row r="52" spans="1:39" hidden="1" x14ac:dyDescent="0.2">
      <c r="A52" t="s">
        <v>152</v>
      </c>
      <c r="B52" t="s">
        <v>153</v>
      </c>
      <c r="C52" t="s">
        <v>154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247</v>
      </c>
      <c r="AF52">
        <v>11.223320064490171</v>
      </c>
      <c r="AG52">
        <v>9.0911258264467172</v>
      </c>
      <c r="AH52">
        <v>9.65</v>
      </c>
      <c r="AI52">
        <f>14.6299804301399*1</f>
        <v>14.6299804301399</v>
      </c>
      <c r="AJ52">
        <f>2.97948754774982*1</f>
        <v>2.9794875477498199</v>
      </c>
      <c r="AK52">
        <v>1</v>
      </c>
      <c r="AL52">
        <v>0</v>
      </c>
      <c r="AM52">
        <v>0</v>
      </c>
    </row>
    <row r="53" spans="1:39" hidden="1" x14ac:dyDescent="0.2">
      <c r="A53" t="s">
        <v>155</v>
      </c>
      <c r="B53" t="s">
        <v>156</v>
      </c>
      <c r="C53" t="s">
        <v>156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255</v>
      </c>
      <c r="AF53">
        <v>16.90122832454874</v>
      </c>
      <c r="AG53">
        <v>14.62055305439169</v>
      </c>
      <c r="AH53">
        <v>20.262676503236989</v>
      </c>
      <c r="AI53">
        <f>14.8978050276707*1</f>
        <v>14.897805027670699</v>
      </c>
      <c r="AJ53">
        <f>2.70869012624971*1</f>
        <v>2.7086901262497101</v>
      </c>
      <c r="AK53">
        <v>1</v>
      </c>
      <c r="AL53">
        <v>0</v>
      </c>
      <c r="AM53">
        <v>0</v>
      </c>
    </row>
    <row r="54" spans="1:39" x14ac:dyDescent="0.2">
      <c r="A54" t="s">
        <v>269</v>
      </c>
      <c r="B54" t="s">
        <v>270</v>
      </c>
      <c r="C54" t="s">
        <v>271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28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5.5</v>
      </c>
      <c r="AE54">
        <v>572</v>
      </c>
      <c r="AF54">
        <v>19.70588235294117</v>
      </c>
      <c r="AG54">
        <v>17.213507471587381</v>
      </c>
      <c r="AH54">
        <v>37.233333333333327</v>
      </c>
      <c r="AI54">
        <f>22.6645738521179*1</f>
        <v>22.664573852117901</v>
      </c>
      <c r="AJ54">
        <f>5.08909030197992*1</f>
        <v>5.0890903019799199</v>
      </c>
      <c r="AK54">
        <v>1</v>
      </c>
      <c r="AL54">
        <v>1</v>
      </c>
      <c r="AM54">
        <v>1</v>
      </c>
    </row>
    <row r="55" spans="1:39" x14ac:dyDescent="0.2">
      <c r="A55" t="s">
        <v>249</v>
      </c>
      <c r="B55" t="s">
        <v>250</v>
      </c>
      <c r="C55" t="s">
        <v>250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25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7.4</v>
      </c>
      <c r="AE55">
        <v>458</v>
      </c>
      <c r="AF55">
        <v>31.405884634908329</v>
      </c>
      <c r="AG55">
        <v>15.68819651520373</v>
      </c>
      <c r="AH55">
        <v>32.669919295201169</v>
      </c>
      <c r="AI55">
        <f>20.9899401774433*1</f>
        <v>20.989940177443302</v>
      </c>
      <c r="AJ55">
        <f>4.78067859353836*1</f>
        <v>4.7806785935383598</v>
      </c>
      <c r="AK55">
        <v>1</v>
      </c>
      <c r="AL55">
        <v>1</v>
      </c>
      <c r="AM55">
        <v>1</v>
      </c>
    </row>
    <row r="56" spans="1:39" hidden="1" x14ac:dyDescent="0.2">
      <c r="A56" t="s">
        <v>161</v>
      </c>
      <c r="B56" t="s">
        <v>162</v>
      </c>
      <c r="C56" t="s">
        <v>162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260</v>
      </c>
      <c r="AF56">
        <v>15.98031324217602</v>
      </c>
      <c r="AG56">
        <v>15.528435704211629</v>
      </c>
      <c r="AH56">
        <v>4.7305028355576626</v>
      </c>
      <c r="AI56">
        <f>11.7380691726335*1</f>
        <v>11.7380691726335</v>
      </c>
      <c r="AJ56">
        <f>2.15977090996848*1</f>
        <v>2.1597709099684801</v>
      </c>
      <c r="AK56">
        <v>1</v>
      </c>
      <c r="AL56">
        <v>0</v>
      </c>
      <c r="AM56">
        <v>0</v>
      </c>
    </row>
    <row r="57" spans="1:39" hidden="1" x14ac:dyDescent="0.2">
      <c r="A57" t="s">
        <v>163</v>
      </c>
      <c r="B57" t="s">
        <v>164</v>
      </c>
      <c r="C57" t="s">
        <v>164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262</v>
      </c>
      <c r="AF57">
        <v>11.803278688524591</v>
      </c>
      <c r="AG57">
        <v>11.935910805337899</v>
      </c>
      <c r="AH57">
        <v>5.0116517994166223</v>
      </c>
      <c r="AI57">
        <f>11.7236759495535*1</f>
        <v>11.723675949553501</v>
      </c>
      <c r="AJ57">
        <f>2.22114681989869*1</f>
        <v>2.2211468198986899</v>
      </c>
      <c r="AK57">
        <v>1</v>
      </c>
      <c r="AL57">
        <v>0</v>
      </c>
      <c r="AM57">
        <v>0</v>
      </c>
    </row>
    <row r="58" spans="1:39" x14ac:dyDescent="0.2">
      <c r="A58" t="s">
        <v>132</v>
      </c>
      <c r="B58" t="s">
        <v>133</v>
      </c>
      <c r="C58" t="s">
        <v>133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10.6</v>
      </c>
      <c r="AE58">
        <v>198</v>
      </c>
      <c r="AF58">
        <v>45.819919538873208</v>
      </c>
      <c r="AG58">
        <v>21.100518487439061</v>
      </c>
      <c r="AH58">
        <v>61.963636363636361</v>
      </c>
      <c r="AI58">
        <f>21.2565848078049*0.75</f>
        <v>15.942438605853674</v>
      </c>
      <c r="AJ58">
        <f>6.16693022685442*0.75</f>
        <v>4.6251976701408157</v>
      </c>
      <c r="AK58">
        <v>0.75</v>
      </c>
      <c r="AL58">
        <v>1</v>
      </c>
      <c r="AM58">
        <v>1</v>
      </c>
    </row>
    <row r="59" spans="1:39" hidden="1" x14ac:dyDescent="0.2">
      <c r="A59" t="s">
        <v>167</v>
      </c>
      <c r="B59" t="s">
        <v>168</v>
      </c>
      <c r="C59" t="s">
        <v>167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</v>
      </c>
      <c r="AE59">
        <v>274</v>
      </c>
      <c r="AF59">
        <v>17.638888888888879</v>
      </c>
      <c r="AG59">
        <v>14.179607047814111</v>
      </c>
      <c r="AH59">
        <v>10.824999999999999</v>
      </c>
      <c r="AI59">
        <f>7.75620861784382*1</f>
        <v>7.7562086178438197</v>
      </c>
      <c r="AJ59">
        <f>1.45863074728808*1</f>
        <v>1.45863074728808</v>
      </c>
      <c r="AK59">
        <v>1</v>
      </c>
      <c r="AL59">
        <v>0</v>
      </c>
      <c r="AM59">
        <v>0</v>
      </c>
    </row>
    <row r="60" spans="1:39" hidden="1" x14ac:dyDescent="0.2">
      <c r="A60" t="s">
        <v>169</v>
      </c>
      <c r="B60" t="s">
        <v>170</v>
      </c>
      <c r="C60" t="s">
        <v>170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4.4000000000000004</v>
      </c>
      <c r="AE60">
        <v>278</v>
      </c>
      <c r="AF60">
        <v>15.41263805126057</v>
      </c>
      <c r="AG60">
        <v>13.131498227777559</v>
      </c>
      <c r="AH60">
        <v>14.297379989385369</v>
      </c>
      <c r="AI60">
        <f>11.2862982691409*1</f>
        <v>11.2862982691409</v>
      </c>
      <c r="AJ60">
        <f>2.16898534138305*1</f>
        <v>2.16898534138305</v>
      </c>
      <c r="AK60">
        <v>1</v>
      </c>
      <c r="AL60">
        <v>0</v>
      </c>
      <c r="AM60">
        <v>0</v>
      </c>
    </row>
    <row r="61" spans="1:39" hidden="1" x14ac:dyDescent="0.2">
      <c r="A61" t="s">
        <v>171</v>
      </c>
      <c r="B61" t="s">
        <v>172</v>
      </c>
      <c r="C61" t="s">
        <v>172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281</v>
      </c>
      <c r="AF61">
        <v>15.905459818614951</v>
      </c>
      <c r="AG61">
        <v>13.37852194944106</v>
      </c>
      <c r="AH61">
        <v>23.367758783874251</v>
      </c>
      <c r="AI61">
        <f>15.5124532728877*1</f>
        <v>15.512453272887701</v>
      </c>
      <c r="AJ61">
        <f>3.35510307046245*1</f>
        <v>3.3551030704624498</v>
      </c>
      <c r="AK61">
        <v>1</v>
      </c>
      <c r="AL61">
        <v>0</v>
      </c>
      <c r="AM61">
        <v>0</v>
      </c>
    </row>
    <row r="62" spans="1:39" hidden="1" x14ac:dyDescent="0.2">
      <c r="A62" t="s">
        <v>173</v>
      </c>
      <c r="B62" t="s">
        <v>174</v>
      </c>
      <c r="C62" t="s">
        <v>174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282</v>
      </c>
      <c r="AF62">
        <v>18.085604424650391</v>
      </c>
      <c r="AG62">
        <v>18.801908538291372</v>
      </c>
      <c r="AH62">
        <v>16.13517304088019</v>
      </c>
      <c r="AI62">
        <f>15.7295150849611*1</f>
        <v>15.729515084961101</v>
      </c>
      <c r="AJ62">
        <f>3.05199574927425*1</f>
        <v>3.05199574927425</v>
      </c>
      <c r="AK62">
        <v>1</v>
      </c>
      <c r="AL62">
        <v>0</v>
      </c>
      <c r="AM62">
        <v>0</v>
      </c>
    </row>
    <row r="63" spans="1:39" hidden="1" x14ac:dyDescent="0.2">
      <c r="A63" t="s">
        <v>175</v>
      </c>
      <c r="B63" t="s">
        <v>176</v>
      </c>
      <c r="C63" t="s">
        <v>175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5.4</v>
      </c>
      <c r="AE63">
        <v>286</v>
      </c>
      <c r="AF63">
        <v>14.82161589078437</v>
      </c>
      <c r="AG63">
        <v>18.81233070322704</v>
      </c>
      <c r="AH63">
        <v>5.6104439000667359</v>
      </c>
      <c r="AI63">
        <f>9.73545579006158*1</f>
        <v>9.7354557900615806</v>
      </c>
      <c r="AJ63">
        <f>1.77018244222625*1</f>
        <v>1.77018244222625</v>
      </c>
      <c r="AK63">
        <v>1</v>
      </c>
      <c r="AL63">
        <v>0</v>
      </c>
      <c r="AM63">
        <v>0</v>
      </c>
    </row>
    <row r="64" spans="1:39" hidden="1" x14ac:dyDescent="0.2">
      <c r="A64" t="s">
        <v>177</v>
      </c>
      <c r="B64" t="s">
        <v>178</v>
      </c>
      <c r="C64" t="s">
        <v>178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4.5999999999999996</v>
      </c>
      <c r="AE64">
        <v>289</v>
      </c>
      <c r="AF64">
        <v>12.95000000000001</v>
      </c>
      <c r="AG64">
        <v>10.122039127046021</v>
      </c>
      <c r="AH64">
        <v>37.686991341991337</v>
      </c>
      <c r="AI64">
        <f>14.4323377335479*1</f>
        <v>14.4323377335479</v>
      </c>
      <c r="AJ64">
        <f>2.44541990420146*1</f>
        <v>2.4454199042014602</v>
      </c>
      <c r="AK64">
        <v>1</v>
      </c>
      <c r="AL64">
        <v>0</v>
      </c>
      <c r="AM64">
        <v>0</v>
      </c>
    </row>
    <row r="65" spans="1:39" hidden="1" x14ac:dyDescent="0.2">
      <c r="A65" t="s">
        <v>179</v>
      </c>
      <c r="B65" t="s">
        <v>180</v>
      </c>
      <c r="C65" t="s">
        <v>180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293</v>
      </c>
      <c r="AF65">
        <v>12.96875</v>
      </c>
      <c r="AG65">
        <v>14.61005852874333</v>
      </c>
      <c r="AH65">
        <v>4.125</v>
      </c>
      <c r="AI65">
        <f>10.4315174760371*1</f>
        <v>10.431517476037101</v>
      </c>
      <c r="AJ65">
        <f>1.95235144232255*1</f>
        <v>1.9523514423225501</v>
      </c>
      <c r="AK65">
        <v>1</v>
      </c>
      <c r="AL65">
        <v>0</v>
      </c>
      <c r="AM65">
        <v>0</v>
      </c>
    </row>
    <row r="66" spans="1:39" hidden="1" x14ac:dyDescent="0.2">
      <c r="A66" t="s">
        <v>181</v>
      </c>
      <c r="B66" t="s">
        <v>182</v>
      </c>
      <c r="C66" t="s">
        <v>182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20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</v>
      </c>
      <c r="AE66">
        <v>329</v>
      </c>
      <c r="AF66">
        <v>10.645608445526589</v>
      </c>
      <c r="AG66">
        <v>6.8320804424541501</v>
      </c>
      <c r="AH66">
        <v>19.867936507936509</v>
      </c>
      <c r="AI66">
        <f>11.5276847990439*1</f>
        <v>11.5276847990439</v>
      </c>
      <c r="AJ66">
        <f>2.46829138258209*1</f>
        <v>2.4682913825820898</v>
      </c>
      <c r="AK66">
        <v>1</v>
      </c>
      <c r="AL66">
        <v>0</v>
      </c>
      <c r="AM66">
        <v>0</v>
      </c>
    </row>
    <row r="67" spans="1:39" hidden="1" x14ac:dyDescent="0.2">
      <c r="A67" t="s">
        <v>183</v>
      </c>
      <c r="B67" t="s">
        <v>184</v>
      </c>
      <c r="C67" t="s">
        <v>184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331</v>
      </c>
      <c r="AF67">
        <v>14.285714285714279</v>
      </c>
      <c r="AG67">
        <v>17.775278625276851</v>
      </c>
      <c r="AH67">
        <v>31.916666666666661</v>
      </c>
      <c r="AI67">
        <f>14.8296612845816*1</f>
        <v>14.829661284581601</v>
      </c>
      <c r="AJ67">
        <f>2.94877856270433*1</f>
        <v>2.9487785627043301</v>
      </c>
      <c r="AK67">
        <v>1</v>
      </c>
      <c r="AL67">
        <v>0</v>
      </c>
      <c r="AM67">
        <v>0</v>
      </c>
    </row>
    <row r="68" spans="1:39" hidden="1" x14ac:dyDescent="0.2">
      <c r="A68" t="s">
        <v>185</v>
      </c>
      <c r="B68" t="s">
        <v>186</v>
      </c>
      <c r="C68" t="s">
        <v>186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332</v>
      </c>
      <c r="AF68">
        <v>11.794871794871799</v>
      </c>
      <c r="AG68">
        <v>11.57544955045803</v>
      </c>
      <c r="AH68">
        <v>23.35887175598803</v>
      </c>
      <c r="AI68">
        <f>12.2522472764577*1</f>
        <v>12.2522472764577</v>
      </c>
      <c r="AJ68">
        <f>2.27567849300475*1</f>
        <v>2.27567849300475</v>
      </c>
      <c r="AK68">
        <v>1</v>
      </c>
      <c r="AL68">
        <v>0</v>
      </c>
      <c r="AM68">
        <v>0</v>
      </c>
    </row>
    <row r="69" spans="1:39" hidden="1" x14ac:dyDescent="0.2">
      <c r="A69" t="s">
        <v>187</v>
      </c>
      <c r="B69" t="s">
        <v>188</v>
      </c>
      <c r="C69" t="s">
        <v>189</v>
      </c>
      <c r="D69" t="s">
        <v>3</v>
      </c>
      <c r="E69">
        <v>1</v>
      </c>
      <c r="F69">
        <v>0</v>
      </c>
      <c r="G69">
        <v>0</v>
      </c>
      <c r="H69">
        <v>0</v>
      </c>
      <c r="I69" t="s">
        <v>22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365</v>
      </c>
      <c r="AF69">
        <v>22.596291185299268</v>
      </c>
      <c r="AG69">
        <v>22.025844518071409</v>
      </c>
      <c r="AH69">
        <v>33.899747543865907</v>
      </c>
      <c r="AI69">
        <f>21.1980597831579*1</f>
        <v>21.198059783157898</v>
      </c>
      <c r="AJ69">
        <f>4.53703848289775*1</f>
        <v>4.5370384828977501</v>
      </c>
      <c r="AK69">
        <v>1</v>
      </c>
      <c r="AL69">
        <v>0</v>
      </c>
      <c r="AM69">
        <v>0</v>
      </c>
    </row>
    <row r="70" spans="1:39" hidden="1" x14ac:dyDescent="0.2">
      <c r="A70" t="s">
        <v>190</v>
      </c>
      <c r="B70" t="s">
        <v>191</v>
      </c>
      <c r="C70" t="s">
        <v>191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22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</v>
      </c>
      <c r="AE70">
        <v>366</v>
      </c>
      <c r="AF70">
        <v>26.07793447714511</v>
      </c>
      <c r="AG70">
        <v>26.055400532677531</v>
      </c>
      <c r="AH70">
        <v>31.9372751962755</v>
      </c>
      <c r="AI70">
        <f>15.8014772572853*1</f>
        <v>15.801477257285301</v>
      </c>
      <c r="AJ70">
        <f>2.88210675927042*1</f>
        <v>2.8821067592704201</v>
      </c>
      <c r="AK70">
        <v>1</v>
      </c>
      <c r="AL70">
        <v>0</v>
      </c>
      <c r="AM70">
        <v>0</v>
      </c>
    </row>
    <row r="71" spans="1:39" hidden="1" x14ac:dyDescent="0.2">
      <c r="A71" t="s">
        <v>192</v>
      </c>
      <c r="B71" t="s">
        <v>193</v>
      </c>
      <c r="C71" t="s">
        <v>193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5.3</v>
      </c>
      <c r="AE71">
        <v>373</v>
      </c>
      <c r="AF71">
        <v>10.999032011828779</v>
      </c>
      <c r="AG71">
        <v>7.6451377722773666</v>
      </c>
      <c r="AH71">
        <v>29.19404761904762</v>
      </c>
      <c r="AI71">
        <f>12.6203043924459*1</f>
        <v>12.620304392445901</v>
      </c>
      <c r="AJ71">
        <f>2.46887978341454*1</f>
        <v>2.4688797834145402</v>
      </c>
      <c r="AK71">
        <v>1</v>
      </c>
      <c r="AL71">
        <v>0</v>
      </c>
      <c r="AM71">
        <v>0</v>
      </c>
    </row>
    <row r="72" spans="1:39" hidden="1" x14ac:dyDescent="0.2">
      <c r="A72" t="s">
        <v>194</v>
      </c>
      <c r="B72" t="s">
        <v>195</v>
      </c>
      <c r="C72" t="s">
        <v>195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22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7.3</v>
      </c>
      <c r="AE72">
        <v>375</v>
      </c>
      <c r="AF72">
        <v>15.81818181818182</v>
      </c>
      <c r="AG72">
        <v>12.93064910221285</v>
      </c>
      <c r="AH72">
        <v>12.87664071563916</v>
      </c>
      <c r="AI72">
        <f>11.5930921785443*1</f>
        <v>11.5930921785443</v>
      </c>
      <c r="AJ72">
        <f>2.21504713470979*1</f>
        <v>2.2150471347097902</v>
      </c>
      <c r="AK72">
        <v>1</v>
      </c>
      <c r="AL72">
        <v>0</v>
      </c>
      <c r="AM72">
        <v>0</v>
      </c>
    </row>
    <row r="73" spans="1:39" hidden="1" x14ac:dyDescent="0.2">
      <c r="A73" t="s">
        <v>196</v>
      </c>
      <c r="B73" t="s">
        <v>197</v>
      </c>
      <c r="C73" t="s">
        <v>198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7.6</v>
      </c>
      <c r="AE73">
        <v>381</v>
      </c>
      <c r="AF73">
        <v>22.806366177864799</v>
      </c>
      <c r="AG73">
        <v>14.89135461399907</v>
      </c>
      <c r="AH73">
        <v>42.726102292768957</v>
      </c>
      <c r="AI73">
        <f>21.0135527597294*1</f>
        <v>21.0135527597294</v>
      </c>
      <c r="AJ73">
        <f>4.9977634097198*1</f>
        <v>4.9977634097198003</v>
      </c>
      <c r="AK73">
        <v>1</v>
      </c>
      <c r="AL73">
        <v>0</v>
      </c>
      <c r="AM73">
        <v>0</v>
      </c>
    </row>
    <row r="74" spans="1:39" hidden="1" x14ac:dyDescent="0.2">
      <c r="A74" t="s">
        <v>199</v>
      </c>
      <c r="B74" t="s">
        <v>200</v>
      </c>
      <c r="C74" t="s">
        <v>201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12.7</v>
      </c>
      <c r="AE74">
        <v>382</v>
      </c>
      <c r="AF74">
        <v>34.635922330097117</v>
      </c>
      <c r="AG74">
        <v>36.670869240944882</v>
      </c>
      <c r="AH74">
        <v>55.152737505343978</v>
      </c>
      <c r="AI74">
        <f>35.9284211894563*1</f>
        <v>35.928421189456301</v>
      </c>
      <c r="AJ74">
        <f>6.963854003914*1</f>
        <v>6.9638540039140002</v>
      </c>
      <c r="AK74">
        <v>1</v>
      </c>
      <c r="AL74">
        <v>0</v>
      </c>
      <c r="AM74">
        <v>0</v>
      </c>
    </row>
    <row r="75" spans="1:39" hidden="1" x14ac:dyDescent="0.2">
      <c r="A75" t="s">
        <v>202</v>
      </c>
      <c r="B75" t="s">
        <v>203</v>
      </c>
      <c r="C75" t="s">
        <v>203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6.4</v>
      </c>
      <c r="AE75">
        <v>383</v>
      </c>
      <c r="AF75">
        <v>15.1219512195122</v>
      </c>
      <c r="AG75">
        <v>13.132555515127949</v>
      </c>
      <c r="AH75">
        <v>14.830555736414849</v>
      </c>
      <c r="AI75">
        <f>6.51484455349704*1</f>
        <v>6.5148445534970403</v>
      </c>
      <c r="AJ75">
        <f>1.2733882635602*1</f>
        <v>1.2733882635602001</v>
      </c>
      <c r="AK75">
        <v>1</v>
      </c>
      <c r="AL75">
        <v>0</v>
      </c>
      <c r="AM75">
        <v>0</v>
      </c>
    </row>
    <row r="76" spans="1:39" hidden="1" x14ac:dyDescent="0.2">
      <c r="A76" t="s">
        <v>204</v>
      </c>
      <c r="B76" t="s">
        <v>205</v>
      </c>
      <c r="C76" t="s">
        <v>205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6.5</v>
      </c>
      <c r="AE76">
        <v>390</v>
      </c>
      <c r="AF76">
        <v>16.142857142857139</v>
      </c>
      <c r="AG76">
        <v>20.98842698329171</v>
      </c>
      <c r="AH76">
        <v>14.641394847869931</v>
      </c>
      <c r="AI76">
        <f>10.1936191460211*1</f>
        <v>10.193619146021099</v>
      </c>
      <c r="AJ76">
        <f>1.71800529014123*1</f>
        <v>1.7180052901412299</v>
      </c>
      <c r="AK76">
        <v>1</v>
      </c>
      <c r="AL76">
        <v>0</v>
      </c>
      <c r="AM76">
        <v>0</v>
      </c>
    </row>
    <row r="77" spans="1:39" hidden="1" x14ac:dyDescent="0.2">
      <c r="A77" t="s">
        <v>206</v>
      </c>
      <c r="B77" t="s">
        <v>207</v>
      </c>
      <c r="C77" t="s">
        <v>206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</v>
      </c>
      <c r="AE77">
        <v>392</v>
      </c>
      <c r="AF77">
        <v>23.053573544265671</v>
      </c>
      <c r="AG77">
        <v>22.545255739103101</v>
      </c>
      <c r="AH77">
        <v>25.635821711302849</v>
      </c>
      <c r="AI77">
        <f>13.6978515307909*1</f>
        <v>13.697851530790899</v>
      </c>
      <c r="AJ77">
        <f>2.42354904717876*1</f>
        <v>2.42354904717876</v>
      </c>
      <c r="AK77">
        <v>1</v>
      </c>
      <c r="AL77">
        <v>0</v>
      </c>
      <c r="AM77">
        <v>0</v>
      </c>
    </row>
    <row r="78" spans="1:39" hidden="1" x14ac:dyDescent="0.2">
      <c r="A78" t="s">
        <v>208</v>
      </c>
      <c r="B78" t="s">
        <v>209</v>
      </c>
      <c r="C78" t="s">
        <v>209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394</v>
      </c>
      <c r="AF78">
        <v>16.754385964912291</v>
      </c>
      <c r="AG78">
        <v>16.229668688789651</v>
      </c>
      <c r="AH78">
        <v>15.33061224489796</v>
      </c>
      <c r="AI78">
        <f>14.4191269840761*1</f>
        <v>14.419126984076099</v>
      </c>
      <c r="AJ78">
        <f>2.9763765596443*1</f>
        <v>2.9763765596442999</v>
      </c>
      <c r="AK78">
        <v>1</v>
      </c>
      <c r="AL78">
        <v>0</v>
      </c>
      <c r="AM78">
        <v>0</v>
      </c>
    </row>
    <row r="79" spans="1:39" hidden="1" x14ac:dyDescent="0.2">
      <c r="A79" t="s">
        <v>93</v>
      </c>
      <c r="B79" t="s">
        <v>210</v>
      </c>
      <c r="C79" t="s">
        <v>210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5.4</v>
      </c>
      <c r="AE79">
        <v>395</v>
      </c>
      <c r="AF79">
        <v>16.27586206896553</v>
      </c>
      <c r="AG79">
        <v>17.199250609287429</v>
      </c>
      <c r="AH79">
        <v>15.38418369112401</v>
      </c>
      <c r="AI79">
        <f>8.97282645745884*1</f>
        <v>8.9728264574588401</v>
      </c>
      <c r="AJ79">
        <f>1.78595069398182*1</f>
        <v>1.7859506939818199</v>
      </c>
      <c r="AK79">
        <v>1</v>
      </c>
      <c r="AL79">
        <v>0</v>
      </c>
      <c r="AM79">
        <v>0</v>
      </c>
    </row>
    <row r="80" spans="1:39" hidden="1" x14ac:dyDescent="0.2">
      <c r="A80" t="s">
        <v>211</v>
      </c>
      <c r="B80" t="s">
        <v>212</v>
      </c>
      <c r="C80" t="s">
        <v>211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6.6</v>
      </c>
      <c r="AE80">
        <v>396</v>
      </c>
      <c r="AF80">
        <v>18.923076923076941</v>
      </c>
      <c r="AG80">
        <v>21.415664751059079</v>
      </c>
      <c r="AH80">
        <v>29.466666666666669</v>
      </c>
      <c r="AI80">
        <f>17.333994246602*1</f>
        <v>17.333994246602</v>
      </c>
      <c r="AJ80">
        <f>3.45047137088058*1</f>
        <v>3.4504713708805799</v>
      </c>
      <c r="AK80">
        <v>1</v>
      </c>
      <c r="AL80">
        <v>0</v>
      </c>
      <c r="AM80">
        <v>0</v>
      </c>
    </row>
    <row r="81" spans="1:39" hidden="1" x14ac:dyDescent="0.2">
      <c r="A81" t="s">
        <v>213</v>
      </c>
      <c r="B81" t="s">
        <v>214</v>
      </c>
      <c r="C81" t="s">
        <v>214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6.5</v>
      </c>
      <c r="AE81">
        <v>400</v>
      </c>
      <c r="AF81">
        <v>16.999999999999989</v>
      </c>
      <c r="AG81">
        <v>20.73888038000139</v>
      </c>
      <c r="AH81">
        <v>15.951608946608941</v>
      </c>
      <c r="AI81">
        <f>24.8729950683008*1</f>
        <v>24.872995068300799</v>
      </c>
      <c r="AJ81">
        <f>4.18290434579925*1</f>
        <v>4.1829043457992503</v>
      </c>
      <c r="AK81">
        <v>1</v>
      </c>
      <c r="AL81">
        <v>0</v>
      </c>
      <c r="AM81">
        <v>0</v>
      </c>
    </row>
    <row r="82" spans="1:39" hidden="1" x14ac:dyDescent="0.2">
      <c r="A82" t="s">
        <v>215</v>
      </c>
      <c r="B82" t="s">
        <v>216</v>
      </c>
      <c r="C82" t="s">
        <v>217</v>
      </c>
      <c r="D82" t="s">
        <v>3</v>
      </c>
      <c r="E82">
        <v>1</v>
      </c>
      <c r="F82">
        <v>0</v>
      </c>
      <c r="G82">
        <v>0</v>
      </c>
      <c r="H82">
        <v>0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5.5</v>
      </c>
      <c r="AE82">
        <v>401</v>
      </c>
      <c r="AF82">
        <v>19.509803921568611</v>
      </c>
      <c r="AG82">
        <v>22.835543303482869</v>
      </c>
      <c r="AH82">
        <v>14.94083480644634</v>
      </c>
      <c r="AI82">
        <f>10.9358331237803*1</f>
        <v>10.9358331237803</v>
      </c>
      <c r="AJ82">
        <f>2.16803890211199*1</f>
        <v>2.1680389021119901</v>
      </c>
      <c r="AK82">
        <v>1</v>
      </c>
      <c r="AL82">
        <v>0</v>
      </c>
      <c r="AM82">
        <v>0</v>
      </c>
    </row>
    <row r="83" spans="1:39" hidden="1" x14ac:dyDescent="0.2">
      <c r="A83" t="s">
        <v>218</v>
      </c>
      <c r="B83" t="s">
        <v>219</v>
      </c>
      <c r="C83" t="s">
        <v>219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9.4</v>
      </c>
      <c r="AE83">
        <v>402</v>
      </c>
      <c r="AF83">
        <v>38.947442524884799</v>
      </c>
      <c r="AG83">
        <v>22.183567690199311</v>
      </c>
      <c r="AH83">
        <v>57.931067992935048</v>
      </c>
      <c r="AI83">
        <f>22.4475140215531*1</f>
        <v>22.447514021553101</v>
      </c>
      <c r="AJ83">
        <f>3.81630265409272*1</f>
        <v>3.8163026540927198</v>
      </c>
      <c r="AK83">
        <v>1</v>
      </c>
      <c r="AL83">
        <v>0</v>
      </c>
      <c r="AM83">
        <v>0</v>
      </c>
    </row>
    <row r="84" spans="1:39" x14ac:dyDescent="0.2">
      <c r="A84" t="s">
        <v>251</v>
      </c>
      <c r="B84" t="s">
        <v>252</v>
      </c>
      <c r="C84" t="s">
        <v>252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8.5</v>
      </c>
      <c r="AE84">
        <v>461</v>
      </c>
      <c r="AF84">
        <v>26.82692307692307</v>
      </c>
      <c r="AG84">
        <v>25.11323381561062</v>
      </c>
      <c r="AH84">
        <v>32.737581267073232</v>
      </c>
      <c r="AI84">
        <f>20.0427918433059*1</f>
        <v>20.042791843305899</v>
      </c>
      <c r="AJ84">
        <f>3.89544246738542*1</f>
        <v>3.8954424673854202</v>
      </c>
      <c r="AK84">
        <v>1</v>
      </c>
      <c r="AL84">
        <v>1</v>
      </c>
      <c r="AM84">
        <v>1</v>
      </c>
    </row>
    <row r="85" spans="1:39" hidden="1" x14ac:dyDescent="0.2">
      <c r="A85" t="s">
        <v>222</v>
      </c>
      <c r="B85" t="s">
        <v>223</v>
      </c>
      <c r="C85" t="s">
        <v>223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15.2</v>
      </c>
      <c r="AE85">
        <v>405</v>
      </c>
      <c r="AF85">
        <v>36.9564420265908</v>
      </c>
      <c r="AG85">
        <v>41.01298353341064</v>
      </c>
      <c r="AH85">
        <v>63.807558339096808</v>
      </c>
      <c r="AI85">
        <f>48.0803368593744*1</f>
        <v>48.080336859374398</v>
      </c>
      <c r="AJ85">
        <f>8.89863258709157*1</f>
        <v>8.8986325870915692</v>
      </c>
      <c r="AK85">
        <v>1</v>
      </c>
      <c r="AL85">
        <v>0</v>
      </c>
      <c r="AM85">
        <v>0</v>
      </c>
    </row>
    <row r="86" spans="1:39" hidden="1" x14ac:dyDescent="0.2">
      <c r="A86" t="s">
        <v>224</v>
      </c>
      <c r="B86" t="s">
        <v>225</v>
      </c>
      <c r="C86" t="s">
        <v>226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</v>
      </c>
      <c r="AE86">
        <v>406</v>
      </c>
      <c r="AF86">
        <v>18.571428571428569</v>
      </c>
      <c r="AG86">
        <v>22.364093943455909</v>
      </c>
      <c r="AH86">
        <v>18.002068308129239</v>
      </c>
      <c r="AI86">
        <f>11.5164033316847*1</f>
        <v>11.5164033316847</v>
      </c>
      <c r="AJ86">
        <f>2.04318207088435*1</f>
        <v>2.0431820708843502</v>
      </c>
      <c r="AK86">
        <v>1</v>
      </c>
      <c r="AL86">
        <v>0</v>
      </c>
      <c r="AM86">
        <v>0</v>
      </c>
    </row>
    <row r="87" spans="1:39" hidden="1" x14ac:dyDescent="0.2">
      <c r="A87" t="s">
        <v>227</v>
      </c>
      <c r="B87" t="s">
        <v>228</v>
      </c>
      <c r="C87" t="s">
        <v>228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5.5</v>
      </c>
      <c r="AE87">
        <v>408</v>
      </c>
      <c r="AF87">
        <v>10.9375</v>
      </c>
      <c r="AG87">
        <v>10.863748453008441</v>
      </c>
      <c r="AH87">
        <v>20.841372126885599</v>
      </c>
      <c r="AI87">
        <f>19.1298318683381*1</f>
        <v>19.129831868338101</v>
      </c>
      <c r="AJ87">
        <f>4.32668643330888*1</f>
        <v>4.3266864333088799</v>
      </c>
      <c r="AK87">
        <v>1</v>
      </c>
      <c r="AL87">
        <v>0</v>
      </c>
      <c r="AM87">
        <v>0</v>
      </c>
    </row>
    <row r="88" spans="1:39" hidden="1" x14ac:dyDescent="0.2">
      <c r="A88" t="s">
        <v>229</v>
      </c>
      <c r="B88" t="s">
        <v>230</v>
      </c>
      <c r="C88" t="s">
        <v>229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5.5</v>
      </c>
      <c r="AE88">
        <v>414</v>
      </c>
      <c r="AF88">
        <v>15</v>
      </c>
      <c r="AG88">
        <v>16.60765450827925</v>
      </c>
      <c r="AH88">
        <v>10.09047543944946</v>
      </c>
      <c r="AI88">
        <f>8.23745844840144*1</f>
        <v>8.2374584484014406</v>
      </c>
      <c r="AJ88">
        <f>1.68404959908385*1</f>
        <v>1.68404959908385</v>
      </c>
      <c r="AK88">
        <v>1</v>
      </c>
      <c r="AL88">
        <v>0</v>
      </c>
      <c r="AM88">
        <v>0</v>
      </c>
    </row>
    <row r="89" spans="1:39" hidden="1" x14ac:dyDescent="0.2">
      <c r="A89" t="s">
        <v>231</v>
      </c>
      <c r="B89" t="s">
        <v>232</v>
      </c>
      <c r="C89" t="s">
        <v>232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5.4</v>
      </c>
      <c r="AE89">
        <v>416</v>
      </c>
      <c r="AF89">
        <v>19.05844155844154</v>
      </c>
      <c r="AG89">
        <v>19.526314443627431</v>
      </c>
      <c r="AH89">
        <v>15.63158894030876</v>
      </c>
      <c r="AI89">
        <f>19.1934405082794*1</f>
        <v>19.193440508279402</v>
      </c>
      <c r="AJ89">
        <f>3.66506459605143*1</f>
        <v>3.6650645960514301</v>
      </c>
      <c r="AK89">
        <v>1</v>
      </c>
      <c r="AL89">
        <v>0</v>
      </c>
      <c r="AM89">
        <v>0</v>
      </c>
    </row>
    <row r="90" spans="1:39" hidden="1" x14ac:dyDescent="0.2">
      <c r="A90" t="s">
        <v>233</v>
      </c>
      <c r="B90" t="s">
        <v>234</v>
      </c>
      <c r="C90" t="s">
        <v>235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8.4</v>
      </c>
      <c r="AE90">
        <v>423</v>
      </c>
      <c r="AF90">
        <v>22.42857142857142</v>
      </c>
      <c r="AG90">
        <v>17.090481615556929</v>
      </c>
      <c r="AH90">
        <v>17.931206670684428</v>
      </c>
      <c r="AI90">
        <f>23.4834674760937*1</f>
        <v>23.483467476093701</v>
      </c>
      <c r="AJ90">
        <f>4.48435496881493*1</f>
        <v>4.4843549688149302</v>
      </c>
      <c r="AK90">
        <v>1</v>
      </c>
      <c r="AL90">
        <v>0</v>
      </c>
      <c r="AM90">
        <v>0</v>
      </c>
    </row>
    <row r="91" spans="1:39" hidden="1" x14ac:dyDescent="0.2">
      <c r="A91" t="s">
        <v>236</v>
      </c>
      <c r="B91" t="s">
        <v>237</v>
      </c>
      <c r="C91" t="s">
        <v>238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425</v>
      </c>
      <c r="AF91">
        <v>12.59615384615384</v>
      </c>
      <c r="AG91">
        <v>15.3727586459677</v>
      </c>
      <c r="AH91">
        <v>7.8360365424049654</v>
      </c>
      <c r="AI91">
        <f>9.57807194042095*1</f>
        <v>9.5780719404209496</v>
      </c>
      <c r="AJ91">
        <f>1.85043082481484*1</f>
        <v>1.85043082481484</v>
      </c>
      <c r="AK91">
        <v>1</v>
      </c>
      <c r="AL91">
        <v>0</v>
      </c>
      <c r="AM91">
        <v>0</v>
      </c>
    </row>
    <row r="92" spans="1:39" x14ac:dyDescent="0.2">
      <c r="A92" t="s">
        <v>233</v>
      </c>
      <c r="B92" t="s">
        <v>247</v>
      </c>
      <c r="C92" t="s">
        <v>248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6.4</v>
      </c>
      <c r="AE92">
        <v>455</v>
      </c>
      <c r="AF92">
        <v>18.734939759036141</v>
      </c>
      <c r="AG92">
        <v>11.555748548829159</v>
      </c>
      <c r="AH92">
        <v>19.138579467349651</v>
      </c>
      <c r="AI92">
        <f>19.7265504541397*1</f>
        <v>19.726550454139701</v>
      </c>
      <c r="AJ92">
        <f>3.81786214434321*1</f>
        <v>3.8178621443432101</v>
      </c>
      <c r="AK92">
        <v>1</v>
      </c>
      <c r="AL92">
        <v>1</v>
      </c>
      <c r="AM92">
        <v>1</v>
      </c>
    </row>
    <row r="93" spans="1:39" hidden="1" x14ac:dyDescent="0.2">
      <c r="A93" t="s">
        <v>242</v>
      </c>
      <c r="B93" t="s">
        <v>243</v>
      </c>
      <c r="C93" t="s">
        <v>243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6.4</v>
      </c>
      <c r="AE93">
        <v>429</v>
      </c>
      <c r="AF93">
        <v>13.32235534244208</v>
      </c>
      <c r="AG93">
        <v>12.45946104563909</v>
      </c>
      <c r="AH93">
        <v>14.33421869772291</v>
      </c>
      <c r="AI93">
        <f>2.59787609950984*1</f>
        <v>2.5978760995098402</v>
      </c>
      <c r="AJ93">
        <f>0.568563109649189*1</f>
        <v>0.56856310964918899</v>
      </c>
      <c r="AK93">
        <v>1</v>
      </c>
      <c r="AL93">
        <v>0</v>
      </c>
      <c r="AM93">
        <v>0</v>
      </c>
    </row>
    <row r="94" spans="1:39" hidden="1" x14ac:dyDescent="0.2">
      <c r="A94" t="s">
        <v>244</v>
      </c>
      <c r="B94" t="s">
        <v>245</v>
      </c>
      <c r="C94" t="s">
        <v>245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6.9</v>
      </c>
      <c r="AE94">
        <v>432</v>
      </c>
      <c r="AF94">
        <v>22.157145634576519</v>
      </c>
      <c r="AG94">
        <v>28.453289777242119</v>
      </c>
      <c r="AH94">
        <v>17.233333333333331</v>
      </c>
      <c r="AI94">
        <f>11.6330458563034*1</f>
        <v>11.633045856303401</v>
      </c>
      <c r="AJ94">
        <f>2.10117939274732*1</f>
        <v>2.1011793927473201</v>
      </c>
      <c r="AK94">
        <v>1</v>
      </c>
      <c r="AL94">
        <v>0</v>
      </c>
      <c r="AM94">
        <v>0</v>
      </c>
    </row>
    <row r="95" spans="1:39" x14ac:dyDescent="0.2">
      <c r="A95" t="s">
        <v>165</v>
      </c>
      <c r="B95" t="s">
        <v>166</v>
      </c>
      <c r="C95" t="s">
        <v>166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4.4000000000000004</v>
      </c>
      <c r="AE95">
        <v>272</v>
      </c>
      <c r="AF95">
        <v>15.310077519379851</v>
      </c>
      <c r="AG95">
        <v>16.704946729795971</v>
      </c>
      <c r="AH95">
        <v>9.5035464402369243</v>
      </c>
      <c r="AI95">
        <f>15.3400769425686*1</f>
        <v>15.340076942568601</v>
      </c>
      <c r="AJ95">
        <f>3.05505925856642*1</f>
        <v>3.0550592585664198</v>
      </c>
      <c r="AK95">
        <v>1</v>
      </c>
      <c r="AL95">
        <v>1</v>
      </c>
      <c r="AM95">
        <v>1</v>
      </c>
    </row>
    <row r="96" spans="1:39" x14ac:dyDescent="0.2">
      <c r="A96" t="s">
        <v>159</v>
      </c>
      <c r="B96" t="s">
        <v>160</v>
      </c>
      <c r="C96" t="s">
        <v>160</v>
      </c>
      <c r="D96" t="s">
        <v>3</v>
      </c>
      <c r="E96">
        <v>1</v>
      </c>
      <c r="F96">
        <v>0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4.9000000000000004</v>
      </c>
      <c r="AE96">
        <v>259</v>
      </c>
      <c r="AF96">
        <v>18.793744084709321</v>
      </c>
      <c r="AG96">
        <v>16.381439057245981</v>
      </c>
      <c r="AH96">
        <v>9.5895508767746254</v>
      </c>
      <c r="AI96">
        <f>12.8681507515753*1</f>
        <v>12.8681507515753</v>
      </c>
      <c r="AJ96">
        <f>2.51384327224358*1</f>
        <v>2.5138432722435802</v>
      </c>
      <c r="AK96">
        <v>1</v>
      </c>
      <c r="AL96">
        <v>1</v>
      </c>
      <c r="AM96">
        <v>1</v>
      </c>
    </row>
    <row r="97" spans="1:39" x14ac:dyDescent="0.2">
      <c r="A97" t="s">
        <v>260</v>
      </c>
      <c r="B97" t="s">
        <v>261</v>
      </c>
      <c r="C97" t="s">
        <v>261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5.4</v>
      </c>
      <c r="AE97">
        <v>497</v>
      </c>
      <c r="AF97">
        <v>14.626427016170711</v>
      </c>
      <c r="AG97">
        <v>10.542298034884819</v>
      </c>
      <c r="AH97">
        <v>16.740496604526921</v>
      </c>
      <c r="AI97">
        <f>11.4847048370311*1</f>
        <v>11.484704837031099</v>
      </c>
      <c r="AJ97">
        <f>2.24805134246424*1</f>
        <v>2.2480513424642399</v>
      </c>
      <c r="AK97">
        <v>1</v>
      </c>
      <c r="AL97">
        <v>1</v>
      </c>
      <c r="AM97">
        <v>1</v>
      </c>
    </row>
    <row r="98" spans="1:39" x14ac:dyDescent="0.2">
      <c r="A98" t="s">
        <v>239</v>
      </c>
      <c r="B98" t="s">
        <v>240</v>
      </c>
      <c r="C98" t="s">
        <v>241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426</v>
      </c>
      <c r="AF98">
        <v>16.93548387096774</v>
      </c>
      <c r="AG98">
        <v>16.88414179299803</v>
      </c>
      <c r="AH98">
        <v>12.795668192686559</v>
      </c>
      <c r="AI98">
        <f>12.1122483743797*1</f>
        <v>12.1122483743797</v>
      </c>
      <c r="AJ98">
        <f>2.17733439551711*1</f>
        <v>2.1773343955171098</v>
      </c>
      <c r="AK98">
        <v>1</v>
      </c>
      <c r="AL98">
        <v>1</v>
      </c>
      <c r="AM98">
        <v>1</v>
      </c>
    </row>
    <row r="99" spans="1:39" hidden="1" x14ac:dyDescent="0.2">
      <c r="A99" t="s">
        <v>253</v>
      </c>
      <c r="B99" t="s">
        <v>254</v>
      </c>
      <c r="C99" t="s">
        <v>254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4.9000000000000004</v>
      </c>
      <c r="AE99">
        <v>470</v>
      </c>
      <c r="AF99">
        <v>13.701576803836019</v>
      </c>
      <c r="AG99">
        <v>11.538899801847419</v>
      </c>
      <c r="AH99">
        <v>11.997266313665889</v>
      </c>
      <c r="AI99">
        <f>11.3115131208117*1</f>
        <v>11.3115131208117</v>
      </c>
      <c r="AJ99">
        <f>2.2664743999767*1</f>
        <v>2.2664743999766999</v>
      </c>
      <c r="AK99">
        <v>1</v>
      </c>
      <c r="AL99">
        <v>0</v>
      </c>
      <c r="AM99">
        <v>0</v>
      </c>
    </row>
    <row r="100" spans="1:39" hidden="1" x14ac:dyDescent="0.2">
      <c r="A100" t="s">
        <v>255</v>
      </c>
      <c r="B100" t="s">
        <v>256</v>
      </c>
      <c r="C100" t="s">
        <v>255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4.8</v>
      </c>
      <c r="AE100">
        <v>492</v>
      </c>
      <c r="AF100">
        <v>11.902028364055409</v>
      </c>
      <c r="AG100">
        <v>18.186569388269039</v>
      </c>
      <c r="AH100">
        <v>8.336400201106084</v>
      </c>
      <c r="AI100">
        <f>14.7487312405565*1</f>
        <v>14.7487312405565</v>
      </c>
      <c r="AJ100">
        <f>2.49284356344974*1</f>
        <v>2.4928435634497399</v>
      </c>
      <c r="AK100">
        <v>1</v>
      </c>
      <c r="AL100">
        <v>0</v>
      </c>
      <c r="AM100">
        <v>0</v>
      </c>
    </row>
    <row r="101" spans="1:39" hidden="1" x14ac:dyDescent="0.2">
      <c r="A101" t="s">
        <v>249</v>
      </c>
      <c r="B101" t="s">
        <v>257</v>
      </c>
      <c r="C101" t="s">
        <v>257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5.4</v>
      </c>
      <c r="AE101">
        <v>495</v>
      </c>
      <c r="AF101">
        <v>11.66257692531909</v>
      </c>
      <c r="AG101">
        <v>17.431564084992949</v>
      </c>
      <c r="AH101">
        <v>9.5024826848764068</v>
      </c>
      <c r="AI101">
        <f>10.650116848049*1</f>
        <v>10.650116848049</v>
      </c>
      <c r="AJ101">
        <f>2.26066054186386*1</f>
        <v>2.2606605418638601</v>
      </c>
      <c r="AK101">
        <v>1</v>
      </c>
      <c r="AL101">
        <v>0</v>
      </c>
      <c r="AM101">
        <v>0</v>
      </c>
    </row>
    <row r="102" spans="1:39" hidden="1" x14ac:dyDescent="0.2">
      <c r="A102" t="s">
        <v>258</v>
      </c>
      <c r="B102" t="s">
        <v>259</v>
      </c>
      <c r="C102" t="s">
        <v>259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6.5</v>
      </c>
      <c r="AE102">
        <v>496</v>
      </c>
      <c r="AF102">
        <v>22.142231140577959</v>
      </c>
      <c r="AG102">
        <v>11.33896775648082</v>
      </c>
      <c r="AH102">
        <v>37.200000000000003</v>
      </c>
      <c r="AI102">
        <f>7.68822294444745*1</f>
        <v>7.6882229444474497</v>
      </c>
      <c r="AJ102">
        <f>1.39289974654747*1</f>
        <v>1.39289974654747</v>
      </c>
      <c r="AK102">
        <v>1</v>
      </c>
      <c r="AL102">
        <v>1</v>
      </c>
      <c r="AM102">
        <v>0</v>
      </c>
    </row>
    <row r="103" spans="1:39" x14ac:dyDescent="0.2">
      <c r="A103" t="s">
        <v>246</v>
      </c>
      <c r="B103" t="s">
        <v>78</v>
      </c>
      <c r="C103" t="s">
        <v>78</v>
      </c>
      <c r="D103" t="s">
        <v>3</v>
      </c>
      <c r="E103">
        <v>1</v>
      </c>
      <c r="F103">
        <v>0</v>
      </c>
      <c r="G103">
        <v>0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440</v>
      </c>
      <c r="AF103">
        <v>17.25</v>
      </c>
      <c r="AG103">
        <v>18.131596788878319</v>
      </c>
      <c r="AH103">
        <v>13.271888737868091</v>
      </c>
      <c r="AI103">
        <f>11.2892127731929*1</f>
        <v>11.289212773192901</v>
      </c>
      <c r="AJ103">
        <f>1.94128287686507*1</f>
        <v>1.9412828768650701</v>
      </c>
      <c r="AK103">
        <v>1</v>
      </c>
      <c r="AL103">
        <v>1</v>
      </c>
      <c r="AM103">
        <v>1</v>
      </c>
    </row>
    <row r="104" spans="1:39" hidden="1" x14ac:dyDescent="0.2">
      <c r="A104" t="s">
        <v>134</v>
      </c>
      <c r="B104" t="s">
        <v>262</v>
      </c>
      <c r="C104" t="s">
        <v>262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6.1</v>
      </c>
      <c r="AE104">
        <v>509</v>
      </c>
      <c r="AF104">
        <v>19.38203505227235</v>
      </c>
      <c r="AG104">
        <v>17.30763501163834</v>
      </c>
      <c r="AH104">
        <v>31.939124597207311</v>
      </c>
      <c r="AI104">
        <f>17.1981243699306*1</f>
        <v>17.1981243699306</v>
      </c>
      <c r="AJ104">
        <f>3.70032089066419*1</f>
        <v>3.70032089066419</v>
      </c>
      <c r="AK104">
        <v>1</v>
      </c>
      <c r="AL104">
        <v>0</v>
      </c>
      <c r="AM104">
        <v>0</v>
      </c>
    </row>
    <row r="105" spans="1:39" hidden="1" x14ac:dyDescent="0.2">
      <c r="A105" t="s">
        <v>161</v>
      </c>
      <c r="B105" t="s">
        <v>263</v>
      </c>
      <c r="C105" t="s">
        <v>263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6.3</v>
      </c>
      <c r="AE105">
        <v>512</v>
      </c>
      <c r="AF105">
        <v>18.760073293657499</v>
      </c>
      <c r="AG105">
        <v>16.908209001711541</v>
      </c>
      <c r="AH105">
        <v>16.646997722067201</v>
      </c>
      <c r="AI105">
        <f>13.4884210578189*1</f>
        <v>13.488421057818901</v>
      </c>
      <c r="AJ105">
        <f>2.68552560983034*1</f>
        <v>2.6855256098303402</v>
      </c>
      <c r="AK105">
        <v>1</v>
      </c>
      <c r="AL105">
        <v>0</v>
      </c>
      <c r="AM105">
        <v>0</v>
      </c>
    </row>
    <row r="106" spans="1:39" hidden="1" x14ac:dyDescent="0.2">
      <c r="A106" t="s">
        <v>264</v>
      </c>
      <c r="B106" t="s">
        <v>265</v>
      </c>
      <c r="C106" t="s">
        <v>265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6.4</v>
      </c>
      <c r="AE106">
        <v>568</v>
      </c>
      <c r="AF106">
        <v>17.054794520547961</v>
      </c>
      <c r="AG106">
        <v>13.62640245610193</v>
      </c>
      <c r="AH106">
        <v>17.914495787116341</v>
      </c>
      <c r="AI106">
        <f>6.89842100862342*1</f>
        <v>6.8984210086234201</v>
      </c>
      <c r="AJ106">
        <f>1.43953430480694*1</f>
        <v>1.43953430480694</v>
      </c>
      <c r="AK106">
        <v>1</v>
      </c>
      <c r="AL106">
        <v>0</v>
      </c>
      <c r="AM106">
        <v>0</v>
      </c>
    </row>
    <row r="107" spans="1:39" hidden="1" x14ac:dyDescent="0.2">
      <c r="A107" t="s">
        <v>266</v>
      </c>
      <c r="B107" t="s">
        <v>267</v>
      </c>
      <c r="C107" t="s">
        <v>267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6.4</v>
      </c>
      <c r="AE107">
        <v>569</v>
      </c>
      <c r="AF107">
        <v>19.197530864197539</v>
      </c>
      <c r="AG107">
        <v>22.48621437933754</v>
      </c>
      <c r="AH107">
        <v>9.6533333333333324</v>
      </c>
      <c r="AI107">
        <f>15.8115345305036*1</f>
        <v>15.8115345305036</v>
      </c>
      <c r="AJ107">
        <f>3.16294098593756*1</f>
        <v>3.1629409859375599</v>
      </c>
      <c r="AK107">
        <v>1</v>
      </c>
      <c r="AL107">
        <v>0</v>
      </c>
      <c r="AM107">
        <v>0</v>
      </c>
    </row>
    <row r="108" spans="1:39" hidden="1" x14ac:dyDescent="0.2">
      <c r="A108" t="s">
        <v>161</v>
      </c>
      <c r="B108" t="s">
        <v>268</v>
      </c>
      <c r="C108" t="s">
        <v>268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7.5</v>
      </c>
      <c r="AE108">
        <v>571</v>
      </c>
      <c r="AF108">
        <v>21.161287512257399</v>
      </c>
      <c r="AG108">
        <v>22.07158935390127</v>
      </c>
      <c r="AH108">
        <v>22.03140988934117</v>
      </c>
      <c r="AI108">
        <f>10.4650887327774*1</f>
        <v>10.465088732777399</v>
      </c>
      <c r="AJ108">
        <f>2.0113968794611*1</f>
        <v>2.0113968794610999</v>
      </c>
      <c r="AK108">
        <v>1</v>
      </c>
      <c r="AL108">
        <v>0</v>
      </c>
      <c r="AM108">
        <v>0</v>
      </c>
    </row>
    <row r="109" spans="1:39" x14ac:dyDescent="0.2">
      <c r="A109" t="s">
        <v>157</v>
      </c>
      <c r="B109" t="s">
        <v>158</v>
      </c>
      <c r="C109" t="s">
        <v>158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4.4000000000000004</v>
      </c>
      <c r="AE109">
        <v>256</v>
      </c>
      <c r="AF109">
        <v>5</v>
      </c>
      <c r="AG109">
        <v>5</v>
      </c>
      <c r="AH109">
        <v>5</v>
      </c>
      <c r="AI109">
        <f>5*1</f>
        <v>5</v>
      </c>
      <c r="AJ109">
        <f>0.5*1</f>
        <v>0.5</v>
      </c>
      <c r="AK109">
        <v>1</v>
      </c>
      <c r="AL109">
        <v>1</v>
      </c>
      <c r="AM109">
        <v>1</v>
      </c>
    </row>
    <row r="110" spans="1:39" hidden="1" x14ac:dyDescent="0.2">
      <c r="A110" t="s">
        <v>272</v>
      </c>
      <c r="B110" t="s">
        <v>273</v>
      </c>
      <c r="C110" t="s">
        <v>272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6.9</v>
      </c>
      <c r="AE110">
        <v>574</v>
      </c>
      <c r="AF110">
        <v>19.368131868131851</v>
      </c>
      <c r="AG110">
        <v>19.36846505923014</v>
      </c>
      <c r="AH110">
        <v>9.2225336232271822</v>
      </c>
      <c r="AI110">
        <f>8.0621311088416*1</f>
        <v>8.0621311088415997</v>
      </c>
      <c r="AJ110">
        <f>1.81631308942051*1</f>
        <v>1.81631308942051</v>
      </c>
      <c r="AK110">
        <v>1</v>
      </c>
      <c r="AL110">
        <v>0</v>
      </c>
      <c r="AM110">
        <v>0</v>
      </c>
    </row>
    <row r="111" spans="1:39" hidden="1" x14ac:dyDescent="0.2">
      <c r="A111" t="s">
        <v>274</v>
      </c>
      <c r="B111" t="s">
        <v>275</v>
      </c>
      <c r="C111" t="s">
        <v>275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5.0999999999999996</v>
      </c>
      <c r="AE111">
        <v>575</v>
      </c>
      <c r="AF111">
        <v>15.187499999999989</v>
      </c>
      <c r="AG111">
        <v>12.83058777036633</v>
      </c>
      <c r="AH111">
        <v>24.124607589074369</v>
      </c>
      <c r="AI111">
        <f>11.1726219697628*1</f>
        <v>11.172621969762799</v>
      </c>
      <c r="AJ111">
        <f>1.70682121856033*1</f>
        <v>1.70682121856033</v>
      </c>
      <c r="AK111">
        <v>1</v>
      </c>
      <c r="AL111">
        <v>0</v>
      </c>
      <c r="AM111">
        <v>0</v>
      </c>
    </row>
    <row r="112" spans="1:39" hidden="1" x14ac:dyDescent="0.2">
      <c r="A112" t="s">
        <v>276</v>
      </c>
      <c r="B112" t="s">
        <v>277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10</v>
      </c>
      <c r="AE112">
        <v>579</v>
      </c>
      <c r="AF112">
        <v>26.837113301267049</v>
      </c>
      <c r="AG112">
        <v>25.681561467600179</v>
      </c>
      <c r="AH112">
        <v>34.722222222222221</v>
      </c>
      <c r="AI112">
        <f>15.3265550374773*1</f>
        <v>15.3265550374773</v>
      </c>
      <c r="AJ112">
        <f>3.32022459729858*1</f>
        <v>3.32022459729858</v>
      </c>
      <c r="AK112">
        <v>1</v>
      </c>
      <c r="AL112">
        <v>0</v>
      </c>
      <c r="AM112">
        <v>0</v>
      </c>
    </row>
    <row r="113" spans="1:39" hidden="1" x14ac:dyDescent="0.2">
      <c r="A113" t="s">
        <v>278</v>
      </c>
      <c r="B113" t="s">
        <v>279</v>
      </c>
      <c r="C113" t="s">
        <v>279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5</v>
      </c>
      <c r="AE113">
        <v>581</v>
      </c>
      <c r="AF113">
        <v>14.19354838709677</v>
      </c>
      <c r="AG113">
        <v>11.26296707142625</v>
      </c>
      <c r="AH113">
        <v>12.98980128437352</v>
      </c>
      <c r="AI113">
        <f>9.13014582857703*1</f>
        <v>9.1301458285770298</v>
      </c>
      <c r="AJ113">
        <f>1.92017767318415*1</f>
        <v>1.92017767318415</v>
      </c>
      <c r="AK113">
        <v>1</v>
      </c>
      <c r="AL113">
        <v>0</v>
      </c>
      <c r="AM113">
        <v>0</v>
      </c>
    </row>
    <row r="114" spans="1:39" hidden="1" x14ac:dyDescent="0.2">
      <c r="A114" t="s">
        <v>280</v>
      </c>
      <c r="B114" t="s">
        <v>281</v>
      </c>
      <c r="C114" t="s">
        <v>282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4.5</v>
      </c>
      <c r="AE114">
        <v>582</v>
      </c>
      <c r="AF114">
        <v>14.81481481481481</v>
      </c>
      <c r="AG114">
        <v>15.084607702413971</v>
      </c>
      <c r="AH114">
        <v>24.52</v>
      </c>
      <c r="AI114">
        <f>16.1015527576799*1</f>
        <v>16.101552757679901</v>
      </c>
      <c r="AJ114">
        <f>2.23654814628484*1</f>
        <v>2.2365481462848402</v>
      </c>
      <c r="AK114">
        <v>1</v>
      </c>
      <c r="AL114">
        <v>0</v>
      </c>
      <c r="AM114">
        <v>0</v>
      </c>
    </row>
    <row r="115" spans="1:39" hidden="1" x14ac:dyDescent="0.2">
      <c r="A115" t="s">
        <v>283</v>
      </c>
      <c r="B115" t="s">
        <v>284</v>
      </c>
      <c r="C115" t="s">
        <v>284</v>
      </c>
      <c r="D115" t="s">
        <v>3</v>
      </c>
      <c r="E115">
        <v>1</v>
      </c>
      <c r="F115">
        <v>0</v>
      </c>
      <c r="G115">
        <v>0</v>
      </c>
      <c r="H115">
        <v>0</v>
      </c>
      <c r="I115" t="s">
        <v>28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5</v>
      </c>
      <c r="AE115">
        <v>584</v>
      </c>
      <c r="AF115">
        <v>15.12820512820513</v>
      </c>
      <c r="AG115">
        <v>26.273721515425251</v>
      </c>
      <c r="AH115">
        <v>13.45495911782673</v>
      </c>
      <c r="AI115">
        <f>13.4797668393379*1</f>
        <v>13.4797668393379</v>
      </c>
      <c r="AJ115">
        <f>2.70943356797777*1</f>
        <v>2.7094335679777699</v>
      </c>
      <c r="AK115">
        <v>1</v>
      </c>
      <c r="AL115">
        <v>0</v>
      </c>
      <c r="AM115">
        <v>0</v>
      </c>
    </row>
    <row r="116" spans="1:39" hidden="1" x14ac:dyDescent="0.2">
      <c r="A116" t="s">
        <v>180</v>
      </c>
      <c r="B116" t="s">
        <v>285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28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5.5</v>
      </c>
      <c r="AE116">
        <v>589</v>
      </c>
      <c r="AF116">
        <v>14.032258064516119</v>
      </c>
      <c r="AG116">
        <v>18.348548951592239</v>
      </c>
      <c r="AH116">
        <v>11.81424859903964</v>
      </c>
      <c r="AI116">
        <f>9.47767160338125*1</f>
        <v>9.4776716033812498</v>
      </c>
      <c r="AJ116">
        <f>2.00186691911472*1</f>
        <v>2.00186691911472</v>
      </c>
      <c r="AK116">
        <v>1</v>
      </c>
      <c r="AL116">
        <v>0</v>
      </c>
      <c r="AM116">
        <v>0</v>
      </c>
    </row>
    <row r="117" spans="1:39" hidden="1" x14ac:dyDescent="0.2">
      <c r="A117" t="s">
        <v>286</v>
      </c>
      <c r="B117" t="s">
        <v>287</v>
      </c>
      <c r="C117" t="s">
        <v>287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29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5.5</v>
      </c>
      <c r="AE117">
        <v>592</v>
      </c>
      <c r="AF117">
        <v>17.824858757062142</v>
      </c>
      <c r="AG117">
        <v>17.00843321430062</v>
      </c>
      <c r="AH117">
        <v>12.10935917286324</v>
      </c>
      <c r="AI117">
        <f>11.024077253565*1</f>
        <v>11.024077253565</v>
      </c>
      <c r="AJ117">
        <f>2.29255299672565*1</f>
        <v>2.2925529967256502</v>
      </c>
      <c r="AK117">
        <v>1</v>
      </c>
      <c r="AL117">
        <v>0</v>
      </c>
      <c r="AM117">
        <v>0</v>
      </c>
    </row>
    <row r="118" spans="1:39" hidden="1" x14ac:dyDescent="0.2">
      <c r="A118" t="s">
        <v>288</v>
      </c>
      <c r="B118" t="s">
        <v>289</v>
      </c>
      <c r="C118" t="s">
        <v>289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4.5</v>
      </c>
      <c r="AE118">
        <v>593</v>
      </c>
      <c r="AF118">
        <v>16.966996474296621</v>
      </c>
      <c r="AG118">
        <v>17.533207328060001</v>
      </c>
      <c r="AH118">
        <v>11.63076923076923</v>
      </c>
      <c r="AI118">
        <f>4.43724232249404*1</f>
        <v>4.4372423224940398</v>
      </c>
      <c r="AJ118">
        <f>0.888395018546154*1</f>
        <v>0.88839501854615399</v>
      </c>
      <c r="AK118">
        <v>1</v>
      </c>
      <c r="AL118">
        <v>0</v>
      </c>
      <c r="AM118">
        <v>0</v>
      </c>
    </row>
    <row r="119" spans="1:39" hidden="1" x14ac:dyDescent="0.2">
      <c r="A119" t="s">
        <v>290</v>
      </c>
      <c r="B119" t="s">
        <v>291</v>
      </c>
      <c r="C119" t="s">
        <v>291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7.5</v>
      </c>
      <c r="AE119">
        <v>594</v>
      </c>
      <c r="AF119">
        <v>22.33967075393063</v>
      </c>
      <c r="AG119">
        <v>23.919224989839531</v>
      </c>
      <c r="AH119">
        <v>40.251005759748438</v>
      </c>
      <c r="AI119">
        <f>26.5307239956858*1</f>
        <v>26.530723995685801</v>
      </c>
      <c r="AJ119">
        <f>5.22494190132591*1</f>
        <v>5.2249419013259102</v>
      </c>
      <c r="AK119">
        <v>1</v>
      </c>
      <c r="AL119">
        <v>0</v>
      </c>
      <c r="AM119">
        <v>0</v>
      </c>
    </row>
    <row r="120" spans="1:39" hidden="1" x14ac:dyDescent="0.2">
      <c r="A120" t="s">
        <v>292</v>
      </c>
      <c r="B120" t="s">
        <v>293</v>
      </c>
      <c r="C120" t="s">
        <v>293</v>
      </c>
      <c r="D120" t="s">
        <v>3</v>
      </c>
      <c r="E120">
        <v>1</v>
      </c>
      <c r="F120">
        <v>0</v>
      </c>
      <c r="G120">
        <v>0</v>
      </c>
      <c r="H120">
        <v>0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4.5</v>
      </c>
      <c r="AE120">
        <v>600</v>
      </c>
      <c r="AF120">
        <v>11.666666666666661</v>
      </c>
      <c r="AG120">
        <v>12.24169522708163</v>
      </c>
      <c r="AH120">
        <v>10.909673255700151</v>
      </c>
      <c r="AI120">
        <f>7.97853205850427*1</f>
        <v>7.9785320585042703</v>
      </c>
      <c r="AJ120">
        <f>1.52165621933326*1</f>
        <v>1.5216562193332599</v>
      </c>
      <c r="AK120">
        <v>1</v>
      </c>
      <c r="AL120">
        <v>0</v>
      </c>
      <c r="AM120">
        <v>0</v>
      </c>
    </row>
    <row r="121" spans="1:39" hidden="1" x14ac:dyDescent="0.2">
      <c r="A121" t="s">
        <v>294</v>
      </c>
      <c r="B121" t="s">
        <v>295</v>
      </c>
      <c r="C121" t="s">
        <v>295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4.5</v>
      </c>
      <c r="AE121">
        <v>602</v>
      </c>
      <c r="AF121">
        <v>14.56692913385826</v>
      </c>
      <c r="AG121">
        <v>14.68856123555231</v>
      </c>
      <c r="AH121">
        <v>33.666282730370597</v>
      </c>
      <c r="AI121">
        <f>10.3260198945966*1</f>
        <v>10.3260198945966</v>
      </c>
      <c r="AJ121">
        <f>2.05477817010123*1</f>
        <v>2.0547781701012302</v>
      </c>
      <c r="AK121">
        <v>1</v>
      </c>
      <c r="AL121">
        <v>0</v>
      </c>
      <c r="AM121">
        <v>0</v>
      </c>
    </row>
    <row r="122" spans="1:39" hidden="1" x14ac:dyDescent="0.2">
      <c r="A122" t="s">
        <v>296</v>
      </c>
      <c r="B122" t="s">
        <v>297</v>
      </c>
      <c r="C122" t="s">
        <v>297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6.4</v>
      </c>
      <c r="AE122">
        <v>603</v>
      </c>
      <c r="AF122">
        <v>20</v>
      </c>
      <c r="AG122">
        <v>22.89328404205639</v>
      </c>
      <c r="AH122">
        <v>16.233333333333331</v>
      </c>
      <c r="AI122">
        <f>12.5508733135705*1</f>
        <v>12.5508733135705</v>
      </c>
      <c r="AJ122">
        <f>2.27705636378599*1</f>
        <v>2.2770563637859902</v>
      </c>
      <c r="AK122">
        <v>1</v>
      </c>
      <c r="AL122">
        <v>0</v>
      </c>
      <c r="AM122">
        <v>0</v>
      </c>
    </row>
    <row r="123" spans="1:39" hidden="1" x14ac:dyDescent="0.2">
      <c r="A123" t="s">
        <v>71</v>
      </c>
      <c r="B123" t="s">
        <v>298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6</v>
      </c>
      <c r="AE123">
        <v>605</v>
      </c>
      <c r="AF123">
        <v>17.366483605535159</v>
      </c>
      <c r="AG123">
        <v>20.745499801202371</v>
      </c>
      <c r="AH123">
        <v>10.25333333333333</v>
      </c>
      <c r="AI123">
        <f>7.89716402584564*1</f>
        <v>7.8971640258456404</v>
      </c>
      <c r="AJ123">
        <f>1.70681764151859*1</f>
        <v>1.7068176415185901</v>
      </c>
      <c r="AK123">
        <v>1</v>
      </c>
      <c r="AL123">
        <v>0</v>
      </c>
      <c r="AM123">
        <v>0</v>
      </c>
    </row>
    <row r="124" spans="1:39" hidden="1" x14ac:dyDescent="0.2">
      <c r="A124" t="s">
        <v>300</v>
      </c>
      <c r="B124" t="s">
        <v>301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5</v>
      </c>
      <c r="AE124">
        <v>608</v>
      </c>
      <c r="AF124">
        <v>16.25</v>
      </c>
      <c r="AG124">
        <v>19.290133956738462</v>
      </c>
      <c r="AH124">
        <v>29.324999999999999</v>
      </c>
      <c r="AI124">
        <f>16.1436009946872*1</f>
        <v>16.143600994687201</v>
      </c>
      <c r="AJ124">
        <f>2.82955930712725*1</f>
        <v>2.82955930712725</v>
      </c>
      <c r="AK124">
        <v>1</v>
      </c>
      <c r="AL124">
        <v>0</v>
      </c>
      <c r="AM124">
        <v>0</v>
      </c>
    </row>
    <row r="125" spans="1:39" hidden="1" x14ac:dyDescent="0.2">
      <c r="A125" t="s">
        <v>302</v>
      </c>
      <c r="B125" t="s">
        <v>303</v>
      </c>
      <c r="C125" t="s">
        <v>304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30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6.5</v>
      </c>
      <c r="AE125">
        <v>626</v>
      </c>
      <c r="AF125">
        <v>13.960164797461999</v>
      </c>
      <c r="AG125">
        <v>27.60330551311413</v>
      </c>
      <c r="AH125">
        <v>11.549164862914861</v>
      </c>
      <c r="AI125">
        <f>7.57904596414481*1</f>
        <v>7.57904596414481</v>
      </c>
      <c r="AJ125">
        <f>1.59346044997897*1</f>
        <v>1.59346044997897</v>
      </c>
      <c r="AK125">
        <v>1</v>
      </c>
      <c r="AL125">
        <v>0</v>
      </c>
      <c r="AM125">
        <v>0</v>
      </c>
    </row>
    <row r="126" spans="1:39" hidden="1" x14ac:dyDescent="0.2">
      <c r="A126" t="s">
        <v>305</v>
      </c>
      <c r="B126" t="s">
        <v>306</v>
      </c>
      <c r="C126" t="s">
        <v>306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4.5</v>
      </c>
      <c r="AE126">
        <v>627</v>
      </c>
      <c r="AF126">
        <v>12.443431222841159</v>
      </c>
      <c r="AG126">
        <v>13.78388907649026</v>
      </c>
      <c r="AH126">
        <v>7.9945306526996536</v>
      </c>
      <c r="AI126">
        <f>2.37967978908192*1</f>
        <v>2.3796797890819201</v>
      </c>
      <c r="AJ126">
        <f>0.440652582172558*1</f>
        <v>0.44065258217255798</v>
      </c>
      <c r="AK126">
        <v>1</v>
      </c>
      <c r="AL126">
        <v>0</v>
      </c>
      <c r="AM126">
        <v>0</v>
      </c>
    </row>
    <row r="127" spans="1:39" hidden="1" x14ac:dyDescent="0.2">
      <c r="A127" t="s">
        <v>307</v>
      </c>
      <c r="B127" t="s">
        <v>308</v>
      </c>
      <c r="C127" t="s">
        <v>309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30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4.5</v>
      </c>
      <c r="AE127">
        <v>639</v>
      </c>
      <c r="AF127">
        <v>16.804906304044248</v>
      </c>
      <c r="AG127">
        <v>20.82474121263034</v>
      </c>
      <c r="AH127">
        <v>9.16</v>
      </c>
      <c r="AI127">
        <f>12.0407642884702*1</f>
        <v>12.0407642884702</v>
      </c>
      <c r="AJ127">
        <f>2.43447670866981*1</f>
        <v>2.43447670866981</v>
      </c>
      <c r="AK127">
        <v>1</v>
      </c>
      <c r="AL127">
        <v>0</v>
      </c>
      <c r="AM127">
        <v>0</v>
      </c>
    </row>
    <row r="128" spans="1:39" hidden="1" x14ac:dyDescent="0.2">
      <c r="A128" t="s">
        <v>310</v>
      </c>
      <c r="B128" t="s">
        <v>311</v>
      </c>
      <c r="C128" t="s">
        <v>312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30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5</v>
      </c>
      <c r="AE128">
        <v>642</v>
      </c>
      <c r="AF128">
        <v>11.32352941176471</v>
      </c>
      <c r="AG128">
        <v>9.4963989459307605</v>
      </c>
      <c r="AH128">
        <v>11.89722533457828</v>
      </c>
      <c r="AI128">
        <f>10.7613029526881*1</f>
        <v>10.7613029526881</v>
      </c>
      <c r="AJ128">
        <f>2.17849488904027*1</f>
        <v>2.17849488904027</v>
      </c>
      <c r="AK128">
        <v>1</v>
      </c>
      <c r="AL128">
        <v>0</v>
      </c>
      <c r="AM12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2024-09-06T14:37:10Z</dcterms:created>
  <dcterms:modified xsi:type="dcterms:W3CDTF">2024-09-06T14:40:22Z</dcterms:modified>
</cp:coreProperties>
</file>