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11976450-4689-6042-9CA1-D7BD256220EB}" xr6:coauthVersionLast="47" xr6:coauthVersionMax="47" xr10:uidLastSave="{00000000-0000-0000-0000-000000000000}"/>
  <bookViews>
    <workbookView xWindow="240" yWindow="760" windowWidth="2112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00" i="1" l="1"/>
  <c r="AH200" i="1"/>
  <c r="AI199" i="1"/>
  <c r="AH199" i="1"/>
  <c r="AI198" i="1"/>
  <c r="AH198" i="1"/>
  <c r="AI197" i="1"/>
  <c r="AH197" i="1"/>
  <c r="AI196" i="1"/>
  <c r="AH196" i="1"/>
  <c r="AI195" i="1"/>
  <c r="AH195" i="1"/>
  <c r="AI194" i="1"/>
  <c r="AH194" i="1"/>
  <c r="AI193" i="1"/>
  <c r="AH193" i="1"/>
  <c r="AI145" i="1"/>
  <c r="AH145" i="1"/>
  <c r="AI191" i="1"/>
  <c r="AH191" i="1"/>
  <c r="AI190" i="1"/>
  <c r="AH190" i="1"/>
  <c r="AI189" i="1"/>
  <c r="AH189" i="1"/>
  <c r="AI188" i="1"/>
  <c r="AH188" i="1"/>
  <c r="AI187" i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163" i="1"/>
  <c r="AH163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92" i="1"/>
  <c r="AH192" i="1"/>
  <c r="AI162" i="1"/>
  <c r="AH162" i="1"/>
  <c r="AI28" i="1"/>
  <c r="AH28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46" i="1"/>
  <c r="AH146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85" i="1"/>
  <c r="AH85" i="1"/>
  <c r="AI36" i="1"/>
  <c r="AH36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40" i="1"/>
  <c r="AH40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177" i="1"/>
  <c r="AH177" i="1"/>
  <c r="AI161" i="1"/>
  <c r="AH161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118" i="1"/>
  <c r="AH118" i="1"/>
  <c r="AI44" i="1"/>
  <c r="AH44" i="1"/>
  <c r="AI43" i="1"/>
  <c r="AH43" i="1"/>
  <c r="AI42" i="1"/>
  <c r="AH42" i="1"/>
  <c r="AI41" i="1"/>
  <c r="AH41" i="1"/>
  <c r="AI45" i="1"/>
  <c r="AH45" i="1"/>
  <c r="AI39" i="1"/>
  <c r="AH39" i="1"/>
  <c r="AO38" i="1"/>
  <c r="AI38" i="1"/>
  <c r="AH38" i="1"/>
  <c r="AO37" i="1"/>
  <c r="AI37" i="1"/>
  <c r="AH37" i="1"/>
  <c r="AO36" i="1"/>
  <c r="AI154" i="1"/>
  <c r="AH154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84" i="1"/>
  <c r="AH84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2" i="1"/>
  <c r="AH2" i="1"/>
  <c r="AO2" i="1" s="1"/>
  <c r="AO17" i="1" l="1"/>
</calcChain>
</file>

<file path=xl/sharedStrings.xml><?xml version="1.0" encoding="utf-8"?>
<sst xmlns="http://schemas.openxmlformats.org/spreadsheetml/2006/main" count="1065" uniqueCount="463">
  <si>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</si>
  <si>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</si>
  <si>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</si>
  <si>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</si>
  <si>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</si>
  <si>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</si>
  <si>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</si>
  <si>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</si>
  <si>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</si>
  <si>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</si>
  <si>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</si>
  <si>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</si>
  <si>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</si>
  <si>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</si>
  <si>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</si>
  <si>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</si>
  <si>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</si>
  <si>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</si>
  <si>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</si>
  <si>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</si>
  <si>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</si>
  <si>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</si>
  <si>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</si>
  <si>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</si>
  <si>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</si>
  <si>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</si>
  <si>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</si>
  <si>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</si>
  <si>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</si>
  <si>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</si>
  <si>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</si>
  <si>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</si>
  <si>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</si>
  <si>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</si>
  <si>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</si>
  <si>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</si>
  <si>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</si>
  <si>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</si>
  <si>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</si>
  <si>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</si>
  <si>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</si>
  <si>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</si>
  <si>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</si>
  <si>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</si>
  <si>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</si>
  <si>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</si>
  <si>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Fernando de Jesus</t>
  </si>
  <si>
    <t>G.Jesus</t>
  </si>
  <si>
    <t>dos Santos Magalhães</t>
  </si>
  <si>
    <t>Kai</t>
  </si>
  <si>
    <t>Havertz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</si>
  <si>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</si>
  <si>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</si>
  <si>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</si>
  <si>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</si>
  <si>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</si>
  <si>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</si>
  <si>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</si>
  <si>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</si>
  <si>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</si>
  <si>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</si>
  <si>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</si>
  <si>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</si>
  <si>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</si>
  <si>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</si>
  <si>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</si>
  <si>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Leon</t>
  </si>
  <si>
    <t>Bailey</t>
  </si>
  <si>
    <t>Ross</t>
  </si>
  <si>
    <t>Barkley</t>
  </si>
  <si>
    <t>Lucas</t>
  </si>
  <si>
    <t>Digne</t>
  </si>
  <si>
    <t>Jhon</t>
  </si>
  <si>
    <t>Durán</t>
  </si>
  <si>
    <t>Duran</t>
  </si>
  <si>
    <t>Ezri</t>
  </si>
  <si>
    <t>Konsa Ngoyo</t>
  </si>
  <si>
    <t>Konsa</t>
  </si>
  <si>
    <t>Ian</t>
  </si>
  <si>
    <t>Maatsen</t>
  </si>
  <si>
    <t>Emiliano</t>
  </si>
  <si>
    <t>Martínez Romero</t>
  </si>
  <si>
    <t>Martinez</t>
  </si>
  <si>
    <t>John</t>
  </si>
  <si>
    <t>McGinn</t>
  </si>
  <si>
    <t>Pau</t>
  </si>
  <si>
    <t>Torres</t>
  </si>
  <si>
    <t>Morgan</t>
  </si>
  <si>
    <t>Rogers</t>
  </si>
  <si>
    <t>Youri</t>
  </si>
  <si>
    <t>Tielemans</t>
  </si>
  <si>
    <t>Ollie</t>
  </si>
  <si>
    <t>Watkins</t>
  </si>
  <si>
    <t>Amadou</t>
  </si>
  <si>
    <t>Onana</t>
  </si>
  <si>
    <t>Ryan</t>
  </si>
  <si>
    <t>Christie</t>
  </si>
  <si>
    <t>Lewis</t>
  </si>
  <si>
    <t>Cook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</si>
  <si>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</si>
  <si>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</si>
  <si>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</si>
  <si>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</si>
  <si>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</si>
  <si>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</si>
  <si>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</si>
  <si>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</si>
  <si>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</si>
  <si>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</si>
  <si>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</si>
  <si>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</si>
  <si>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</si>
  <si>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</si>
  <si>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</si>
  <si>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</si>
  <si>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</si>
  <si>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</si>
  <si>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</si>
  <si>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</si>
  <si>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</si>
  <si>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</si>
  <si>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</si>
  <si>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</si>
  <si>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</si>
  <si>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</si>
  <si>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</si>
  <si>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</si>
  <si>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</si>
  <si>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</si>
  <si>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</si>
  <si>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</si>
  <si>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</si>
  <si>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</si>
  <si>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Mads</t>
  </si>
  <si>
    <t>Roerslev Rasmussen</t>
  </si>
  <si>
    <t>Roerslev</t>
  </si>
  <si>
    <t>Kevin</t>
  </si>
  <si>
    <t>Schade</t>
  </si>
  <si>
    <t>Yoane</t>
  </si>
  <si>
    <t>Wissa</t>
  </si>
  <si>
    <t>Fábio</t>
  </si>
  <si>
    <t>Freitas Gouveia Carvalho</t>
  </si>
  <si>
    <t>Carvalho</t>
  </si>
  <si>
    <t>Simon</t>
  </si>
  <si>
    <t>Adingra</t>
  </si>
  <si>
    <t>Carlos</t>
  </si>
  <si>
    <t>Baleba</t>
  </si>
  <si>
    <t>Dunk</t>
  </si>
  <si>
    <t>Pervis</t>
  </si>
  <si>
    <t>Estupiñán</t>
  </si>
  <si>
    <t>Estupiñan</t>
  </si>
  <si>
    <t>João Pedro</t>
  </si>
  <si>
    <t>Junqueira de Jesus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</si>
  <si>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</si>
  <si>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</si>
  <si>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</si>
  <si>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</si>
  <si>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</si>
  <si>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</si>
  <si>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</si>
  <si>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</si>
  <si>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</si>
  <si>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</si>
  <si>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</si>
  <si>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</si>
  <si>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</si>
  <si>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</si>
  <si>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</si>
  <si>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</si>
  <si>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</si>
  <si>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</si>
  <si>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</si>
  <si>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</si>
  <si>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</si>
  <si>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Malo</t>
  </si>
  <si>
    <t>Gusto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</si>
  <si>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</si>
  <si>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</si>
  <si>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</si>
  <si>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</si>
  <si>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</si>
  <si>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</si>
  <si>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</si>
  <si>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</si>
  <si>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</si>
  <si>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</si>
  <si>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</si>
  <si>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Jadon</t>
  </si>
  <si>
    <t>Sancho</t>
  </si>
  <si>
    <t>Pedro</t>
  </si>
  <si>
    <t>Lomba Neto</t>
  </si>
  <si>
    <t>Neto</t>
  </si>
  <si>
    <t>Eddie</t>
  </si>
  <si>
    <t>Nketiah</t>
  </si>
  <si>
    <t>Eberechi</t>
  </si>
  <si>
    <t>Eze</t>
  </si>
  <si>
    <t>Guéhi</t>
  </si>
  <si>
    <t>Dean</t>
  </si>
  <si>
    <t>Henderson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</si>
  <si>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</si>
  <si>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</si>
  <si>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</si>
  <si>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</si>
  <si>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</si>
  <si>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</si>
  <si>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</si>
  <si>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</si>
  <si>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</si>
  <si>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</si>
  <si>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</si>
  <si>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</si>
  <si>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</si>
  <si>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</si>
  <si>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</si>
  <si>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</si>
  <si>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</si>
  <si>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</si>
  <si>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</si>
  <si>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</si>
  <si>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</si>
  <si>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</si>
  <si>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</si>
  <si>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</si>
  <si>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Vitalii</t>
  </si>
  <si>
    <t>Mykolenko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</si>
  <si>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</si>
  <si>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</si>
  <si>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</si>
  <si>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</si>
  <si>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</si>
  <si>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</si>
  <si>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</si>
  <si>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</si>
  <si>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Emile</t>
  </si>
  <si>
    <t>Smith Rowe</t>
  </si>
  <si>
    <t>Adama</t>
  </si>
  <si>
    <t>Traoré</t>
  </si>
  <si>
    <t>Andreas</t>
  </si>
  <si>
    <t>Hoelgebaum Pereira</t>
  </si>
  <si>
    <t>Calvin</t>
  </si>
  <si>
    <t>Bassey</t>
  </si>
  <si>
    <t>Tom</t>
  </si>
  <si>
    <t>Cairney</t>
  </si>
  <si>
    <t>Issa</t>
  </si>
  <si>
    <t>Diop</t>
  </si>
  <si>
    <t>Alex</t>
  </si>
  <si>
    <t>Iwobi</t>
  </si>
  <si>
    <t>Bernd</t>
  </si>
  <si>
    <t>Leno</t>
  </si>
  <si>
    <t>Saša</t>
  </si>
  <si>
    <t>Lukić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</si>
  <si>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</si>
  <si>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</si>
  <si>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</si>
  <si>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</si>
  <si>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</si>
  <si>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</si>
  <si>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</si>
  <si>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</si>
  <si>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</si>
  <si>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Harry</t>
  </si>
  <si>
    <t>Wilson</t>
  </si>
  <si>
    <t>Arijanet</t>
  </si>
  <si>
    <t>Muric</t>
  </si>
  <si>
    <t>Dara</t>
  </si>
  <si>
    <t>O'Shea</t>
  </si>
  <si>
    <t>Facundo</t>
  </si>
  <si>
    <t>Buonanotte</t>
  </si>
  <si>
    <t>Ayew</t>
  </si>
  <si>
    <t>J.Ayew</t>
  </si>
  <si>
    <t>Wout</t>
  </si>
  <si>
    <t>Faes</t>
  </si>
  <si>
    <t>Victor</t>
  </si>
  <si>
    <t>Kristiansen</t>
  </si>
  <si>
    <t>Wilfred</t>
  </si>
  <si>
    <t>Ndidi</t>
  </si>
  <si>
    <t>Jamie</t>
  </si>
  <si>
    <t>Vardy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</si>
  <si>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</si>
  <si>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</si>
  <si>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</si>
  <si>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</si>
  <si>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</si>
  <si>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</si>
  <si>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</si>
  <si>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</si>
  <si>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</si>
  <si>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</si>
  <si>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</si>
  <si>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</si>
  <si>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</si>
  <si>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</si>
  <si>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</si>
  <si>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</si>
  <si>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</si>
  <si>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</si>
  <si>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Andrew</t>
  </si>
  <si>
    <t>Robertson</t>
  </si>
  <si>
    <t>Dominik</t>
  </si>
  <si>
    <t>Szoboszlai</t>
  </si>
  <si>
    <t>Virgil</t>
  </si>
  <si>
    <t>van Dijk</t>
  </si>
  <si>
    <t>Manuel</t>
  </si>
  <si>
    <t>Akanji</t>
  </si>
  <si>
    <t>Bernardo</t>
  </si>
  <si>
    <t>Veiga de Carvalho e Silva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</si>
  <si>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</si>
  <si>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</si>
  <si>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</si>
  <si>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</si>
  <si>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</si>
  <si>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</si>
  <si>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</si>
  <si>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</si>
  <si>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Rico</t>
  </si>
  <si>
    <t>Ilkay</t>
  </si>
  <si>
    <t>Gündogan</t>
  </si>
  <si>
    <t>Amad</t>
  </si>
  <si>
    <t>Diallo</t>
  </si>
  <si>
    <t>Bruno</t>
  </si>
  <si>
    <t>Borges Fernandes</t>
  </si>
  <si>
    <t>B.Fernandes</t>
  </si>
  <si>
    <t>Diogo</t>
  </si>
  <si>
    <t>Dalot Teixeira</t>
  </si>
  <si>
    <t>Dalot</t>
  </si>
  <si>
    <t>Alejandro</t>
  </si>
  <si>
    <t>Garnacho</t>
  </si>
  <si>
    <t>Rasmus</t>
  </si>
  <si>
    <t>Højlund</t>
  </si>
  <si>
    <t>Kobbie</t>
  </si>
  <si>
    <t>Mainoo</t>
  </si>
  <si>
    <t>Lisandro</t>
  </si>
  <si>
    <t>Martínez</t>
  </si>
  <si>
    <t>André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</si>
  <si>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</si>
  <si>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</si>
  <si>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</si>
  <si>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</si>
  <si>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</si>
  <si>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</si>
  <si>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</si>
  <si>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</si>
  <si>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</si>
  <si>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</si>
  <si>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</si>
  <si>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</si>
  <si>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</si>
  <si>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</si>
  <si>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</si>
  <si>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</si>
  <si>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</si>
  <si>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</si>
  <si>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</si>
  <si>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</si>
  <si>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Sean</t>
  </si>
  <si>
    <t>Longstaff</t>
  </si>
  <si>
    <t>Nick</t>
  </si>
  <si>
    <t>Pope</t>
  </si>
  <si>
    <t>Fabian</t>
  </si>
  <si>
    <t>Schär</t>
  </si>
  <si>
    <t>Sandro</t>
  </si>
  <si>
    <t>Tonali</t>
  </si>
  <si>
    <t>Joe</t>
  </si>
  <si>
    <t>Willock</t>
  </si>
  <si>
    <t>Ola</t>
  </si>
  <si>
    <t>Aina</t>
  </si>
  <si>
    <t>Elliot</t>
  </si>
  <si>
    <t>Anderson</t>
  </si>
  <si>
    <t>Taiwo</t>
  </si>
  <si>
    <t>Awoniyi</t>
  </si>
  <si>
    <t>Nicolás</t>
  </si>
  <si>
    <t>Domínguez</t>
  </si>
  <si>
    <t>Dominguez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</si>
  <si>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</si>
  <si>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</si>
  <si>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</si>
  <si>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</si>
  <si>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</si>
  <si>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</si>
  <si>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</si>
  <si>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</si>
  <si>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</si>
  <si>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</si>
  <si>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</si>
  <si>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</si>
  <si>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</si>
  <si>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Yates</t>
  </si>
  <si>
    <t>Cameron</t>
  </si>
  <si>
    <t>Archer</t>
  </si>
  <si>
    <t>Armstrong</t>
  </si>
  <si>
    <t>Jan</t>
  </si>
  <si>
    <t>Bednarek</t>
  </si>
  <si>
    <t>Kyle</t>
  </si>
  <si>
    <t>Walker-Peters</t>
  </si>
  <si>
    <t>Flynn</t>
  </si>
  <si>
    <t>Downes</t>
  </si>
  <si>
    <t>Yves</t>
  </si>
  <si>
    <t>Bissouma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</si>
  <si>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</si>
  <si>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</si>
  <si>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</si>
  <si>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</si>
  <si>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</si>
  <si>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</si>
  <si>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</si>
  <si>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</si>
  <si>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</si>
  <si>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</si>
  <si>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</si>
  <si>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Destiny</t>
  </si>
  <si>
    <t>Udogie</t>
  </si>
  <si>
    <t>Timo</t>
  </si>
  <si>
    <t>Werner</t>
  </si>
  <si>
    <t>Aaron</t>
  </si>
  <si>
    <t>Wan-Bissaka</t>
  </si>
  <si>
    <t>Edson</t>
  </si>
  <si>
    <t>Álvarez Velázquez</t>
  </si>
  <si>
    <t>Álvarez</t>
  </si>
  <si>
    <t>Jarrod</t>
  </si>
  <si>
    <t>Bowen</t>
  </si>
  <si>
    <t>Emerson</t>
  </si>
  <si>
    <t>Palmieri dos Santos</t>
  </si>
  <si>
    <t>Max</t>
  </si>
  <si>
    <t>Kilman</t>
  </si>
  <si>
    <t>Mohammed</t>
  </si>
  <si>
    <t>Kudus</t>
  </si>
  <si>
    <t>Tolentino Coelho de Lima</t>
  </si>
  <si>
    <t>L.Paquetá</t>
  </si>
  <si>
    <t>Konstantinos</t>
  </si>
  <si>
    <t>Mavropanos</t>
  </si>
  <si>
    <t>Tomáš</t>
  </si>
  <si>
    <t>Souček</t>
  </si>
  <si>
    <t>Crysencio</t>
  </si>
  <si>
    <t>Summerville</t>
  </si>
  <si>
    <t>Rayan</t>
  </si>
  <si>
    <t>Aït-Nouri</t>
  </si>
  <si>
    <t>Jean-Ricner</t>
  </si>
  <si>
    <t>Bellegarde</t>
  </si>
  <si>
    <t>Matheus</t>
  </si>
  <si>
    <t>Santos Carneiro Da Cunha</t>
  </si>
  <si>
    <t>Cunha</t>
  </si>
  <si>
    <t>Craig</t>
  </si>
  <si>
    <t>Dawson</t>
  </si>
  <si>
    <t>Tommy</t>
  </si>
  <si>
    <t>Doyle</t>
  </si>
  <si>
    <t>Gonçalo Manuel</t>
  </si>
  <si>
    <t>Ganchinho Guedes</t>
  </si>
  <si>
    <t>Guedes</t>
  </si>
  <si>
    <t>Hwang</t>
  </si>
  <si>
    <t>Hee-chan</t>
  </si>
  <si>
    <t>Hee Chan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</si>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</sst>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200" totalsRowShown="0">
  <autoFilter ref="A1:AL200" xr:uid="{00000000-0009-0000-0100-000001000000}">
    <filterColumn colId="37">
      <filters>
        <filter val="1"/>
      </filters>
    </filterColumn>
  </autoFilter>
  <sortState xmlns:xlrd2="http://schemas.microsoft.com/office/spreadsheetml/2017/richdata2" ref="A28:AL192">
    <sortCondition descending="1" ref="AI1:AI200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0"/>
  <sheetViews>
    <sheetView tabSelected="1" workbookViewId="0">
      <selection activeCell="C36" sqref="C36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47</v>
      </c>
      <c r="D2" t="s">
        <v>6</v>
      </c>
      <c r="E2">
        <v>0</v>
      </c>
      <c r="F2">
        <v>0</v>
      </c>
      <c r="G2">
        <v>0</v>
      </c>
      <c r="H2">
        <v>1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6.8</v>
      </c>
      <c r="AE2">
        <v>1</v>
      </c>
      <c r="AF2">
        <v>64.841530054644821</v>
      </c>
      <c r="AG2">
        <v>67.977487781374464</v>
      </c>
      <c r="AH2">
        <f>23.36715523699*1</f>
        <v>23.367155236990001</v>
      </c>
      <c r="AI2">
        <f>1.38693192632328*1</f>
        <v>1.38693192632328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1263.5490966907482</v>
      </c>
      <c r="AP2" t="s">
        <v>1</v>
      </c>
    </row>
    <row r="3" spans="1:43" hidden="1" x14ac:dyDescent="0.2">
      <c r="A3" t="s">
        <v>45</v>
      </c>
      <c r="B3" t="s">
        <v>48</v>
      </c>
      <c r="C3" t="s">
        <v>45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6.4</v>
      </c>
      <c r="AE3">
        <v>2</v>
      </c>
      <c r="AF3">
        <v>67.960998229400218</v>
      </c>
      <c r="AG3">
        <v>67.118594903757113</v>
      </c>
      <c r="AH3">
        <f>50.8215121736571*1</f>
        <v>50.821512173657098</v>
      </c>
      <c r="AI3">
        <f>2.91518709694174*1</f>
        <v>2.9151870969417399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7.8</v>
      </c>
      <c r="AE4">
        <v>3</v>
      </c>
      <c r="AF4">
        <v>64.516086815120019</v>
      </c>
      <c r="AG4">
        <v>54.113404981459198</v>
      </c>
      <c r="AH4">
        <f>45.7842234113322*1</f>
        <v>45.784223411332199</v>
      </c>
      <c r="AI4">
        <f>2.80815929052844*1</f>
        <v>2.8081592905284398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98.5</v>
      </c>
      <c r="AP4">
        <v>101.4</v>
      </c>
    </row>
    <row r="5" spans="1:43" hidden="1" x14ac:dyDescent="0.2">
      <c r="A5" t="s">
        <v>45</v>
      </c>
      <c r="B5" t="s">
        <v>51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6.8</v>
      </c>
      <c r="AE5">
        <v>8</v>
      </c>
      <c r="AF5">
        <v>73.471264367816076</v>
      </c>
      <c r="AG5">
        <v>87.753980875055049</v>
      </c>
      <c r="AH5">
        <f>34.0885275038828*1</f>
        <v>34.088527503882801</v>
      </c>
      <c r="AI5">
        <f>1.87476610738724*1</f>
        <v>1.8747661073872399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55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5.6</v>
      </c>
      <c r="AE6">
        <v>11</v>
      </c>
      <c r="AF6">
        <v>69.366071428571388</v>
      </c>
      <c r="AG6">
        <v>70.515248519830521</v>
      </c>
      <c r="AH6">
        <f>43.8347552883477*1</f>
        <v>43.834755288347701</v>
      </c>
      <c r="AI6">
        <f>2.60445858610235*1</f>
        <v>2.6044585861023499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56</v>
      </c>
      <c r="B7" t="s">
        <v>57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59.963254307024961</v>
      </c>
      <c r="AG7">
        <v>50.178418714643819</v>
      </c>
      <c r="AH7">
        <f>29.9883008540174*1</f>
        <v>29.9883008540174</v>
      </c>
      <c r="AI7">
        <f>1.76626681776607*1</f>
        <v>1.7662668177660701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10.199999999999999</v>
      </c>
      <c r="AE8">
        <v>13</v>
      </c>
      <c r="AF8">
        <v>109.12237220426979</v>
      </c>
      <c r="AG8">
        <v>84.289774546915396</v>
      </c>
      <c r="AH8">
        <f>98.0608721212153*0.647058823529411</f>
        <v>63.451152549021593</v>
      </c>
      <c r="AI8">
        <f>5.65870032387543*0.647058823529411</f>
        <v>3.661511974272333</v>
      </c>
      <c r="AJ8">
        <v>0.6470588235294118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70.695121951219491</v>
      </c>
      <c r="AG9">
        <v>68.801387113691945</v>
      </c>
      <c r="AH9">
        <f>48.8959978937436*1</f>
        <v>48.895997893743598</v>
      </c>
      <c r="AI9">
        <f>2.90711687086187*1</f>
        <v>2.90711687086187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62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41.572727272727242</v>
      </c>
      <c r="AG10">
        <v>34.368359177386033</v>
      </c>
      <c r="AH10">
        <f>34.9643618869099*1</f>
        <v>34.964361886909899</v>
      </c>
      <c r="AI10">
        <f>2.02360386842082*1</f>
        <v>2.0236038684208202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65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65.440860215053704</v>
      </c>
      <c r="AG11">
        <v>66.184211159364096</v>
      </c>
      <c r="AH11">
        <f>35.7294243575804*1</f>
        <v>35.729424357580399</v>
      </c>
      <c r="AI11">
        <f>1.98825650248957*1</f>
        <v>1.98825650248957</v>
      </c>
      <c r="AJ11">
        <v>1</v>
      </c>
      <c r="AK11">
        <v>0</v>
      </c>
      <c r="AL11">
        <v>0</v>
      </c>
    </row>
    <row r="12" spans="1:43" hidden="1" x14ac:dyDescent="0.2">
      <c r="A12" t="s">
        <v>66</v>
      </c>
      <c r="B12" t="s">
        <v>67</v>
      </c>
      <c r="C12" t="s">
        <v>67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6.2</v>
      </c>
      <c r="AE12">
        <v>33</v>
      </c>
      <c r="AF12">
        <v>53.833333333333321</v>
      </c>
      <c r="AG12">
        <v>60.514587849187983</v>
      </c>
      <c r="AH12">
        <f>27.2708829374366*1</f>
        <v>27.2708829374366</v>
      </c>
      <c r="AI12">
        <f>1.64263201413341*1</f>
        <v>1.6426320141334101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34</v>
      </c>
      <c r="AF13">
        <v>49.62903225806452</v>
      </c>
      <c r="AG13">
        <v>53.136735929495217</v>
      </c>
      <c r="AH13">
        <f>30.2217679698117*1</f>
        <v>30.221767969811701</v>
      </c>
      <c r="AI13">
        <f>1.80387291270805*1</f>
        <v>1.8038729127080499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70</v>
      </c>
      <c r="B14" t="s">
        <v>71</v>
      </c>
      <c r="C14" t="s">
        <v>71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41</v>
      </c>
      <c r="AF14">
        <v>41.795717390700567</v>
      </c>
      <c r="AG14">
        <v>52.3994197687487</v>
      </c>
      <c r="AH14">
        <f>25.2184529243235*1</f>
        <v>25.2184529243235</v>
      </c>
      <c r="AI14">
        <f>1.43581156180219*1</f>
        <v>1.4358115618021901</v>
      </c>
      <c r="AJ14">
        <v>1</v>
      </c>
      <c r="AK14">
        <v>0</v>
      </c>
      <c r="AL14">
        <v>0</v>
      </c>
    </row>
    <row r="15" spans="1:43" hidden="1" x14ac:dyDescent="0.2">
      <c r="A15" t="s">
        <v>72</v>
      </c>
      <c r="B15" t="s">
        <v>73</v>
      </c>
      <c r="C15" t="s">
        <v>74</v>
      </c>
      <c r="D15" t="s">
        <v>6</v>
      </c>
      <c r="E15">
        <v>0</v>
      </c>
      <c r="F15">
        <v>0</v>
      </c>
      <c r="G15">
        <v>0</v>
      </c>
      <c r="H15">
        <v>1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5.8</v>
      </c>
      <c r="AE15">
        <v>43</v>
      </c>
      <c r="AF15">
        <v>35.924528301886802</v>
      </c>
      <c r="AG15">
        <v>43.586179397781123</v>
      </c>
      <c r="AH15">
        <f>55.8803316843413*1</f>
        <v>55.8803316843413</v>
      </c>
      <c r="AI15">
        <f>3.31727476055631*1</f>
        <v>3.3172747605563102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75</v>
      </c>
      <c r="B16" t="s">
        <v>76</v>
      </c>
      <c r="C16" t="s">
        <v>77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4.4000000000000004</v>
      </c>
      <c r="AE16">
        <v>49</v>
      </c>
      <c r="AF16">
        <v>46.943181818181849</v>
      </c>
      <c r="AG16">
        <v>48.130640460363168</v>
      </c>
      <c r="AH16">
        <f>25.5889462826448*1</f>
        <v>25.588946282644802</v>
      </c>
      <c r="AI16">
        <f>1.53249676046321*1</f>
        <v>1.53249676046321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79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4.5</v>
      </c>
      <c r="AE17">
        <v>50</v>
      </c>
      <c r="AF17">
        <v>0</v>
      </c>
      <c r="AG17">
        <v>0</v>
      </c>
      <c r="AH17">
        <f>0*1</f>
        <v>0</v>
      </c>
      <c r="AI17">
        <f>0*1</f>
        <v>0</v>
      </c>
      <c r="AJ17">
        <v>1</v>
      </c>
      <c r="AK17">
        <v>0</v>
      </c>
      <c r="AL17">
        <v>0</v>
      </c>
      <c r="AN17" t="s">
        <v>11</v>
      </c>
      <c r="AO17">
        <f>AO2-AO15*17</f>
        <v>1263.5490966907482</v>
      </c>
    </row>
    <row r="18" spans="1:42" hidden="1" x14ac:dyDescent="0.2">
      <c r="A18" t="s">
        <v>80</v>
      </c>
      <c r="B18" t="s">
        <v>81</v>
      </c>
      <c r="C18" t="s">
        <v>82</v>
      </c>
      <c r="D18" t="s">
        <v>3</v>
      </c>
      <c r="E18">
        <v>1</v>
      </c>
      <c r="F18">
        <v>0</v>
      </c>
      <c r="G18">
        <v>0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52</v>
      </c>
      <c r="AF18">
        <v>56.288888888888877</v>
      </c>
      <c r="AG18">
        <v>69.220378025984559</v>
      </c>
      <c r="AH18">
        <f>32.0927564490049*1</f>
        <v>32.092756449004902</v>
      </c>
      <c r="AI18">
        <f>1.96179507330058*1</f>
        <v>1.96179507330058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84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5.2</v>
      </c>
      <c r="AE19">
        <v>53</v>
      </c>
      <c r="AF19">
        <v>50.338888888888839</v>
      </c>
      <c r="AG19">
        <v>53.105810846858638</v>
      </c>
      <c r="AH19">
        <f>25.4602686380619*1</f>
        <v>25.460268638061901</v>
      </c>
      <c r="AI19">
        <f>1.5441352996977*1</f>
        <v>1.5441352996977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 hidden="1" x14ac:dyDescent="0.2">
      <c r="A20" t="s">
        <v>85</v>
      </c>
      <c r="B20" t="s">
        <v>86</v>
      </c>
      <c r="C20" t="s">
        <v>85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4.2</v>
      </c>
      <c r="AE20">
        <v>57</v>
      </c>
      <c r="AF20">
        <v>42.319148936170201</v>
      </c>
      <c r="AG20">
        <v>42.963072461767027</v>
      </c>
      <c r="AH20">
        <f>14.6342492162809*1</f>
        <v>14.634249216280899</v>
      </c>
      <c r="AI20">
        <f>0.971711503650697*1</f>
        <v>0.97171150365069703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87</v>
      </c>
      <c r="B21" t="s">
        <v>88</v>
      </c>
      <c r="C21" t="s">
        <v>88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59</v>
      </c>
      <c r="AF21">
        <v>0</v>
      </c>
      <c r="AG21">
        <v>0</v>
      </c>
      <c r="AH21">
        <f>0*1</f>
        <v>0</v>
      </c>
      <c r="AI21">
        <f>0*1</f>
        <v>0</v>
      </c>
      <c r="AJ21">
        <v>1</v>
      </c>
      <c r="AK21">
        <v>0</v>
      </c>
      <c r="AL21">
        <v>0</v>
      </c>
      <c r="AN21" t="s">
        <v>14</v>
      </c>
      <c r="AO21">
        <f>SUMPRODUCT(Table1[Selected],Table1[BOU])</f>
        <v>1</v>
      </c>
      <c r="AP21">
        <v>3</v>
      </c>
    </row>
    <row r="22" spans="1:42" hidden="1" x14ac:dyDescent="0.2">
      <c r="A22" t="s">
        <v>89</v>
      </c>
      <c r="B22" t="s">
        <v>90</v>
      </c>
      <c r="C22" t="s">
        <v>90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62</v>
      </c>
      <c r="AF22">
        <v>43.85236874721064</v>
      </c>
      <c r="AG22">
        <v>57.313131917981003</v>
      </c>
      <c r="AH22">
        <f>24.1650929098524*1</f>
        <v>24.165092909852401</v>
      </c>
      <c r="AI22">
        <f>1.32132067464141*1</f>
        <v>1.3213206746414099</v>
      </c>
      <c r="AJ22">
        <v>1</v>
      </c>
      <c r="AK22">
        <v>0</v>
      </c>
      <c r="AL22">
        <v>0</v>
      </c>
      <c r="AN22" t="s">
        <v>15</v>
      </c>
      <c r="AO22">
        <f>SUMPRODUCT(Table1[Selected],Table1[BRE])</f>
        <v>3</v>
      </c>
      <c r="AP22">
        <v>3</v>
      </c>
    </row>
    <row r="23" spans="1:42" hidden="1" x14ac:dyDescent="0.2">
      <c r="A23" t="s">
        <v>91</v>
      </c>
      <c r="B23" t="s">
        <v>92</v>
      </c>
      <c r="C23" t="s">
        <v>92</v>
      </c>
      <c r="D23" t="s">
        <v>6</v>
      </c>
      <c r="E23">
        <v>0</v>
      </c>
      <c r="F23">
        <v>0</v>
      </c>
      <c r="G23">
        <v>0</v>
      </c>
      <c r="H23">
        <v>1</v>
      </c>
      <c r="I23" t="s">
        <v>13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8.9</v>
      </c>
      <c r="AE23">
        <v>63</v>
      </c>
      <c r="AF23">
        <v>81.409937888198726</v>
      </c>
      <c r="AG23">
        <v>82.615501185642387</v>
      </c>
      <c r="AH23">
        <f>57.1254291765259*1</f>
        <v>57.125429176525898</v>
      </c>
      <c r="AI23">
        <f>3.34814893230887*1</f>
        <v>3.3481489323088698</v>
      </c>
      <c r="AJ23">
        <v>1</v>
      </c>
      <c r="AK23">
        <v>0</v>
      </c>
      <c r="AL23">
        <v>0</v>
      </c>
      <c r="AN23" t="s">
        <v>16</v>
      </c>
      <c r="AO23">
        <f>SUMPRODUCT(Table1[Selected],Table1[BHA])</f>
        <v>0</v>
      </c>
      <c r="AP23">
        <v>3</v>
      </c>
    </row>
    <row r="24" spans="1:42" hidden="1" x14ac:dyDescent="0.2">
      <c r="A24" t="s">
        <v>93</v>
      </c>
      <c r="B24" t="s">
        <v>94</v>
      </c>
      <c r="C24" t="s">
        <v>94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4.9000000000000004</v>
      </c>
      <c r="AE24">
        <v>64</v>
      </c>
      <c r="AF24">
        <v>39.972377484255283</v>
      </c>
      <c r="AG24">
        <v>37.352398315868193</v>
      </c>
      <c r="AH24">
        <f>22.8818161085121*1</f>
        <v>22.881816108512101</v>
      </c>
      <c r="AI24">
        <f>1.42680231742998*1</f>
        <v>1.42680231742998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0</v>
      </c>
      <c r="AP24">
        <v>3</v>
      </c>
    </row>
    <row r="25" spans="1:42" hidden="1" x14ac:dyDescent="0.2">
      <c r="A25" t="s">
        <v>95</v>
      </c>
      <c r="B25" t="s">
        <v>96</v>
      </c>
      <c r="C25" t="s">
        <v>96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4.9000000000000004</v>
      </c>
      <c r="AE25">
        <v>76</v>
      </c>
      <c r="AF25">
        <v>37.953488372093048</v>
      </c>
      <c r="AG25">
        <v>31.474891659618599</v>
      </c>
      <c r="AH25">
        <f>32.6176210642492*1</f>
        <v>32.617621064249199</v>
      </c>
      <c r="AI25">
        <f>1.95101083193422*1</f>
        <v>1.9510108319342201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97</v>
      </c>
      <c r="B26" t="s">
        <v>98</v>
      </c>
      <c r="C26" t="s">
        <v>98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77</v>
      </c>
      <c r="AF26">
        <v>40.102578176825368</v>
      </c>
      <c r="AG26">
        <v>29.04043231447524</v>
      </c>
      <c r="AH26">
        <f>40.7067181289495*1</f>
        <v>40.706718128949497</v>
      </c>
      <c r="AI26">
        <f>2.36578229110639*1</f>
        <v>2.3657822911063899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2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101</v>
      </c>
      <c r="D27" t="s">
        <v>6</v>
      </c>
      <c r="E27">
        <v>0</v>
      </c>
      <c r="F27">
        <v>0</v>
      </c>
      <c r="G27">
        <v>0</v>
      </c>
      <c r="H27">
        <v>1</v>
      </c>
      <c r="I27" t="s">
        <v>14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5.4</v>
      </c>
      <c r="AE27">
        <v>78</v>
      </c>
      <c r="AF27">
        <v>0</v>
      </c>
      <c r="AG27">
        <v>0</v>
      </c>
      <c r="AH27">
        <f>0*1</f>
        <v>0</v>
      </c>
      <c r="AI27">
        <f>0*1</f>
        <v>0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x14ac:dyDescent="0.2">
      <c r="A28" t="s">
        <v>377</v>
      </c>
      <c r="B28" t="s">
        <v>378</v>
      </c>
      <c r="C28" t="s">
        <v>377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27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4.5999999999999996</v>
      </c>
      <c r="AE28">
        <v>551</v>
      </c>
      <c r="AF28">
        <v>71.443602550311098</v>
      </c>
      <c r="AG28">
        <v>36.475647554883821</v>
      </c>
      <c r="AH28">
        <f>144.504575830569*1</f>
        <v>144.504575830569</v>
      </c>
      <c r="AI28">
        <f>8.41478839132092*1</f>
        <v>8.4147883913209203</v>
      </c>
      <c r="AJ28">
        <v>1</v>
      </c>
      <c r="AK28">
        <v>1</v>
      </c>
      <c r="AL28">
        <v>1</v>
      </c>
      <c r="AN28" t="s">
        <v>21</v>
      </c>
      <c r="AO28">
        <f>SUMPRODUCT(Table1[Selected],Table1[IPS])</f>
        <v>0</v>
      </c>
      <c r="AP28">
        <v>3</v>
      </c>
    </row>
    <row r="29" spans="1:42" hidden="1" x14ac:dyDescent="0.2">
      <c r="A29" t="s">
        <v>104</v>
      </c>
      <c r="B29" t="s">
        <v>105</v>
      </c>
      <c r="C29" t="s">
        <v>105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14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5.5</v>
      </c>
      <c r="AE29">
        <v>84</v>
      </c>
      <c r="AF29">
        <v>61.333333333333343</v>
      </c>
      <c r="AG29">
        <v>41.266330081234607</v>
      </c>
      <c r="AH29">
        <f>55.7087155657019*1</f>
        <v>55.708715565701901</v>
      </c>
      <c r="AI29">
        <f>3.29327619700876*1</f>
        <v>3.2932761970087601</v>
      </c>
      <c r="AJ29">
        <v>1</v>
      </c>
      <c r="AK29">
        <v>0</v>
      </c>
      <c r="AL29">
        <v>0</v>
      </c>
      <c r="AN29" t="s">
        <v>22</v>
      </c>
      <c r="AO29">
        <f>SUMPRODUCT(Table1[Selected],Table1[LEI])</f>
        <v>0</v>
      </c>
      <c r="AP29">
        <v>3</v>
      </c>
    </row>
    <row r="30" spans="1:42" hidden="1" x14ac:dyDescent="0.2">
      <c r="A30" t="s">
        <v>106</v>
      </c>
      <c r="B30" t="s">
        <v>107</v>
      </c>
      <c r="C30" t="s">
        <v>108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14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86</v>
      </c>
      <c r="AF30">
        <v>49.059864059073469</v>
      </c>
      <c r="AG30">
        <v>28.823973575598661</v>
      </c>
      <c r="AH30">
        <f>55.0244389320458*1</f>
        <v>55.024438932045797</v>
      </c>
      <c r="AI30">
        <f>3.40491832158457*1</f>
        <v>3.40491832158457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109</v>
      </c>
      <c r="B31" t="s">
        <v>110</v>
      </c>
      <c r="C31" t="s">
        <v>110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14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5.6</v>
      </c>
      <c r="AE31">
        <v>90</v>
      </c>
      <c r="AF31">
        <v>72.218057287012499</v>
      </c>
      <c r="AG31">
        <v>42.720534087775761</v>
      </c>
      <c r="AH31">
        <f>42.1310034376437*1</f>
        <v>42.131003437643699</v>
      </c>
      <c r="AI31">
        <f>2.50169618708406*1</f>
        <v>2.5016961870840602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111</v>
      </c>
      <c r="B32" t="s">
        <v>112</v>
      </c>
      <c r="C32" t="s">
        <v>112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14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93</v>
      </c>
      <c r="AF32">
        <v>40.5078125</v>
      </c>
      <c r="AG32">
        <v>33.058132814986713</v>
      </c>
      <c r="AH32">
        <f>27.0477867082269*1</f>
        <v>27.047786708226901</v>
      </c>
      <c r="AI32">
        <f>1.61316512827101*1</f>
        <v>1.61316512827101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0</v>
      </c>
      <c r="AP32">
        <v>3</v>
      </c>
    </row>
    <row r="33" spans="1:42" hidden="1" x14ac:dyDescent="0.2">
      <c r="A33" t="s">
        <v>113</v>
      </c>
      <c r="B33" t="s">
        <v>114</v>
      </c>
      <c r="C33" t="s">
        <v>114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14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5.4</v>
      </c>
      <c r="AE33">
        <v>94</v>
      </c>
      <c r="AF33">
        <v>57.181818181818159</v>
      </c>
      <c r="AG33">
        <v>73.346644530621489</v>
      </c>
      <c r="AH33">
        <f>24.621828088981*1</f>
        <v>24.621828088981001</v>
      </c>
      <c r="AI33">
        <f>1.36856055152721*1</f>
        <v>1.3685605515272099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3</v>
      </c>
      <c r="AP33">
        <v>3</v>
      </c>
    </row>
    <row r="34" spans="1:42" hidden="1" x14ac:dyDescent="0.2">
      <c r="A34" t="s">
        <v>115</v>
      </c>
      <c r="B34" t="s">
        <v>116</v>
      </c>
      <c r="C34" t="s">
        <v>116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4.4000000000000004</v>
      </c>
      <c r="AE34">
        <v>96</v>
      </c>
      <c r="AF34">
        <v>40.688524590163958</v>
      </c>
      <c r="AG34">
        <v>35.310908892842512</v>
      </c>
      <c r="AH34">
        <f>32.6427205676878*1</f>
        <v>32.642720567687803</v>
      </c>
      <c r="AI34">
        <f>2.05558128678555*1</f>
        <v>2.0555812867855501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117</v>
      </c>
      <c r="B35" t="s">
        <v>118</v>
      </c>
      <c r="C35" t="s">
        <v>118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4.5999999999999996</v>
      </c>
      <c r="AE35">
        <v>112</v>
      </c>
      <c r="AF35">
        <v>43.739583333333343</v>
      </c>
      <c r="AG35">
        <v>41.112250821683809</v>
      </c>
      <c r="AH35">
        <f>36.6780063653698*1</f>
        <v>36.678006365369797</v>
      </c>
      <c r="AI35">
        <f>2.10573395467222*1</f>
        <v>2.1057339546722198</v>
      </c>
      <c r="AJ35">
        <v>1</v>
      </c>
      <c r="AK35">
        <v>0</v>
      </c>
      <c r="AL35">
        <v>0</v>
      </c>
      <c r="AN35" t="s">
        <v>28</v>
      </c>
      <c r="AO35">
        <f>SUMPRODUCT(Table1[Selected],Table1[SOU])</f>
        <v>0</v>
      </c>
      <c r="AP35">
        <v>3</v>
      </c>
    </row>
    <row r="36" spans="1:42" x14ac:dyDescent="0.2">
      <c r="A36" t="s">
        <v>344</v>
      </c>
      <c r="B36" t="s">
        <v>345</v>
      </c>
      <c r="C36" t="s">
        <v>345</v>
      </c>
      <c r="D36" t="s">
        <v>6</v>
      </c>
      <c r="E36">
        <v>0</v>
      </c>
      <c r="F36">
        <v>0</v>
      </c>
      <c r="G36">
        <v>0</v>
      </c>
      <c r="H36">
        <v>1</v>
      </c>
      <c r="I36" t="s">
        <v>26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9.4</v>
      </c>
      <c r="AE36">
        <v>513</v>
      </c>
      <c r="AF36">
        <v>135.3684725648537</v>
      </c>
      <c r="AG36">
        <v>84.04691185923248</v>
      </c>
      <c r="AH36">
        <f>132.844010936195*1</f>
        <v>132.84401093619499</v>
      </c>
      <c r="AI36">
        <f>7.47591504526957*1</f>
        <v>7.47591504526957</v>
      </c>
      <c r="AJ36">
        <v>1</v>
      </c>
      <c r="AK36">
        <v>1</v>
      </c>
      <c r="AL36">
        <v>1</v>
      </c>
      <c r="AN36" t="s">
        <v>29</v>
      </c>
      <c r="AO36">
        <f>SUMPRODUCT(Table1[Selected],Table1[TOT])</f>
        <v>1</v>
      </c>
      <c r="AP36">
        <v>3</v>
      </c>
    </row>
    <row r="37" spans="1:42" hidden="1" x14ac:dyDescent="0.2">
      <c r="A37" t="s">
        <v>121</v>
      </c>
      <c r="B37" t="s">
        <v>122</v>
      </c>
      <c r="C37" t="s">
        <v>122</v>
      </c>
      <c r="D37" t="s">
        <v>3</v>
      </c>
      <c r="E37">
        <v>1</v>
      </c>
      <c r="F37">
        <v>0</v>
      </c>
      <c r="G37">
        <v>0</v>
      </c>
      <c r="H37">
        <v>0</v>
      </c>
      <c r="I37" t="s">
        <v>15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4.4000000000000004</v>
      </c>
      <c r="AE37">
        <v>115</v>
      </c>
      <c r="AF37">
        <v>54.280701754385973</v>
      </c>
      <c r="AG37">
        <v>59.759226373498691</v>
      </c>
      <c r="AH37">
        <f>18.8229213795139*1</f>
        <v>18.8229213795139</v>
      </c>
      <c r="AI37">
        <f>1.18076548083933*1</f>
        <v>1.18076548083933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0</v>
      </c>
      <c r="AP37">
        <v>3</v>
      </c>
    </row>
    <row r="38" spans="1:42" hidden="1" x14ac:dyDescent="0.2">
      <c r="A38" t="s">
        <v>123</v>
      </c>
      <c r="B38" t="s">
        <v>124</v>
      </c>
      <c r="C38" t="s">
        <v>124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15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118</v>
      </c>
      <c r="AF38">
        <v>44.625000000000007</v>
      </c>
      <c r="AG38">
        <v>41.414276360653453</v>
      </c>
      <c r="AH38">
        <f>29.6277533109591*1</f>
        <v>29.6277533109591</v>
      </c>
      <c r="AI38">
        <f>1.80839381801756*1</f>
        <v>1.8083938180175601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1</v>
      </c>
      <c r="AP38">
        <v>3</v>
      </c>
    </row>
    <row r="39" spans="1:42" hidden="1" x14ac:dyDescent="0.2">
      <c r="A39" t="s">
        <v>125</v>
      </c>
      <c r="B39" t="s">
        <v>126</v>
      </c>
      <c r="C39" t="s">
        <v>126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15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122</v>
      </c>
      <c r="AF39">
        <v>40.800000000000018</v>
      </c>
      <c r="AG39">
        <v>32.380660426905273</v>
      </c>
      <c r="AH39">
        <f>38.5710541310035*1</f>
        <v>38.5710541310035</v>
      </c>
      <c r="AI39">
        <f>2.33116818195534*1</f>
        <v>2.33116818195534</v>
      </c>
      <c r="AJ39">
        <v>1</v>
      </c>
      <c r="AK39">
        <v>0</v>
      </c>
      <c r="AL39">
        <v>0</v>
      </c>
    </row>
    <row r="40" spans="1:42" x14ac:dyDescent="0.2">
      <c r="A40" t="s">
        <v>291</v>
      </c>
      <c r="B40" t="s">
        <v>292</v>
      </c>
      <c r="C40" t="s">
        <v>293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23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13.7</v>
      </c>
      <c r="AE40">
        <v>419</v>
      </c>
      <c r="AF40">
        <v>129.55849337784329</v>
      </c>
      <c r="AG40">
        <v>130.3810660046781</v>
      </c>
      <c r="AH40">
        <f>109.005398293559*1</f>
        <v>109.005398293559</v>
      </c>
      <c r="AI40">
        <f>6.76245809711443*1</f>
        <v>6.7624580971144299</v>
      </c>
      <c r="AJ40">
        <v>1</v>
      </c>
      <c r="AK40">
        <v>1</v>
      </c>
      <c r="AL40">
        <v>1</v>
      </c>
    </row>
    <row r="41" spans="1:42" hidden="1" x14ac:dyDescent="0.2">
      <c r="A41" t="s">
        <v>129</v>
      </c>
      <c r="B41" t="s">
        <v>130</v>
      </c>
      <c r="C41" t="s">
        <v>130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4.8</v>
      </c>
      <c r="AE41">
        <v>125</v>
      </c>
      <c r="AF41">
        <v>47.970297029702991</v>
      </c>
      <c r="AG41">
        <v>51.715762817894351</v>
      </c>
      <c r="AH41">
        <f>29.7397710033394*1</f>
        <v>29.739771003339399</v>
      </c>
      <c r="AI41">
        <f>1.75874598419897*1</f>
        <v>1.7587459841989701</v>
      </c>
      <c r="AJ41">
        <v>1</v>
      </c>
      <c r="AK41">
        <v>0</v>
      </c>
      <c r="AL41">
        <v>0</v>
      </c>
    </row>
    <row r="42" spans="1:42" hidden="1" x14ac:dyDescent="0.2">
      <c r="A42" t="s">
        <v>131</v>
      </c>
      <c r="B42" t="s">
        <v>132</v>
      </c>
      <c r="C42" t="s">
        <v>132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4.4000000000000004</v>
      </c>
      <c r="AE42">
        <v>128</v>
      </c>
      <c r="AF42">
        <v>49.514563106796118</v>
      </c>
      <c r="AG42">
        <v>61.014371788113131</v>
      </c>
      <c r="AH42">
        <f>26.7150382822598*1</f>
        <v>26.715038282259801</v>
      </c>
      <c r="AI42">
        <f>1.6965647500312*1</f>
        <v>1.6965647500312</v>
      </c>
      <c r="AJ42">
        <v>1</v>
      </c>
      <c r="AK42">
        <v>0</v>
      </c>
      <c r="AL42">
        <v>0</v>
      </c>
    </row>
    <row r="43" spans="1:42" hidden="1" x14ac:dyDescent="0.2">
      <c r="A43" t="s">
        <v>133</v>
      </c>
      <c r="B43" t="s">
        <v>134</v>
      </c>
      <c r="C43" t="s">
        <v>135</v>
      </c>
      <c r="D43" t="s">
        <v>4</v>
      </c>
      <c r="E43">
        <v>0</v>
      </c>
      <c r="F43">
        <v>1</v>
      </c>
      <c r="G43">
        <v>0</v>
      </c>
      <c r="H43">
        <v>0</v>
      </c>
      <c r="I43" t="s">
        <v>15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4.3</v>
      </c>
      <c r="AE43">
        <v>129</v>
      </c>
      <c r="AF43">
        <v>36.240314974586333</v>
      </c>
      <c r="AG43">
        <v>39.431758934548938</v>
      </c>
      <c r="AH43">
        <f>23.9088287774901*1</f>
        <v>23.9088287774901</v>
      </c>
      <c r="AI43">
        <f>1.43703964203503*1</f>
        <v>1.43703964203503</v>
      </c>
      <c r="AJ43">
        <v>1</v>
      </c>
      <c r="AK43">
        <v>0</v>
      </c>
      <c r="AL43">
        <v>0</v>
      </c>
    </row>
    <row r="44" spans="1:42" hidden="1" x14ac:dyDescent="0.2">
      <c r="A44" t="s">
        <v>136</v>
      </c>
      <c r="B44" t="s">
        <v>137</v>
      </c>
      <c r="C44" t="s">
        <v>137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5.0999999999999996</v>
      </c>
      <c r="AE44">
        <v>130</v>
      </c>
      <c r="AF44">
        <v>45.795918367346928</v>
      </c>
      <c r="AG44">
        <v>27.757646766961319</v>
      </c>
      <c r="AH44">
        <f>30.5922876710215*1</f>
        <v>30.592287671021499</v>
      </c>
      <c r="AI44">
        <f>1.81669216465734*1</f>
        <v>1.81669216465734</v>
      </c>
      <c r="AJ44">
        <v>1</v>
      </c>
      <c r="AK44">
        <v>0</v>
      </c>
      <c r="AL44">
        <v>0</v>
      </c>
    </row>
    <row r="45" spans="1:42" x14ac:dyDescent="0.2">
      <c r="A45" t="s">
        <v>127</v>
      </c>
      <c r="B45" t="s">
        <v>128</v>
      </c>
      <c r="C45" t="s">
        <v>128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7.8</v>
      </c>
      <c r="AE45">
        <v>123</v>
      </c>
      <c r="AF45">
        <v>100.823332745324</v>
      </c>
      <c r="AG45">
        <v>61.566413627817163</v>
      </c>
      <c r="AH45">
        <f>108.385228241186*1</f>
        <v>108.385228241186</v>
      </c>
      <c r="AI45">
        <f>6.31990913387411*1</f>
        <v>6.31990913387411</v>
      </c>
      <c r="AJ45">
        <v>1</v>
      </c>
      <c r="AK45">
        <v>1</v>
      </c>
      <c r="AL45">
        <v>1</v>
      </c>
    </row>
    <row r="46" spans="1:42" hidden="1" x14ac:dyDescent="0.2">
      <c r="A46" t="s">
        <v>140</v>
      </c>
      <c r="B46" t="s">
        <v>141</v>
      </c>
      <c r="C46" t="s">
        <v>142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15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4.5999999999999996</v>
      </c>
      <c r="AE46">
        <v>137</v>
      </c>
      <c r="AF46">
        <v>0</v>
      </c>
      <c r="AG46">
        <v>0</v>
      </c>
      <c r="AH46">
        <f>0*1</f>
        <v>0</v>
      </c>
      <c r="AI46">
        <f>0*1</f>
        <v>0</v>
      </c>
      <c r="AJ46">
        <v>1</v>
      </c>
      <c r="AK46">
        <v>0</v>
      </c>
      <c r="AL46">
        <v>0</v>
      </c>
    </row>
    <row r="47" spans="1:42" hidden="1" x14ac:dyDescent="0.2">
      <c r="A47" t="s">
        <v>143</v>
      </c>
      <c r="B47" t="s">
        <v>144</v>
      </c>
      <c r="C47" t="s">
        <v>144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16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5.2</v>
      </c>
      <c r="AE47">
        <v>145</v>
      </c>
      <c r="AF47">
        <v>48.733333333333327</v>
      </c>
      <c r="AG47">
        <v>46.570307383612352</v>
      </c>
      <c r="AH47">
        <f>17.3298591717331*1</f>
        <v>17.329859171733101</v>
      </c>
      <c r="AI47">
        <f>1.0126868290317*1</f>
        <v>1.0126868290316999</v>
      </c>
      <c r="AJ47">
        <v>1</v>
      </c>
      <c r="AK47">
        <v>0</v>
      </c>
      <c r="AL47">
        <v>0</v>
      </c>
    </row>
    <row r="48" spans="1:42" hidden="1" x14ac:dyDescent="0.2">
      <c r="A48" t="s">
        <v>145</v>
      </c>
      <c r="B48" t="s">
        <v>146</v>
      </c>
      <c r="C48" t="s">
        <v>146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16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</v>
      </c>
      <c r="AE48">
        <v>147</v>
      </c>
      <c r="AF48">
        <v>31.295454545454529</v>
      </c>
      <c r="AG48">
        <v>22.43437581995304</v>
      </c>
      <c r="AH48">
        <f>29.1169418040895*1</f>
        <v>29.1169418040895</v>
      </c>
      <c r="AI48">
        <f>1.7449514778663*1</f>
        <v>1.7449514778663</v>
      </c>
      <c r="AJ48">
        <v>1</v>
      </c>
      <c r="AK48">
        <v>0</v>
      </c>
      <c r="AL48">
        <v>0</v>
      </c>
    </row>
    <row r="49" spans="1:38" hidden="1" x14ac:dyDescent="0.2">
      <c r="A49" t="s">
        <v>97</v>
      </c>
      <c r="B49" t="s">
        <v>147</v>
      </c>
      <c r="C49" t="s">
        <v>147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4.3</v>
      </c>
      <c r="AE49">
        <v>151</v>
      </c>
      <c r="AF49">
        <v>52.634615384615358</v>
      </c>
      <c r="AG49">
        <v>53.92450977572485</v>
      </c>
      <c r="AH49">
        <f>24.5377692414314*1</f>
        <v>24.537769241431398</v>
      </c>
      <c r="AI49">
        <f>1.42445380683145*1</f>
        <v>1.4244538068314501</v>
      </c>
      <c r="AJ49">
        <v>1</v>
      </c>
      <c r="AK49">
        <v>0</v>
      </c>
      <c r="AL49">
        <v>0</v>
      </c>
    </row>
    <row r="50" spans="1:38" hidden="1" x14ac:dyDescent="0.2">
      <c r="A50" t="s">
        <v>148</v>
      </c>
      <c r="B50" t="s">
        <v>149</v>
      </c>
      <c r="C50" t="s">
        <v>150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153</v>
      </c>
      <c r="AF50">
        <v>51.67212110383025</v>
      </c>
      <c r="AG50">
        <v>58.180436422152262</v>
      </c>
      <c r="AH50">
        <f>16.0618278525604*1</f>
        <v>16.061827852560398</v>
      </c>
      <c r="AI50">
        <f>1.01575610204033*1</f>
        <v>1.0157561020403301</v>
      </c>
      <c r="AJ50">
        <v>1</v>
      </c>
      <c r="AK50">
        <v>0</v>
      </c>
      <c r="AL50">
        <v>0</v>
      </c>
    </row>
    <row r="51" spans="1:38" hidden="1" x14ac:dyDescent="0.2">
      <c r="A51" t="s">
        <v>151</v>
      </c>
      <c r="B51" t="s">
        <v>152</v>
      </c>
      <c r="C51" t="s">
        <v>151</v>
      </c>
      <c r="D51" t="s">
        <v>6</v>
      </c>
      <c r="E51">
        <v>0</v>
      </c>
      <c r="F51">
        <v>0</v>
      </c>
      <c r="G51">
        <v>0</v>
      </c>
      <c r="H51">
        <v>1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5.7</v>
      </c>
      <c r="AE51">
        <v>160</v>
      </c>
      <c r="AF51">
        <v>75.997061770024374</v>
      </c>
      <c r="AG51">
        <v>48.594836029088022</v>
      </c>
      <c r="AH51">
        <f>76.8779437777055*1</f>
        <v>76.877943777705497</v>
      </c>
      <c r="AI51">
        <f>3.70380970609865*1</f>
        <v>3.7038097060986499</v>
      </c>
      <c r="AJ51">
        <v>1</v>
      </c>
      <c r="AK51">
        <v>0</v>
      </c>
      <c r="AL51">
        <v>0</v>
      </c>
    </row>
    <row r="52" spans="1:38" hidden="1" x14ac:dyDescent="0.2">
      <c r="A52" t="s">
        <v>153</v>
      </c>
      <c r="B52" t="s">
        <v>154</v>
      </c>
      <c r="C52" t="s">
        <v>155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</v>
      </c>
      <c r="AE52">
        <v>175</v>
      </c>
      <c r="AF52">
        <v>36.518518518518519</v>
      </c>
      <c r="AG52">
        <v>31.959506907090471</v>
      </c>
      <c r="AH52">
        <f>27.1043794744113*1</f>
        <v>27.104379474411299</v>
      </c>
      <c r="AI52">
        <f>1.58163277611337*1</f>
        <v>1.5816327761133699</v>
      </c>
      <c r="AJ52">
        <v>1</v>
      </c>
      <c r="AK52">
        <v>0</v>
      </c>
      <c r="AL52">
        <v>0</v>
      </c>
    </row>
    <row r="53" spans="1:38" hidden="1" x14ac:dyDescent="0.2">
      <c r="A53" t="s">
        <v>156</v>
      </c>
      <c r="B53" t="s">
        <v>157</v>
      </c>
      <c r="C53" t="s">
        <v>157</v>
      </c>
      <c r="D53" t="s">
        <v>4</v>
      </c>
      <c r="E53">
        <v>0</v>
      </c>
      <c r="F53">
        <v>1</v>
      </c>
      <c r="G53">
        <v>0</v>
      </c>
      <c r="H53">
        <v>0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4.4000000000000004</v>
      </c>
      <c r="AE53">
        <v>176</v>
      </c>
      <c r="AF53">
        <v>48.476562499999993</v>
      </c>
      <c r="AG53">
        <v>43.999816108024497</v>
      </c>
      <c r="AH53">
        <f>27.2878181601424*1</f>
        <v>27.2878181601424</v>
      </c>
      <c r="AI53">
        <f>1.53187242595002*1</f>
        <v>1.53187242595002</v>
      </c>
      <c r="AJ53">
        <v>1</v>
      </c>
      <c r="AK53">
        <v>0</v>
      </c>
      <c r="AL53">
        <v>0</v>
      </c>
    </row>
    <row r="54" spans="1:38" hidden="1" x14ac:dyDescent="0.2">
      <c r="A54" t="s">
        <v>158</v>
      </c>
      <c r="B54" t="s">
        <v>159</v>
      </c>
      <c r="C54" t="s">
        <v>159</v>
      </c>
      <c r="D54" t="s">
        <v>3</v>
      </c>
      <c r="E54">
        <v>1</v>
      </c>
      <c r="F54">
        <v>0</v>
      </c>
      <c r="G54">
        <v>0</v>
      </c>
      <c r="H54">
        <v>0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4.5</v>
      </c>
      <c r="AE54">
        <v>177</v>
      </c>
      <c r="AF54">
        <v>0</v>
      </c>
      <c r="AG54">
        <v>0</v>
      </c>
      <c r="AH54">
        <f>0*1</f>
        <v>0</v>
      </c>
      <c r="AI54">
        <f>0*1</f>
        <v>0</v>
      </c>
      <c r="AJ54">
        <v>1</v>
      </c>
      <c r="AK54">
        <v>0</v>
      </c>
      <c r="AL54">
        <v>0</v>
      </c>
    </row>
    <row r="55" spans="1:38" hidden="1" x14ac:dyDescent="0.2">
      <c r="A55" t="s">
        <v>160</v>
      </c>
      <c r="B55" t="s">
        <v>161</v>
      </c>
      <c r="C55" t="s">
        <v>161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16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5.5</v>
      </c>
      <c r="AE55">
        <v>179</v>
      </c>
      <c r="AF55">
        <v>53.360151223572522</v>
      </c>
      <c r="AG55">
        <v>44.404416038244399</v>
      </c>
      <c r="AH55">
        <f>42.703659444742*1</f>
        <v>42.703659444742001</v>
      </c>
      <c r="AI55">
        <f>2.25171757203308*1</f>
        <v>2.2517175720330802</v>
      </c>
      <c r="AJ55">
        <v>1</v>
      </c>
      <c r="AK55">
        <v>0</v>
      </c>
      <c r="AL55">
        <v>0</v>
      </c>
    </row>
    <row r="56" spans="1:38" hidden="1" x14ac:dyDescent="0.2">
      <c r="A56" t="s">
        <v>162</v>
      </c>
      <c r="B56" t="s">
        <v>163</v>
      </c>
      <c r="C56" t="s">
        <v>162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5.0999999999999996</v>
      </c>
      <c r="AE56">
        <v>185</v>
      </c>
      <c r="AF56">
        <v>0</v>
      </c>
      <c r="AG56">
        <v>0</v>
      </c>
      <c r="AH56">
        <f>0*1</f>
        <v>0</v>
      </c>
      <c r="AI56">
        <f>0*1</f>
        <v>0</v>
      </c>
      <c r="AJ56">
        <v>1</v>
      </c>
      <c r="AK56">
        <v>0</v>
      </c>
      <c r="AL56">
        <v>0</v>
      </c>
    </row>
    <row r="57" spans="1:38" hidden="1" x14ac:dyDescent="0.2">
      <c r="A57" t="s">
        <v>164</v>
      </c>
      <c r="B57" t="s">
        <v>165</v>
      </c>
      <c r="C57" t="s">
        <v>166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4.9000000000000004</v>
      </c>
      <c r="AE57">
        <v>198</v>
      </c>
      <c r="AF57">
        <v>40.212230669677162</v>
      </c>
      <c r="AG57">
        <v>27.758947136272472</v>
      </c>
      <c r="AH57">
        <f>35.2808634417657*1</f>
        <v>35.280863441765703</v>
      </c>
      <c r="AI57">
        <f>2.02901351801748*1</f>
        <v>2.02901351801748</v>
      </c>
      <c r="AJ57">
        <v>1</v>
      </c>
      <c r="AK57">
        <v>0</v>
      </c>
      <c r="AL57">
        <v>0</v>
      </c>
    </row>
    <row r="58" spans="1:38" hidden="1" x14ac:dyDescent="0.2">
      <c r="A58" t="s">
        <v>167</v>
      </c>
      <c r="B58" t="s">
        <v>168</v>
      </c>
      <c r="C58" t="s">
        <v>168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4.5999999999999996</v>
      </c>
      <c r="AE58">
        <v>203</v>
      </c>
      <c r="AF58">
        <v>43.796610169491522</v>
      </c>
      <c r="AG58">
        <v>51.402927640744423</v>
      </c>
      <c r="AH58">
        <f>24.1751438721103*1</f>
        <v>24.175143872110301</v>
      </c>
      <c r="AI58">
        <f>1.26736916898391*1</f>
        <v>1.2673691689839099</v>
      </c>
      <c r="AJ58">
        <v>1</v>
      </c>
      <c r="AK58">
        <v>0</v>
      </c>
      <c r="AL58">
        <v>0</v>
      </c>
    </row>
    <row r="59" spans="1:38" hidden="1" x14ac:dyDescent="0.2">
      <c r="A59" t="s">
        <v>169</v>
      </c>
      <c r="B59" t="s">
        <v>170</v>
      </c>
      <c r="C59" t="s">
        <v>171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5.2</v>
      </c>
      <c r="AE59">
        <v>204</v>
      </c>
      <c r="AF59">
        <v>43.349999999999987</v>
      </c>
      <c r="AG59">
        <v>40.04952729872214</v>
      </c>
      <c r="AH59">
        <f>27.5641218517993*1</f>
        <v>27.5641218517993</v>
      </c>
      <c r="AI59">
        <f>1.51712823308837*1</f>
        <v>1.51712823308837</v>
      </c>
      <c r="AJ59">
        <v>1</v>
      </c>
      <c r="AK59">
        <v>0</v>
      </c>
      <c r="AL59">
        <v>0</v>
      </c>
    </row>
    <row r="60" spans="1:38" hidden="1" x14ac:dyDescent="0.2">
      <c r="A60" t="s">
        <v>172</v>
      </c>
      <c r="B60" t="s">
        <v>173</v>
      </c>
      <c r="C60" t="s">
        <v>172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</v>
      </c>
      <c r="AE60">
        <v>209</v>
      </c>
      <c r="AF60">
        <v>48.725195112469962</v>
      </c>
      <c r="AG60">
        <v>35.986835578291952</v>
      </c>
      <c r="AH60">
        <f>45.1389919831692*1</f>
        <v>45.138991983169198</v>
      </c>
      <c r="AI60">
        <f>2.43572075174465*1</f>
        <v>2.43572075174465</v>
      </c>
      <c r="AJ60">
        <v>1</v>
      </c>
      <c r="AK60">
        <v>0</v>
      </c>
      <c r="AL60">
        <v>0</v>
      </c>
    </row>
    <row r="61" spans="1:38" hidden="1" x14ac:dyDescent="0.2">
      <c r="A61" t="s">
        <v>174</v>
      </c>
      <c r="B61" t="s">
        <v>175</v>
      </c>
      <c r="C61" t="s">
        <v>175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212</v>
      </c>
      <c r="AF61">
        <v>40.530122749952348</v>
      </c>
      <c r="AG61">
        <v>42.777351829524477</v>
      </c>
      <c r="AH61">
        <f>22.2988755718112*1</f>
        <v>22.298875571811202</v>
      </c>
      <c r="AI61">
        <f>1.28853676476003*1</f>
        <v>1.2885367647600301</v>
      </c>
      <c r="AJ61">
        <v>1</v>
      </c>
      <c r="AK61">
        <v>0</v>
      </c>
      <c r="AL61">
        <v>0</v>
      </c>
    </row>
    <row r="62" spans="1:38" hidden="1" x14ac:dyDescent="0.2">
      <c r="A62" t="s">
        <v>176</v>
      </c>
      <c r="B62" t="s">
        <v>177</v>
      </c>
      <c r="C62" t="s">
        <v>177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6.1</v>
      </c>
      <c r="AE62">
        <v>218</v>
      </c>
      <c r="AF62">
        <v>56.333333333333307</v>
      </c>
      <c r="AG62">
        <v>72.032998018395318</v>
      </c>
      <c r="AH62">
        <f>65.6922631944532*1</f>
        <v>65.692263194453204</v>
      </c>
      <c r="AI62">
        <f>3.52966503073773*1</f>
        <v>3.5296650307377302</v>
      </c>
      <c r="AJ62">
        <v>1</v>
      </c>
      <c r="AK62">
        <v>0</v>
      </c>
      <c r="AL62">
        <v>0</v>
      </c>
    </row>
    <row r="63" spans="1:38" hidden="1" x14ac:dyDescent="0.2">
      <c r="A63" t="s">
        <v>178</v>
      </c>
      <c r="B63" t="s">
        <v>179</v>
      </c>
      <c r="C63" t="s">
        <v>180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8</v>
      </c>
      <c r="AE63">
        <v>221</v>
      </c>
      <c r="AF63">
        <v>75.377358490566039</v>
      </c>
      <c r="AG63">
        <v>97.518376112983248</v>
      </c>
      <c r="AH63">
        <f>67.0860633203517*1</f>
        <v>67.086063320351698</v>
      </c>
      <c r="AI63">
        <f>3.89329653943178*1</f>
        <v>3.89329653943178</v>
      </c>
      <c r="AJ63">
        <v>1</v>
      </c>
      <c r="AK63">
        <v>0</v>
      </c>
      <c r="AL63">
        <v>0</v>
      </c>
    </row>
    <row r="64" spans="1:38" hidden="1" x14ac:dyDescent="0.2">
      <c r="A64" t="s">
        <v>181</v>
      </c>
      <c r="B64" t="s">
        <v>182</v>
      </c>
      <c r="C64" t="s">
        <v>182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5.8</v>
      </c>
      <c r="AE64">
        <v>222</v>
      </c>
      <c r="AF64">
        <v>0</v>
      </c>
      <c r="AG64">
        <v>0</v>
      </c>
      <c r="AH64">
        <f>0*1</f>
        <v>0</v>
      </c>
      <c r="AI64">
        <f>0*1</f>
        <v>0</v>
      </c>
      <c r="AJ64">
        <v>1</v>
      </c>
      <c r="AK64">
        <v>0</v>
      </c>
      <c r="AL64">
        <v>0</v>
      </c>
    </row>
    <row r="65" spans="1:38" hidden="1" x14ac:dyDescent="0.2">
      <c r="A65" t="s">
        <v>183</v>
      </c>
      <c r="B65" t="s">
        <v>184</v>
      </c>
      <c r="C65" t="s">
        <v>184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11.4</v>
      </c>
      <c r="AE65">
        <v>223</v>
      </c>
      <c r="AF65">
        <v>131.99053623869361</v>
      </c>
      <c r="AG65">
        <v>125.8323369860798</v>
      </c>
      <c r="AH65">
        <f>108.888195150676*1</f>
        <v>108.888195150676</v>
      </c>
      <c r="AI65">
        <f>6.46524513463651*1</f>
        <v>6.4652451346365103</v>
      </c>
      <c r="AJ65">
        <v>1</v>
      </c>
      <c r="AK65">
        <v>0</v>
      </c>
      <c r="AL65">
        <v>0</v>
      </c>
    </row>
    <row r="66" spans="1:38" hidden="1" x14ac:dyDescent="0.2">
      <c r="A66" t="s">
        <v>185</v>
      </c>
      <c r="B66" t="s">
        <v>186</v>
      </c>
      <c r="C66" t="s">
        <v>186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4.8</v>
      </c>
      <c r="AE66">
        <v>226</v>
      </c>
      <c r="AF66">
        <v>60.652542372881321</v>
      </c>
      <c r="AG66">
        <v>59.286965246080683</v>
      </c>
      <c r="AH66">
        <f>40.2351655656896*1</f>
        <v>40.235165565689599</v>
      </c>
      <c r="AI66">
        <f>2.3588700234347*1</f>
        <v>2.3588700234347</v>
      </c>
      <c r="AJ66">
        <v>1</v>
      </c>
      <c r="AK66">
        <v>0</v>
      </c>
      <c r="AL66">
        <v>0</v>
      </c>
    </row>
    <row r="67" spans="1:38" hidden="1" x14ac:dyDescent="0.2">
      <c r="A67" t="s">
        <v>187</v>
      </c>
      <c r="B67" t="s">
        <v>188</v>
      </c>
      <c r="C67" t="s">
        <v>188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6.2</v>
      </c>
      <c r="AE67">
        <v>229</v>
      </c>
      <c r="AF67">
        <v>58.499999999999972</v>
      </c>
      <c r="AG67">
        <v>51.745215555322687</v>
      </c>
      <c r="AH67">
        <f>29.5802204935825*1</f>
        <v>29.580220493582502</v>
      </c>
      <c r="AI67">
        <f>1.61093830551629*1</f>
        <v>1.61093830551629</v>
      </c>
      <c r="AJ67">
        <v>1</v>
      </c>
      <c r="AK67">
        <v>0</v>
      </c>
      <c r="AL67">
        <v>0</v>
      </c>
    </row>
    <row r="68" spans="1:38" hidden="1" x14ac:dyDescent="0.2">
      <c r="A68" t="s">
        <v>189</v>
      </c>
      <c r="B68" t="s">
        <v>190</v>
      </c>
      <c r="C68" t="s">
        <v>191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17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6.2</v>
      </c>
      <c r="AE68">
        <v>230</v>
      </c>
      <c r="AF68">
        <v>44.31148358098249</v>
      </c>
      <c r="AG68">
        <v>63.079472558744669</v>
      </c>
      <c r="AH68">
        <f>23.2683322512409*1</f>
        <v>23.268332251240899</v>
      </c>
      <c r="AI68">
        <f>1.17804256290669*1</f>
        <v>1.17804256290669</v>
      </c>
      <c r="AJ68">
        <v>1</v>
      </c>
      <c r="AK68">
        <v>0</v>
      </c>
      <c r="AL68">
        <v>0</v>
      </c>
    </row>
    <row r="69" spans="1:38" hidden="1" x14ac:dyDescent="0.2">
      <c r="A69" t="s">
        <v>192</v>
      </c>
      <c r="B69" t="s">
        <v>193</v>
      </c>
      <c r="C69" t="s">
        <v>193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5.9</v>
      </c>
      <c r="AE69">
        <v>237</v>
      </c>
      <c r="AF69">
        <v>36.914285714285697</v>
      </c>
      <c r="AG69">
        <v>47.838173928571223</v>
      </c>
      <c r="AH69">
        <f>11.7550040453754*1</f>
        <v>11.755004045375401</v>
      </c>
      <c r="AI69">
        <f>0.628773055112499*1</f>
        <v>0.62877305511249904</v>
      </c>
      <c r="AJ69">
        <v>1</v>
      </c>
      <c r="AK69">
        <v>0</v>
      </c>
      <c r="AL69">
        <v>0</v>
      </c>
    </row>
    <row r="70" spans="1:38" hidden="1" x14ac:dyDescent="0.2">
      <c r="A70" t="s">
        <v>194</v>
      </c>
      <c r="B70" t="s">
        <v>195</v>
      </c>
      <c r="C70" t="s">
        <v>195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6.6</v>
      </c>
      <c r="AE70">
        <v>244</v>
      </c>
      <c r="AF70">
        <v>66.894308943089484</v>
      </c>
      <c r="AG70">
        <v>48.066026207011276</v>
      </c>
      <c r="AH70">
        <f>52.6075101088956*1</f>
        <v>52.607510108895603</v>
      </c>
      <c r="AI70">
        <f>3.2190113150766*1</f>
        <v>3.2190113150766</v>
      </c>
      <c r="AJ70">
        <v>1</v>
      </c>
      <c r="AK70">
        <v>0</v>
      </c>
      <c r="AL70">
        <v>0</v>
      </c>
    </row>
    <row r="71" spans="1:38" hidden="1" x14ac:dyDescent="0.2">
      <c r="A71" t="s">
        <v>169</v>
      </c>
      <c r="B71" t="s">
        <v>196</v>
      </c>
      <c r="C71" t="s">
        <v>196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4.5</v>
      </c>
      <c r="AE71">
        <v>245</v>
      </c>
      <c r="AF71">
        <v>50.85087719298248</v>
      </c>
      <c r="AG71">
        <v>48.078253798971801</v>
      </c>
      <c r="AH71">
        <f>35.3782962526286*1</f>
        <v>35.378296252628601</v>
      </c>
      <c r="AI71">
        <f>1.99315366503782*1</f>
        <v>1.9931536650378201</v>
      </c>
      <c r="AJ71">
        <v>1</v>
      </c>
      <c r="AK71">
        <v>0</v>
      </c>
      <c r="AL71">
        <v>0</v>
      </c>
    </row>
    <row r="72" spans="1:38" hidden="1" x14ac:dyDescent="0.2">
      <c r="A72" t="s">
        <v>197</v>
      </c>
      <c r="B72" t="s">
        <v>198</v>
      </c>
      <c r="C72" t="s">
        <v>198</v>
      </c>
      <c r="D72" t="s">
        <v>3</v>
      </c>
      <c r="E72">
        <v>1</v>
      </c>
      <c r="F72">
        <v>0</v>
      </c>
      <c r="G72">
        <v>0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</v>
      </c>
      <c r="AE72">
        <v>246</v>
      </c>
      <c r="AF72">
        <v>65.029126213592221</v>
      </c>
      <c r="AG72">
        <v>74.99401123090982</v>
      </c>
      <c r="AH72">
        <f>36.6399805649697*1</f>
        <v>36.639980564969697</v>
      </c>
      <c r="AI72">
        <f>2.03976526691987*1</f>
        <v>2.0397652669198698</v>
      </c>
      <c r="AJ72">
        <v>1</v>
      </c>
      <c r="AK72">
        <v>0</v>
      </c>
      <c r="AL72">
        <v>0</v>
      </c>
    </row>
    <row r="73" spans="1:38" hidden="1" x14ac:dyDescent="0.2">
      <c r="A73" t="s">
        <v>199</v>
      </c>
      <c r="B73" t="s">
        <v>200</v>
      </c>
      <c r="C73" t="s">
        <v>200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4.9000000000000004</v>
      </c>
      <c r="AE73">
        <v>248</v>
      </c>
      <c r="AF73">
        <v>36.053691275167772</v>
      </c>
      <c r="AG73">
        <v>34.798153470629167</v>
      </c>
      <c r="AH73">
        <f>21.9244885869303*1</f>
        <v>21.924488586930298</v>
      </c>
      <c r="AI73">
        <f>1.28851397122187*1</f>
        <v>1.2885139712218701</v>
      </c>
      <c r="AJ73">
        <v>1</v>
      </c>
      <c r="AK73">
        <v>0</v>
      </c>
      <c r="AL73">
        <v>0</v>
      </c>
    </row>
    <row r="74" spans="1:38" hidden="1" x14ac:dyDescent="0.2">
      <c r="A74" t="s">
        <v>201</v>
      </c>
      <c r="B74" t="s">
        <v>202</v>
      </c>
      <c r="C74" t="s">
        <v>203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4.8</v>
      </c>
      <c r="AE74">
        <v>250</v>
      </c>
      <c r="AF74">
        <v>33.65101012835003</v>
      </c>
      <c r="AG74">
        <v>46.41449441467006</v>
      </c>
      <c r="AH74">
        <f>14.2167535078358*1</f>
        <v>14.216753507835801</v>
      </c>
      <c r="AI74">
        <f>0.773563694531213*1</f>
        <v>0.77356369453121299</v>
      </c>
      <c r="AJ74">
        <v>1</v>
      </c>
      <c r="AK74">
        <v>0</v>
      </c>
      <c r="AL74">
        <v>0</v>
      </c>
    </row>
    <row r="75" spans="1:38" hidden="1" x14ac:dyDescent="0.2">
      <c r="A75" t="s">
        <v>204</v>
      </c>
      <c r="B75" t="s">
        <v>205</v>
      </c>
      <c r="C75" t="s">
        <v>205</v>
      </c>
      <c r="D75" t="s">
        <v>6</v>
      </c>
      <c r="E75">
        <v>0</v>
      </c>
      <c r="F75">
        <v>0</v>
      </c>
      <c r="G75">
        <v>0</v>
      </c>
      <c r="H75">
        <v>1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7.3</v>
      </c>
      <c r="AE75">
        <v>251</v>
      </c>
      <c r="AF75">
        <v>72.285394039324174</v>
      </c>
      <c r="AG75">
        <v>45.748275619402811</v>
      </c>
      <c r="AH75">
        <f>31.5441114524569*1</f>
        <v>31.5441114524569</v>
      </c>
      <c r="AI75">
        <f>1.86554553942958*1</f>
        <v>1.8655455394295799</v>
      </c>
      <c r="AJ75">
        <v>1</v>
      </c>
      <c r="AK75">
        <v>0</v>
      </c>
      <c r="AL75">
        <v>0</v>
      </c>
    </row>
    <row r="76" spans="1:38" hidden="1" x14ac:dyDescent="0.2">
      <c r="A76" t="s">
        <v>206</v>
      </c>
      <c r="B76" t="s">
        <v>207</v>
      </c>
      <c r="C76" t="s">
        <v>207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254</v>
      </c>
      <c r="AF76">
        <v>50.19047619047624</v>
      </c>
      <c r="AG76">
        <v>42.963958606577243</v>
      </c>
      <c r="AH76">
        <f>32.7558956995906*1</f>
        <v>32.755895699590603</v>
      </c>
      <c r="AI76">
        <f>1.81801762185206*1</f>
        <v>1.8180176218520601</v>
      </c>
      <c r="AJ76">
        <v>1</v>
      </c>
      <c r="AK76">
        <v>0</v>
      </c>
      <c r="AL76">
        <v>0</v>
      </c>
    </row>
    <row r="77" spans="1:38" hidden="1" x14ac:dyDescent="0.2">
      <c r="A77" t="s">
        <v>208</v>
      </c>
      <c r="B77" t="s">
        <v>209</v>
      </c>
      <c r="C77" t="s">
        <v>209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4.8</v>
      </c>
      <c r="AE77">
        <v>255</v>
      </c>
      <c r="AF77">
        <v>0</v>
      </c>
      <c r="AG77">
        <v>0</v>
      </c>
      <c r="AH77">
        <f>0*1</f>
        <v>0</v>
      </c>
      <c r="AI77">
        <f>0*1</f>
        <v>0</v>
      </c>
      <c r="AJ77">
        <v>1</v>
      </c>
      <c r="AK77">
        <v>0</v>
      </c>
      <c r="AL77">
        <v>0</v>
      </c>
    </row>
    <row r="78" spans="1:38" hidden="1" x14ac:dyDescent="0.2">
      <c r="A78" t="s">
        <v>210</v>
      </c>
      <c r="B78" t="s">
        <v>211</v>
      </c>
      <c r="C78" t="s">
        <v>212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5.9</v>
      </c>
      <c r="AE78">
        <v>262</v>
      </c>
      <c r="AF78">
        <v>61.32379959750017</v>
      </c>
      <c r="AG78">
        <v>47.19153425822644</v>
      </c>
      <c r="AH78">
        <f>27.6566073819935*1</f>
        <v>27.656607381993499</v>
      </c>
      <c r="AI78">
        <f>1.49847682968454*1</f>
        <v>1.4984768296845401</v>
      </c>
      <c r="AJ78">
        <v>1</v>
      </c>
      <c r="AK78">
        <v>1</v>
      </c>
      <c r="AL78">
        <v>0</v>
      </c>
    </row>
    <row r="79" spans="1:38" hidden="1" x14ac:dyDescent="0.2">
      <c r="A79" t="s">
        <v>213</v>
      </c>
      <c r="B79" t="s">
        <v>214</v>
      </c>
      <c r="C79" t="s">
        <v>215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5.0999999999999996</v>
      </c>
      <c r="AE79">
        <v>271</v>
      </c>
      <c r="AF79">
        <v>55.561224489795862</v>
      </c>
      <c r="AG79">
        <v>59.689671282067778</v>
      </c>
      <c r="AH79">
        <f>31.3828273606504*1</f>
        <v>31.382827360650399</v>
      </c>
      <c r="AI79">
        <f>1.73377361916156*1</f>
        <v>1.73377361916156</v>
      </c>
      <c r="AJ79">
        <v>1</v>
      </c>
      <c r="AK79">
        <v>0</v>
      </c>
      <c r="AL79">
        <v>0</v>
      </c>
    </row>
    <row r="80" spans="1:38" hidden="1" x14ac:dyDescent="0.2">
      <c r="A80" t="s">
        <v>216</v>
      </c>
      <c r="B80" t="s">
        <v>217</v>
      </c>
      <c r="C80" t="s">
        <v>217</v>
      </c>
      <c r="D80" t="s">
        <v>6</v>
      </c>
      <c r="E80">
        <v>0</v>
      </c>
      <c r="F80">
        <v>0</v>
      </c>
      <c r="G80">
        <v>0</v>
      </c>
      <c r="H80">
        <v>1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5.4</v>
      </c>
      <c r="AE80">
        <v>274</v>
      </c>
      <c r="AF80">
        <v>60.116970269800859</v>
      </c>
      <c r="AG80">
        <v>65.857547105067482</v>
      </c>
      <c r="AH80">
        <f>28.5866971777082*1</f>
        <v>28.586697177708199</v>
      </c>
      <c r="AI80">
        <f>1.49227282614318*1</f>
        <v>1.4922728261431799</v>
      </c>
      <c r="AJ80">
        <v>1</v>
      </c>
      <c r="AK80">
        <v>0</v>
      </c>
      <c r="AL80">
        <v>0</v>
      </c>
    </row>
    <row r="81" spans="1:38" hidden="1" x14ac:dyDescent="0.2">
      <c r="A81" t="s">
        <v>218</v>
      </c>
      <c r="B81" t="s">
        <v>219</v>
      </c>
      <c r="C81" t="s">
        <v>220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4.8</v>
      </c>
      <c r="AE81">
        <v>276</v>
      </c>
      <c r="AF81">
        <v>39.609349285519691</v>
      </c>
      <c r="AG81">
        <v>38.084209014956727</v>
      </c>
      <c r="AH81">
        <f>31.4311929037476*1</f>
        <v>31.431192903747601</v>
      </c>
      <c r="AI81">
        <f>1.66176735371195*1</f>
        <v>1.6617673537119499</v>
      </c>
      <c r="AJ81">
        <v>1</v>
      </c>
      <c r="AK81">
        <v>0</v>
      </c>
      <c r="AL81">
        <v>0</v>
      </c>
    </row>
    <row r="82" spans="1:38" hidden="1" x14ac:dyDescent="0.2">
      <c r="A82" t="s">
        <v>221</v>
      </c>
      <c r="B82" t="s">
        <v>222</v>
      </c>
      <c r="C82" t="s">
        <v>222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5.2</v>
      </c>
      <c r="AE82">
        <v>278</v>
      </c>
      <c r="AF82">
        <v>64.163265306122469</v>
      </c>
      <c r="AG82">
        <v>62.565402219505067</v>
      </c>
      <c r="AH82">
        <f>18.0686570024739*1</f>
        <v>18.068657002473898</v>
      </c>
      <c r="AI82">
        <f>1.0057749273103*1</f>
        <v>1.0057749273103</v>
      </c>
      <c r="AJ82">
        <v>1</v>
      </c>
      <c r="AK82">
        <v>0</v>
      </c>
      <c r="AL82">
        <v>0</v>
      </c>
    </row>
    <row r="83" spans="1:38" hidden="1" x14ac:dyDescent="0.2">
      <c r="A83" t="s">
        <v>223</v>
      </c>
      <c r="B83" t="s">
        <v>224</v>
      </c>
      <c r="C83" t="s">
        <v>224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4.3</v>
      </c>
      <c r="AE83">
        <v>285</v>
      </c>
      <c r="AF83">
        <v>52.715002290634217</v>
      </c>
      <c r="AG83">
        <v>60.487287533757822</v>
      </c>
      <c r="AH83">
        <f>28.0381767723882*1</f>
        <v>28.038176772388201</v>
      </c>
      <c r="AI83">
        <f>1.29817363763832*1</f>
        <v>1.2981736376383199</v>
      </c>
      <c r="AJ83">
        <v>1</v>
      </c>
      <c r="AK83">
        <v>0</v>
      </c>
      <c r="AL83">
        <v>0</v>
      </c>
    </row>
    <row r="84" spans="1:38" x14ac:dyDescent="0.2">
      <c r="A84" t="s">
        <v>102</v>
      </c>
      <c r="B84" t="s">
        <v>103</v>
      </c>
      <c r="C84" t="s">
        <v>103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14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4.8</v>
      </c>
      <c r="AE84">
        <v>83</v>
      </c>
      <c r="AF84">
        <v>70.343267329372978</v>
      </c>
      <c r="AG84">
        <v>38.684672874867147</v>
      </c>
      <c r="AH84">
        <f>97.7158442037022*1</f>
        <v>97.715844203702204</v>
      </c>
      <c r="AI84">
        <f>5.79667112959166*1</f>
        <v>5.79667112959166</v>
      </c>
      <c r="AJ84">
        <v>1</v>
      </c>
      <c r="AK84">
        <v>1</v>
      </c>
      <c r="AL84">
        <v>1</v>
      </c>
    </row>
    <row r="85" spans="1:38" x14ac:dyDescent="0.2">
      <c r="A85" t="s">
        <v>346</v>
      </c>
      <c r="B85" t="s">
        <v>347</v>
      </c>
      <c r="C85" t="s">
        <v>348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26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5.0999999999999996</v>
      </c>
      <c r="AE85">
        <v>514</v>
      </c>
      <c r="AF85">
        <v>73.518095700947271</v>
      </c>
      <c r="AG85">
        <v>36.761616897016708</v>
      </c>
      <c r="AH85">
        <f>96.8229204191479*1</f>
        <v>96.822920419147906</v>
      </c>
      <c r="AI85">
        <f>5.66271358898751*1</f>
        <v>5.6627135889875104</v>
      </c>
      <c r="AJ85">
        <v>1</v>
      </c>
      <c r="AK85">
        <v>1</v>
      </c>
      <c r="AL85">
        <v>1</v>
      </c>
    </row>
    <row r="86" spans="1:38" hidden="1" x14ac:dyDescent="0.2">
      <c r="A86" t="s">
        <v>229</v>
      </c>
      <c r="B86" t="s">
        <v>230</v>
      </c>
      <c r="C86" t="s">
        <v>230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4.7</v>
      </c>
      <c r="AE86">
        <v>291</v>
      </c>
      <c r="AF86">
        <v>47.217391304347821</v>
      </c>
      <c r="AG86">
        <v>41.551161741056951</v>
      </c>
      <c r="AH86">
        <f>51.8875823273769*1</f>
        <v>51.887582327376897</v>
      </c>
      <c r="AI86">
        <f>2.93821387593844*1</f>
        <v>2.9382138759384402</v>
      </c>
      <c r="AJ86">
        <v>1</v>
      </c>
      <c r="AK86">
        <v>0</v>
      </c>
      <c r="AL86">
        <v>0</v>
      </c>
    </row>
    <row r="87" spans="1:38" hidden="1" x14ac:dyDescent="0.2">
      <c r="A87" t="s">
        <v>231</v>
      </c>
      <c r="B87" t="s">
        <v>232</v>
      </c>
      <c r="C87" t="s">
        <v>232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</v>
      </c>
      <c r="AE87">
        <v>298</v>
      </c>
      <c r="AF87">
        <v>34.857142857142847</v>
      </c>
      <c r="AG87">
        <v>27.557198955574751</v>
      </c>
      <c r="AH87">
        <f>23.1743710862756*1</f>
        <v>23.174371086275599</v>
      </c>
      <c r="AI87">
        <f>1.30588140241225*1</f>
        <v>1.30588140241225</v>
      </c>
      <c r="AJ87">
        <v>1</v>
      </c>
      <c r="AK87">
        <v>0</v>
      </c>
      <c r="AL87">
        <v>0</v>
      </c>
    </row>
    <row r="88" spans="1:38" hidden="1" x14ac:dyDescent="0.2">
      <c r="A88" t="s">
        <v>233</v>
      </c>
      <c r="B88" t="s">
        <v>234</v>
      </c>
      <c r="C88" t="s">
        <v>234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5.3</v>
      </c>
      <c r="AE88">
        <v>302</v>
      </c>
      <c r="AF88">
        <v>49.274879877054573</v>
      </c>
      <c r="AG88">
        <v>52.606430909443297</v>
      </c>
      <c r="AH88">
        <f>28.9697186279767*1</f>
        <v>28.9697186279767</v>
      </c>
      <c r="AI88">
        <f>1.44551138207729*1</f>
        <v>1.44551138207729</v>
      </c>
      <c r="AJ88">
        <v>1</v>
      </c>
      <c r="AK88">
        <v>0</v>
      </c>
      <c r="AL88">
        <v>0</v>
      </c>
    </row>
    <row r="89" spans="1:38" hidden="1" x14ac:dyDescent="0.2">
      <c r="A89" t="s">
        <v>235</v>
      </c>
      <c r="B89" t="s">
        <v>236</v>
      </c>
      <c r="C89" t="s">
        <v>235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4.7</v>
      </c>
      <c r="AE89">
        <v>304</v>
      </c>
      <c r="AF89">
        <v>40.853750885395492</v>
      </c>
      <c r="AG89">
        <v>49.062594195685087</v>
      </c>
      <c r="AH89">
        <f>24.1269574818953*1</f>
        <v>24.1269574818953</v>
      </c>
      <c r="AI89">
        <f>1.17213455328105*1</f>
        <v>1.1721345532810501</v>
      </c>
      <c r="AJ89">
        <v>1</v>
      </c>
      <c r="AK89">
        <v>0</v>
      </c>
      <c r="AL89">
        <v>0</v>
      </c>
    </row>
    <row r="90" spans="1:38" hidden="1" x14ac:dyDescent="0.2">
      <c r="A90" t="s">
        <v>237</v>
      </c>
      <c r="B90" t="s">
        <v>238</v>
      </c>
      <c r="C90" t="s">
        <v>237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</v>
      </c>
      <c r="AE90">
        <v>305</v>
      </c>
      <c r="AF90">
        <v>57.76136363636364</v>
      </c>
      <c r="AG90">
        <v>69.480766328818433</v>
      </c>
      <c r="AH90">
        <f>33.1638455377929*1</f>
        <v>33.163845537792902</v>
      </c>
      <c r="AI90">
        <f>1.85641185488606*1</f>
        <v>1.85641185488606</v>
      </c>
      <c r="AJ90">
        <v>1</v>
      </c>
      <c r="AK90">
        <v>0</v>
      </c>
      <c r="AL90">
        <v>0</v>
      </c>
    </row>
    <row r="91" spans="1:38" hidden="1" x14ac:dyDescent="0.2">
      <c r="A91" t="s">
        <v>239</v>
      </c>
      <c r="B91" t="s">
        <v>240</v>
      </c>
      <c r="C91" t="s">
        <v>240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306</v>
      </c>
      <c r="AF91">
        <v>38.854340093882222</v>
      </c>
      <c r="AG91">
        <v>0</v>
      </c>
      <c r="AH91">
        <f>17.3021643260462*1</f>
        <v>17.302164326046199</v>
      </c>
      <c r="AI91">
        <f>1.10219584379937*1</f>
        <v>1.10219584379937</v>
      </c>
      <c r="AJ91">
        <v>1</v>
      </c>
      <c r="AK91">
        <v>0</v>
      </c>
      <c r="AL91">
        <v>0</v>
      </c>
    </row>
    <row r="92" spans="1:38" hidden="1" x14ac:dyDescent="0.2">
      <c r="A92" t="s">
        <v>241</v>
      </c>
      <c r="B92" t="s">
        <v>242</v>
      </c>
      <c r="C92" t="s">
        <v>242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4.8</v>
      </c>
      <c r="AE92">
        <v>308</v>
      </c>
      <c r="AF92">
        <v>31.1268765500838</v>
      </c>
      <c r="AG92">
        <v>33.404470329588356</v>
      </c>
      <c r="AH92">
        <f>12.7217084535258*1</f>
        <v>12.7217084535258</v>
      </c>
      <c r="AI92">
        <f>0.646197131941336*1</f>
        <v>0.64619713194133599</v>
      </c>
      <c r="AJ92">
        <v>1</v>
      </c>
      <c r="AK92">
        <v>0</v>
      </c>
      <c r="AL92">
        <v>0</v>
      </c>
    </row>
    <row r="93" spans="1:38" hidden="1" x14ac:dyDescent="0.2">
      <c r="A93" t="s">
        <v>243</v>
      </c>
      <c r="B93" t="s">
        <v>244</v>
      </c>
      <c r="C93" t="s">
        <v>244</v>
      </c>
      <c r="D93" t="s">
        <v>4</v>
      </c>
      <c r="E93">
        <v>0</v>
      </c>
      <c r="F93">
        <v>1</v>
      </c>
      <c r="G93">
        <v>0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4.4000000000000004</v>
      </c>
      <c r="AE93">
        <v>310</v>
      </c>
      <c r="AF93">
        <v>43.335546778983648</v>
      </c>
      <c r="AG93">
        <v>51.731336973667247</v>
      </c>
      <c r="AH93">
        <f>18.9182420391927*1</f>
        <v>18.918242039192702</v>
      </c>
      <c r="AI93">
        <f>1.05879952942639*1</f>
        <v>1.0587995294263901</v>
      </c>
      <c r="AJ93">
        <v>1</v>
      </c>
      <c r="AK93">
        <v>0</v>
      </c>
      <c r="AL93">
        <v>0</v>
      </c>
    </row>
    <row r="94" spans="1:38" hidden="1" x14ac:dyDescent="0.2">
      <c r="A94" t="s">
        <v>245</v>
      </c>
      <c r="B94" t="s">
        <v>246</v>
      </c>
      <c r="C94" t="s">
        <v>246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5.9</v>
      </c>
      <c r="AE94">
        <v>312</v>
      </c>
      <c r="AF94">
        <v>71.945964193039316</v>
      </c>
      <c r="AG94">
        <v>43.927432793919508</v>
      </c>
      <c r="AH94">
        <f>81.0082385112031*1</f>
        <v>81.008238511203103</v>
      </c>
      <c r="AI94">
        <f>4.8759836612325*1</f>
        <v>4.8759836612324996</v>
      </c>
      <c r="AJ94">
        <v>1</v>
      </c>
      <c r="AK94">
        <v>0</v>
      </c>
      <c r="AL94">
        <v>0</v>
      </c>
    </row>
    <row r="95" spans="1:38" hidden="1" x14ac:dyDescent="0.2">
      <c r="A95" t="s">
        <v>247</v>
      </c>
      <c r="B95" t="s">
        <v>248</v>
      </c>
      <c r="C95" t="s">
        <v>248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</v>
      </c>
      <c r="AE95">
        <v>313</v>
      </c>
      <c r="AF95">
        <v>60.527154452102067</v>
      </c>
      <c r="AG95">
        <v>58.431512652503592</v>
      </c>
      <c r="AH95">
        <f>31.554779860686*1</f>
        <v>31.554779860686001</v>
      </c>
      <c r="AI95">
        <f>2.08566434471196*1</f>
        <v>2.0856643447119598</v>
      </c>
      <c r="AJ95">
        <v>1</v>
      </c>
      <c r="AK95">
        <v>0</v>
      </c>
      <c r="AL95">
        <v>0</v>
      </c>
    </row>
    <row r="96" spans="1:38" hidden="1" x14ac:dyDescent="0.2">
      <c r="A96" t="s">
        <v>249</v>
      </c>
      <c r="B96" t="s">
        <v>250</v>
      </c>
      <c r="C96" t="s">
        <v>250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4.8</v>
      </c>
      <c r="AE96">
        <v>314</v>
      </c>
      <c r="AF96">
        <v>0</v>
      </c>
      <c r="AG96">
        <v>0</v>
      </c>
      <c r="AH96">
        <f>0*1</f>
        <v>0</v>
      </c>
      <c r="AI96">
        <f>0*1</f>
        <v>0</v>
      </c>
      <c r="AJ96">
        <v>1</v>
      </c>
      <c r="AK96">
        <v>0</v>
      </c>
      <c r="AL96">
        <v>0</v>
      </c>
    </row>
    <row r="97" spans="1:38" hidden="1" x14ac:dyDescent="0.2">
      <c r="A97" t="s">
        <v>251</v>
      </c>
      <c r="B97" t="s">
        <v>252</v>
      </c>
      <c r="C97" t="s">
        <v>253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5.5</v>
      </c>
      <c r="AE97">
        <v>316</v>
      </c>
      <c r="AF97">
        <v>49.670932831730347</v>
      </c>
      <c r="AG97">
        <v>60.470286170791283</v>
      </c>
      <c r="AH97">
        <f>15.1267046874955*1</f>
        <v>15.126704687495501</v>
      </c>
      <c r="AI97">
        <f>0.563199598746105*1</f>
        <v>0.56319959874610503</v>
      </c>
      <c r="AJ97">
        <v>1</v>
      </c>
      <c r="AK97">
        <v>0</v>
      </c>
      <c r="AL97">
        <v>0</v>
      </c>
    </row>
    <row r="98" spans="1:38" hidden="1" x14ac:dyDescent="0.2">
      <c r="A98" t="s">
        <v>254</v>
      </c>
      <c r="B98" t="s">
        <v>255</v>
      </c>
      <c r="C98" t="s">
        <v>254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5.7</v>
      </c>
      <c r="AE98">
        <v>317</v>
      </c>
      <c r="AF98">
        <v>68.103864056361616</v>
      </c>
      <c r="AG98">
        <v>68.588448565003745</v>
      </c>
      <c r="AH98">
        <f>54.8917987792675*1</f>
        <v>54.891798779267504</v>
      </c>
      <c r="AI98">
        <f>1.79825179585436*1</f>
        <v>1.79825179585436</v>
      </c>
      <c r="AJ98">
        <v>1</v>
      </c>
      <c r="AK98">
        <v>0</v>
      </c>
      <c r="AL98">
        <v>0</v>
      </c>
    </row>
    <row r="99" spans="1:38" hidden="1" x14ac:dyDescent="0.2">
      <c r="A99" t="s">
        <v>256</v>
      </c>
      <c r="B99" t="s">
        <v>257</v>
      </c>
      <c r="C99" t="s">
        <v>257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5</v>
      </c>
      <c r="AE99">
        <v>320</v>
      </c>
      <c r="AF99">
        <v>52.77688977088939</v>
      </c>
      <c r="AG99">
        <v>42.558722772486277</v>
      </c>
      <c r="AH99">
        <f>54.8971369658382*1</f>
        <v>54.8971369658382</v>
      </c>
      <c r="AI99">
        <f>3.15495116958159*1</f>
        <v>3.1549511695815902</v>
      </c>
      <c r="AJ99">
        <v>1</v>
      </c>
      <c r="AK99">
        <v>0</v>
      </c>
      <c r="AL99">
        <v>0</v>
      </c>
    </row>
    <row r="100" spans="1:38" hidden="1" x14ac:dyDescent="0.2">
      <c r="A100" t="s">
        <v>258</v>
      </c>
      <c r="B100" t="s">
        <v>259</v>
      </c>
      <c r="C100" t="s">
        <v>259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4.4000000000000004</v>
      </c>
      <c r="AE100">
        <v>322</v>
      </c>
      <c r="AF100">
        <v>40.594986656917968</v>
      </c>
      <c r="AG100">
        <v>50.696500092702998</v>
      </c>
      <c r="AH100">
        <f>25.2766912604754*1</f>
        <v>25.276691260475399</v>
      </c>
      <c r="AI100">
        <f>0.853748514734554*1</f>
        <v>0.85374851473455404</v>
      </c>
      <c r="AJ100">
        <v>1</v>
      </c>
      <c r="AK100">
        <v>0</v>
      </c>
      <c r="AL100">
        <v>0</v>
      </c>
    </row>
    <row r="101" spans="1:38" hidden="1" x14ac:dyDescent="0.2">
      <c r="A101" t="s">
        <v>260</v>
      </c>
      <c r="B101" t="s">
        <v>261</v>
      </c>
      <c r="C101" t="s">
        <v>261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5.2</v>
      </c>
      <c r="AE101">
        <v>324</v>
      </c>
      <c r="AF101">
        <v>46.672727272727229</v>
      </c>
      <c r="AG101">
        <v>35.43039520243439</v>
      </c>
      <c r="AH101">
        <f>45.6529977045233*1</f>
        <v>45.652997704523301</v>
      </c>
      <c r="AI101">
        <f>2.58666712116631*1</f>
        <v>2.5866671211663101</v>
      </c>
      <c r="AJ101">
        <v>1</v>
      </c>
      <c r="AK101">
        <v>0</v>
      </c>
      <c r="AL101">
        <v>0</v>
      </c>
    </row>
    <row r="102" spans="1:38" hidden="1" x14ac:dyDescent="0.2">
      <c r="A102" t="s">
        <v>262</v>
      </c>
      <c r="B102" t="s">
        <v>263</v>
      </c>
      <c r="C102" t="s">
        <v>263</v>
      </c>
      <c r="D102" t="s">
        <v>3</v>
      </c>
      <c r="E102">
        <v>1</v>
      </c>
      <c r="F102">
        <v>0</v>
      </c>
      <c r="G102">
        <v>0</v>
      </c>
      <c r="H102">
        <v>0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4.4000000000000004</v>
      </c>
      <c r="AE102">
        <v>357</v>
      </c>
      <c r="AF102">
        <v>0</v>
      </c>
      <c r="AG102">
        <v>0</v>
      </c>
      <c r="AH102">
        <f>0*1</f>
        <v>0</v>
      </c>
      <c r="AI102">
        <f>0*1</f>
        <v>0</v>
      </c>
      <c r="AJ102">
        <v>1</v>
      </c>
      <c r="AK102">
        <v>0</v>
      </c>
      <c r="AL102">
        <v>0</v>
      </c>
    </row>
    <row r="103" spans="1:38" hidden="1" x14ac:dyDescent="0.2">
      <c r="A103" t="s">
        <v>264</v>
      </c>
      <c r="B103" t="s">
        <v>265</v>
      </c>
      <c r="C103" t="s">
        <v>265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4.0999999999999996</v>
      </c>
      <c r="AE103">
        <v>362</v>
      </c>
      <c r="AF103">
        <v>28.922077922077911</v>
      </c>
      <c r="AG103">
        <v>34.796830964251363</v>
      </c>
      <c r="AH103">
        <f>21.2478517653149*1</f>
        <v>21.247851765314898</v>
      </c>
      <c r="AI103">
        <f>1.31867816394828*1</f>
        <v>1.3186781639482801</v>
      </c>
      <c r="AJ103">
        <v>1</v>
      </c>
      <c r="AK103">
        <v>0</v>
      </c>
      <c r="AL103">
        <v>0</v>
      </c>
    </row>
    <row r="104" spans="1:38" hidden="1" x14ac:dyDescent="0.2">
      <c r="A104" t="s">
        <v>266</v>
      </c>
      <c r="B104" t="s">
        <v>267</v>
      </c>
      <c r="C104" t="s">
        <v>267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4.8</v>
      </c>
      <c r="AE104">
        <v>366</v>
      </c>
      <c r="AF104">
        <v>42.814814814814817</v>
      </c>
      <c r="AG104">
        <v>54.160409249297039</v>
      </c>
      <c r="AH104">
        <f>34.1156060247969*1</f>
        <v>34.115606024796897</v>
      </c>
      <c r="AI104">
        <f>2.25846310307022*1</f>
        <v>2.2584631030702198</v>
      </c>
      <c r="AJ104">
        <v>1</v>
      </c>
      <c r="AK104">
        <v>0</v>
      </c>
      <c r="AL104">
        <v>0</v>
      </c>
    </row>
    <row r="105" spans="1:38" hidden="1" x14ac:dyDescent="0.2">
      <c r="A105" t="s">
        <v>225</v>
      </c>
      <c r="B105" t="s">
        <v>268</v>
      </c>
      <c r="C105" t="s">
        <v>269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5.2</v>
      </c>
      <c r="AE105">
        <v>367</v>
      </c>
      <c r="AF105">
        <v>47.304347826087032</v>
      </c>
      <c r="AG105">
        <v>42.165592224334553</v>
      </c>
      <c r="AH105">
        <f>27.4967340819774*1</f>
        <v>27.496734081977401</v>
      </c>
      <c r="AI105">
        <f>1.64308106477128*1</f>
        <v>1.6430810647712799</v>
      </c>
      <c r="AJ105">
        <v>1</v>
      </c>
      <c r="AK105">
        <v>0</v>
      </c>
      <c r="AL105">
        <v>0</v>
      </c>
    </row>
    <row r="106" spans="1:38" hidden="1" x14ac:dyDescent="0.2">
      <c r="A106" t="s">
        <v>270</v>
      </c>
      <c r="B106" t="s">
        <v>271</v>
      </c>
      <c r="C106" t="s">
        <v>271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</v>
      </c>
      <c r="AE106">
        <v>375</v>
      </c>
      <c r="AF106">
        <v>37.187500000000007</v>
      </c>
      <c r="AG106">
        <v>27.51594566565317</v>
      </c>
      <c r="AH106">
        <f>24.2570271706904*1</f>
        <v>24.257027170690399</v>
      </c>
      <c r="AI106">
        <f>1.5331219319703*1</f>
        <v>1.5331219319703</v>
      </c>
      <c r="AJ106">
        <v>1</v>
      </c>
      <c r="AK106">
        <v>0</v>
      </c>
      <c r="AL106">
        <v>0</v>
      </c>
    </row>
    <row r="107" spans="1:38" hidden="1" x14ac:dyDescent="0.2">
      <c r="A107" t="s">
        <v>227</v>
      </c>
      <c r="B107" t="s">
        <v>104</v>
      </c>
      <c r="C107" t="s">
        <v>104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4.2</v>
      </c>
      <c r="AE107">
        <v>379</v>
      </c>
      <c r="AF107">
        <v>50.170731707317088</v>
      </c>
      <c r="AG107">
        <v>56.154733886155711</v>
      </c>
      <c r="AH107">
        <f>22.277213827282*1</f>
        <v>22.277213827282001</v>
      </c>
      <c r="AI107">
        <f>1.23062314095225*1</f>
        <v>1.2306231409522499</v>
      </c>
      <c r="AJ107">
        <v>1</v>
      </c>
      <c r="AK107">
        <v>0</v>
      </c>
      <c r="AL107">
        <v>0</v>
      </c>
    </row>
    <row r="108" spans="1:38" hidden="1" x14ac:dyDescent="0.2">
      <c r="A108" t="s">
        <v>272</v>
      </c>
      <c r="B108" t="s">
        <v>273</v>
      </c>
      <c r="C108" t="s">
        <v>273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380</v>
      </c>
      <c r="AF108">
        <v>0</v>
      </c>
      <c r="AG108">
        <v>0</v>
      </c>
      <c r="AH108">
        <f>0*1</f>
        <v>0</v>
      </c>
      <c r="AI108">
        <f>0*1</f>
        <v>0</v>
      </c>
      <c r="AJ108">
        <v>1</v>
      </c>
      <c r="AK108">
        <v>0</v>
      </c>
      <c r="AL108">
        <v>0</v>
      </c>
    </row>
    <row r="109" spans="1:38" hidden="1" x14ac:dyDescent="0.2">
      <c r="A109" t="s">
        <v>274</v>
      </c>
      <c r="B109" t="s">
        <v>275</v>
      </c>
      <c r="C109" t="s">
        <v>275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4.9000000000000004</v>
      </c>
      <c r="AE109">
        <v>384</v>
      </c>
      <c r="AF109">
        <v>39.900049000162063</v>
      </c>
      <c r="AG109">
        <v>36.386018611220663</v>
      </c>
      <c r="AH109">
        <f>26.9111049568489*1</f>
        <v>26.911104956848899</v>
      </c>
      <c r="AI109">
        <f>1.59909485742804*1</f>
        <v>1.5990948574280399</v>
      </c>
      <c r="AJ109">
        <v>1</v>
      </c>
      <c r="AK109">
        <v>0</v>
      </c>
      <c r="AL109">
        <v>0</v>
      </c>
    </row>
    <row r="110" spans="1:38" hidden="1" x14ac:dyDescent="0.2">
      <c r="A110" t="s">
        <v>276</v>
      </c>
      <c r="B110" t="s">
        <v>277</v>
      </c>
      <c r="C110" t="s">
        <v>277</v>
      </c>
      <c r="D110" t="s">
        <v>6</v>
      </c>
      <c r="E110">
        <v>0</v>
      </c>
      <c r="F110">
        <v>0</v>
      </c>
      <c r="G110">
        <v>0</v>
      </c>
      <c r="H110">
        <v>1</v>
      </c>
      <c r="I110" t="s">
        <v>22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5.5</v>
      </c>
      <c r="AE110">
        <v>390</v>
      </c>
      <c r="AF110">
        <v>60.058815170171343</v>
      </c>
      <c r="AG110">
        <v>83.34544106200525</v>
      </c>
      <c r="AH110">
        <f>30.1073956663824*1</f>
        <v>30.107395666382399</v>
      </c>
      <c r="AI110">
        <f>1.5726037433353*1</f>
        <v>1.5726037433353</v>
      </c>
      <c r="AJ110">
        <v>1</v>
      </c>
      <c r="AK110">
        <v>0</v>
      </c>
      <c r="AL110">
        <v>0</v>
      </c>
    </row>
    <row r="111" spans="1:38" hidden="1" x14ac:dyDescent="0.2">
      <c r="A111" t="s">
        <v>260</v>
      </c>
      <c r="B111" t="s">
        <v>278</v>
      </c>
      <c r="C111" t="s">
        <v>278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4.4000000000000004</v>
      </c>
      <c r="AE111">
        <v>393</v>
      </c>
      <c r="AF111">
        <v>30.09623648987322</v>
      </c>
      <c r="AG111">
        <v>31.417970445699261</v>
      </c>
      <c r="AH111">
        <f>23.2041522401987*1</f>
        <v>23.204152240198699</v>
      </c>
      <c r="AI111">
        <f>1.3806169381539*1</f>
        <v>1.3806169381539</v>
      </c>
      <c r="AJ111">
        <v>1</v>
      </c>
      <c r="AK111">
        <v>0</v>
      </c>
      <c r="AL111">
        <v>0</v>
      </c>
    </row>
    <row r="112" spans="1:38" hidden="1" x14ac:dyDescent="0.2">
      <c r="A112" t="s">
        <v>279</v>
      </c>
      <c r="B112" t="s">
        <v>280</v>
      </c>
      <c r="C112" t="s">
        <v>280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7.2</v>
      </c>
      <c r="AE112">
        <v>403</v>
      </c>
      <c r="AF112">
        <v>91.580155261452717</v>
      </c>
      <c r="AG112">
        <v>103.9934637468523</v>
      </c>
      <c r="AH112">
        <f>48.575455633428*1</f>
        <v>48.575455633428</v>
      </c>
      <c r="AI112">
        <f>2.40575914483113*1</f>
        <v>2.40575914483113</v>
      </c>
      <c r="AJ112">
        <v>1</v>
      </c>
      <c r="AK112">
        <v>0</v>
      </c>
      <c r="AL112">
        <v>0</v>
      </c>
    </row>
    <row r="113" spans="1:38" hidden="1" x14ac:dyDescent="0.2">
      <c r="A113" t="s">
        <v>281</v>
      </c>
      <c r="B113" t="s">
        <v>282</v>
      </c>
      <c r="C113" t="s">
        <v>281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</v>
      </c>
      <c r="AE113">
        <v>407</v>
      </c>
      <c r="AF113">
        <v>61.246753246753208</v>
      </c>
      <c r="AG113">
        <v>83.468309863431941</v>
      </c>
      <c r="AH113">
        <f>22.5054971910191*1</f>
        <v>22.505497191019099</v>
      </c>
      <c r="AI113">
        <f>1.17688876811111*1</f>
        <v>1.17688876811111</v>
      </c>
      <c r="AJ113">
        <v>1</v>
      </c>
      <c r="AK113">
        <v>0</v>
      </c>
      <c r="AL113">
        <v>0</v>
      </c>
    </row>
    <row r="114" spans="1:38" hidden="1" x14ac:dyDescent="0.2">
      <c r="A114" t="s">
        <v>283</v>
      </c>
      <c r="B114" t="s">
        <v>284</v>
      </c>
      <c r="C114" t="s">
        <v>284</v>
      </c>
      <c r="D114" t="s">
        <v>6</v>
      </c>
      <c r="E114">
        <v>0</v>
      </c>
      <c r="F114">
        <v>0</v>
      </c>
      <c r="G114">
        <v>0</v>
      </c>
      <c r="H114">
        <v>1</v>
      </c>
      <c r="I114" t="s">
        <v>23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7.4</v>
      </c>
      <c r="AE114">
        <v>412</v>
      </c>
      <c r="AF114">
        <v>60.249999999999979</v>
      </c>
      <c r="AG114">
        <v>56.373033160159743</v>
      </c>
      <c r="AH114">
        <f>42.1124355613012*1</f>
        <v>42.112435561301197</v>
      </c>
      <c r="AI114">
        <f>2.39881251334211*1</f>
        <v>2.3988125133421101</v>
      </c>
      <c r="AJ114">
        <v>1</v>
      </c>
      <c r="AK114">
        <v>0</v>
      </c>
      <c r="AL114">
        <v>0</v>
      </c>
    </row>
    <row r="115" spans="1:38" hidden="1" x14ac:dyDescent="0.2">
      <c r="A115" t="s">
        <v>95</v>
      </c>
      <c r="B115" t="s">
        <v>285</v>
      </c>
      <c r="C115" t="s">
        <v>285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414</v>
      </c>
      <c r="AF115">
        <v>37.199999999999989</v>
      </c>
      <c r="AG115">
        <v>30.03497410179456</v>
      </c>
      <c r="AH115">
        <f>35.9441439719154*1</f>
        <v>35.944143971915402</v>
      </c>
      <c r="AI115">
        <f>2.03723894378645*1</f>
        <v>2.0372389437864502</v>
      </c>
      <c r="AJ115">
        <v>1</v>
      </c>
      <c r="AK115">
        <v>0</v>
      </c>
      <c r="AL115">
        <v>0</v>
      </c>
    </row>
    <row r="116" spans="1:38" hidden="1" x14ac:dyDescent="0.2">
      <c r="A116" t="s">
        <v>286</v>
      </c>
      <c r="B116" t="s">
        <v>287</v>
      </c>
      <c r="C116" t="s">
        <v>287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5.3</v>
      </c>
      <c r="AE116">
        <v>415</v>
      </c>
      <c r="AF116">
        <v>42.300000000000033</v>
      </c>
      <c r="AG116">
        <v>35.231668861756233</v>
      </c>
      <c r="AH116">
        <f>33.407300021818*1</f>
        <v>33.407300021818003</v>
      </c>
      <c r="AI116">
        <f>1.83383720207957*1</f>
        <v>1.8338372020795699</v>
      </c>
      <c r="AJ116">
        <v>1</v>
      </c>
      <c r="AK116">
        <v>0</v>
      </c>
      <c r="AL116">
        <v>0</v>
      </c>
    </row>
    <row r="117" spans="1:38" hidden="1" x14ac:dyDescent="0.2">
      <c r="A117" t="s">
        <v>288</v>
      </c>
      <c r="B117" t="s">
        <v>289</v>
      </c>
      <c r="C117" t="s">
        <v>290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7.5</v>
      </c>
      <c r="AE117">
        <v>418</v>
      </c>
      <c r="AF117">
        <v>72.225000000000023</v>
      </c>
      <c r="AG117">
        <v>83.492386871840125</v>
      </c>
      <c r="AH117">
        <f>77.1996482129028*1</f>
        <v>77.199648212902801</v>
      </c>
      <c r="AI117">
        <f>4.69697680180574*1</f>
        <v>4.6969768018057403</v>
      </c>
      <c r="AJ117">
        <v>1</v>
      </c>
      <c r="AK117">
        <v>0</v>
      </c>
      <c r="AL117">
        <v>0</v>
      </c>
    </row>
    <row r="118" spans="1:38" x14ac:dyDescent="0.2">
      <c r="A118" t="s">
        <v>138</v>
      </c>
      <c r="B118" t="s">
        <v>139</v>
      </c>
      <c r="C118" t="s">
        <v>139</v>
      </c>
      <c r="D118" t="s">
        <v>6</v>
      </c>
      <c r="E118">
        <v>0</v>
      </c>
      <c r="F118">
        <v>0</v>
      </c>
      <c r="G118">
        <v>0</v>
      </c>
      <c r="H118">
        <v>1</v>
      </c>
      <c r="I118" t="s">
        <v>15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6.2</v>
      </c>
      <c r="AE118">
        <v>134</v>
      </c>
      <c r="AF118">
        <v>82.027060294571186</v>
      </c>
      <c r="AG118">
        <v>49.274589353271182</v>
      </c>
      <c r="AH118">
        <f>91.4577998099866*1</f>
        <v>91.457799809986597</v>
      </c>
      <c r="AI118">
        <f>5.61386749550335*1</f>
        <v>5.6138674955033503</v>
      </c>
      <c r="AJ118">
        <v>1</v>
      </c>
      <c r="AK118">
        <v>1</v>
      </c>
      <c r="AL118">
        <v>1</v>
      </c>
    </row>
    <row r="119" spans="1:38" hidden="1" x14ac:dyDescent="0.2">
      <c r="A119" t="s">
        <v>294</v>
      </c>
      <c r="B119" t="s">
        <v>295</v>
      </c>
      <c r="C119" t="s">
        <v>295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6.2</v>
      </c>
      <c r="AE119">
        <v>420</v>
      </c>
      <c r="AF119">
        <v>53.912599298915993</v>
      </c>
      <c r="AG119">
        <v>53.490112664144696</v>
      </c>
      <c r="AH119">
        <f>42.4406788476436*1</f>
        <v>42.440678847643603</v>
      </c>
      <c r="AI119">
        <f>2.35155610021895*1</f>
        <v>2.35155610021895</v>
      </c>
      <c r="AJ119">
        <v>1</v>
      </c>
      <c r="AK119">
        <v>0</v>
      </c>
      <c r="AL119">
        <v>0</v>
      </c>
    </row>
    <row r="120" spans="1:38" hidden="1" x14ac:dyDescent="0.2">
      <c r="A120" t="s">
        <v>296</v>
      </c>
      <c r="B120" t="s">
        <v>297</v>
      </c>
      <c r="C120" t="s">
        <v>297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5.9</v>
      </c>
      <c r="AE120">
        <v>426</v>
      </c>
      <c r="AF120">
        <v>53.164943987430298</v>
      </c>
      <c r="AG120">
        <v>93.490856938017643</v>
      </c>
      <c r="AH120">
        <f>30.2566898160573*1</f>
        <v>30.2566898160573</v>
      </c>
      <c r="AI120">
        <f>1.76794227077341*1</f>
        <v>1.76794227077341</v>
      </c>
      <c r="AJ120">
        <v>1</v>
      </c>
      <c r="AK120">
        <v>0</v>
      </c>
      <c r="AL120">
        <v>0</v>
      </c>
    </row>
    <row r="121" spans="1:38" hidden="1" x14ac:dyDescent="0.2">
      <c r="A121" t="s">
        <v>298</v>
      </c>
      <c r="B121" t="s">
        <v>299</v>
      </c>
      <c r="C121" t="s">
        <v>299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6.3</v>
      </c>
      <c r="AE121">
        <v>427</v>
      </c>
      <c r="AF121">
        <v>57.600000000000037</v>
      </c>
      <c r="AG121">
        <v>56.90850229678589</v>
      </c>
      <c r="AH121">
        <f>30.159718963926*1</f>
        <v>30.159718963926</v>
      </c>
      <c r="AI121">
        <f>1.67283980951062*1</f>
        <v>1.6728398095106201</v>
      </c>
      <c r="AJ121">
        <v>1</v>
      </c>
      <c r="AK121">
        <v>0</v>
      </c>
      <c r="AL121">
        <v>0</v>
      </c>
    </row>
    <row r="122" spans="1:38" hidden="1" x14ac:dyDescent="0.2">
      <c r="A122" t="s">
        <v>300</v>
      </c>
      <c r="B122" t="s">
        <v>301</v>
      </c>
      <c r="C122" t="s">
        <v>300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6.4</v>
      </c>
      <c r="AE122">
        <v>429</v>
      </c>
      <c r="AF122">
        <v>67.064805657127835</v>
      </c>
      <c r="AG122">
        <v>80.441717712864644</v>
      </c>
      <c r="AH122">
        <f>35.4439734134758*1</f>
        <v>35.443973413475803</v>
      </c>
      <c r="AI122">
        <f>1.76952134529563*1</f>
        <v>1.76952134529563</v>
      </c>
      <c r="AJ122">
        <v>1</v>
      </c>
      <c r="AK122">
        <v>0</v>
      </c>
      <c r="AL122">
        <v>0</v>
      </c>
    </row>
    <row r="123" spans="1:38" hidden="1" x14ac:dyDescent="0.2">
      <c r="A123" t="s">
        <v>302</v>
      </c>
      <c r="B123" t="s">
        <v>303</v>
      </c>
      <c r="C123" t="s">
        <v>303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5.3</v>
      </c>
      <c r="AE123">
        <v>436</v>
      </c>
      <c r="AF123">
        <v>52.621286505137867</v>
      </c>
      <c r="AG123">
        <v>60.104918440282248</v>
      </c>
      <c r="AH123">
        <f>28.2891792589917*1</f>
        <v>28.289179258991702</v>
      </c>
      <c r="AI123">
        <f>1.69186935767253*1</f>
        <v>1.6918693576725301</v>
      </c>
      <c r="AJ123">
        <v>1</v>
      </c>
      <c r="AK123">
        <v>0</v>
      </c>
      <c r="AL123">
        <v>0</v>
      </c>
    </row>
    <row r="124" spans="1:38" hidden="1" x14ac:dyDescent="0.2">
      <c r="A124" t="s">
        <v>304</v>
      </c>
      <c r="B124" t="s">
        <v>305</v>
      </c>
      <c r="C124" t="s">
        <v>304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6.3</v>
      </c>
      <c r="AE124">
        <v>438</v>
      </c>
      <c r="AF124">
        <v>62.425025533868023</v>
      </c>
      <c r="AG124">
        <v>72.349625440262145</v>
      </c>
      <c r="AH124">
        <f>30.4600582255992*1</f>
        <v>30.460058225599202</v>
      </c>
      <c r="AI124">
        <f>2.11508009082998*1</f>
        <v>2.1150800908299798</v>
      </c>
      <c r="AJ124">
        <v>1</v>
      </c>
      <c r="AK124">
        <v>0</v>
      </c>
      <c r="AL124">
        <v>0</v>
      </c>
    </row>
    <row r="125" spans="1:38" hidden="1" x14ac:dyDescent="0.2">
      <c r="A125" t="s">
        <v>306</v>
      </c>
      <c r="B125" t="s">
        <v>307</v>
      </c>
      <c r="C125" t="s">
        <v>307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9.1999999999999993</v>
      </c>
      <c r="AE125">
        <v>444</v>
      </c>
      <c r="AF125">
        <v>93.309754778501969</v>
      </c>
      <c r="AG125">
        <v>78.478606733961058</v>
      </c>
      <c r="AH125">
        <f>57.3491002535605*1</f>
        <v>57.349100253560501</v>
      </c>
      <c r="AI125">
        <f>3.50960423679729*1</f>
        <v>3.5096042367972902</v>
      </c>
      <c r="AJ125">
        <v>1</v>
      </c>
      <c r="AK125">
        <v>0</v>
      </c>
      <c r="AL125">
        <v>0</v>
      </c>
    </row>
    <row r="126" spans="1:38" hidden="1" x14ac:dyDescent="0.2">
      <c r="A126" t="s">
        <v>308</v>
      </c>
      <c r="B126" t="s">
        <v>309</v>
      </c>
      <c r="C126" t="s">
        <v>309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24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</v>
      </c>
      <c r="AE126">
        <v>446</v>
      </c>
      <c r="AF126">
        <v>64.021276595744638</v>
      </c>
      <c r="AG126">
        <v>51.522374256159068</v>
      </c>
      <c r="AH126">
        <f>47.808568987288*1</f>
        <v>47.808568987287998</v>
      </c>
      <c r="AI126">
        <f>2.98687682059907*1</f>
        <v>2.9868768205990701</v>
      </c>
      <c r="AJ126">
        <v>1</v>
      </c>
      <c r="AK126">
        <v>0</v>
      </c>
      <c r="AL126">
        <v>0</v>
      </c>
    </row>
    <row r="127" spans="1:38" hidden="1" x14ac:dyDescent="0.2">
      <c r="A127" t="s">
        <v>310</v>
      </c>
      <c r="B127" t="s">
        <v>311</v>
      </c>
      <c r="C127" t="s">
        <v>311</v>
      </c>
      <c r="D127" t="s">
        <v>6</v>
      </c>
      <c r="E127">
        <v>0</v>
      </c>
      <c r="F127">
        <v>0</v>
      </c>
      <c r="G127">
        <v>0</v>
      </c>
      <c r="H127">
        <v>1</v>
      </c>
      <c r="I127" t="s">
        <v>24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14.8</v>
      </c>
      <c r="AE127">
        <v>447</v>
      </c>
      <c r="AF127">
        <v>124.8765432098766</v>
      </c>
      <c r="AG127">
        <v>189.11256258807299</v>
      </c>
      <c r="AH127">
        <f>54.5874773025167*1</f>
        <v>54.587477302516703</v>
      </c>
      <c r="AI127">
        <f>3.20977716813034*1</f>
        <v>3.2097771681303402</v>
      </c>
      <c r="AJ127">
        <v>1</v>
      </c>
      <c r="AK127">
        <v>0</v>
      </c>
      <c r="AL127">
        <v>0</v>
      </c>
    </row>
    <row r="128" spans="1:38" hidden="1" x14ac:dyDescent="0.2">
      <c r="A128" t="s">
        <v>312</v>
      </c>
      <c r="B128" t="s">
        <v>313</v>
      </c>
      <c r="C128" t="s">
        <v>313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24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5.4</v>
      </c>
      <c r="AE128">
        <v>450</v>
      </c>
      <c r="AF128">
        <v>42.130434782608702</v>
      </c>
      <c r="AG128">
        <v>50.57023128691803</v>
      </c>
      <c r="AH128">
        <f>52.9268358040761*1</f>
        <v>52.926835804076099</v>
      </c>
      <c r="AI128">
        <f>3.18544990339327*1</f>
        <v>3.1854499033932702</v>
      </c>
      <c r="AJ128">
        <v>1</v>
      </c>
      <c r="AK128">
        <v>0</v>
      </c>
      <c r="AL128">
        <v>0</v>
      </c>
    </row>
    <row r="129" spans="1:38" hidden="1" x14ac:dyDescent="0.2">
      <c r="A129" t="s">
        <v>314</v>
      </c>
      <c r="B129" t="s">
        <v>97</v>
      </c>
      <c r="C129" t="s">
        <v>97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4.5999999999999996</v>
      </c>
      <c r="AE129">
        <v>451</v>
      </c>
      <c r="AF129">
        <v>43.765957446808493</v>
      </c>
      <c r="AG129">
        <v>47.598201219706638</v>
      </c>
      <c r="AH129">
        <f>19.217819532453*1</f>
        <v>19.217819532452999</v>
      </c>
      <c r="AI129">
        <f>1.06997278733506*1</f>
        <v>1.06997278733506</v>
      </c>
      <c r="AJ129">
        <v>1</v>
      </c>
      <c r="AK129">
        <v>0</v>
      </c>
      <c r="AL129">
        <v>0</v>
      </c>
    </row>
    <row r="130" spans="1:38" hidden="1" x14ac:dyDescent="0.2">
      <c r="A130" t="s">
        <v>315</v>
      </c>
      <c r="B130" t="s">
        <v>316</v>
      </c>
      <c r="C130" t="s">
        <v>316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24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6.4</v>
      </c>
      <c r="AE130">
        <v>461</v>
      </c>
      <c r="AF130">
        <v>59.156742984583197</v>
      </c>
      <c r="AG130">
        <v>56.243650814913678</v>
      </c>
      <c r="AH130">
        <f>18.389066315716*1</f>
        <v>18.389066315716001</v>
      </c>
      <c r="AI130">
        <f>0.812565985620843*1</f>
        <v>0.81256598562084303</v>
      </c>
      <c r="AJ130">
        <v>1</v>
      </c>
      <c r="AK130">
        <v>0</v>
      </c>
      <c r="AL130">
        <v>0</v>
      </c>
    </row>
    <row r="131" spans="1:38" hidden="1" x14ac:dyDescent="0.2">
      <c r="A131" t="s">
        <v>317</v>
      </c>
      <c r="B131" t="s">
        <v>318</v>
      </c>
      <c r="C131" t="s">
        <v>317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5.5</v>
      </c>
      <c r="AE131">
        <v>469</v>
      </c>
      <c r="AF131">
        <v>0</v>
      </c>
      <c r="AG131">
        <v>0</v>
      </c>
      <c r="AH131">
        <f>0*1</f>
        <v>0</v>
      </c>
      <c r="AI131">
        <f>0*1</f>
        <v>0</v>
      </c>
      <c r="AJ131">
        <v>1</v>
      </c>
      <c r="AK131">
        <v>0</v>
      </c>
      <c r="AL131">
        <v>0</v>
      </c>
    </row>
    <row r="132" spans="1:38" hidden="1" x14ac:dyDescent="0.2">
      <c r="A132" t="s">
        <v>319</v>
      </c>
      <c r="B132" t="s">
        <v>320</v>
      </c>
      <c r="C132" t="s">
        <v>321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8.4</v>
      </c>
      <c r="AE132">
        <v>471</v>
      </c>
      <c r="AF132">
        <v>77.965517241379317</v>
      </c>
      <c r="AG132">
        <v>66.232621478238258</v>
      </c>
      <c r="AH132">
        <f>61.0532800831746*1</f>
        <v>61.053280083174599</v>
      </c>
      <c r="AI132">
        <f>3.56747014280287*1</f>
        <v>3.5674701428028701</v>
      </c>
      <c r="AJ132">
        <v>1</v>
      </c>
      <c r="AK132">
        <v>0</v>
      </c>
      <c r="AL132">
        <v>0</v>
      </c>
    </row>
    <row r="133" spans="1:38" hidden="1" x14ac:dyDescent="0.2">
      <c r="A133" t="s">
        <v>322</v>
      </c>
      <c r="B133" t="s">
        <v>323</v>
      </c>
      <c r="C133" t="s">
        <v>324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</v>
      </c>
      <c r="AE133">
        <v>474</v>
      </c>
      <c r="AF133">
        <v>55.655518415392422</v>
      </c>
      <c r="AG133">
        <v>66.358019137825664</v>
      </c>
      <c r="AH133">
        <f>28.2000423195313*1</f>
        <v>28.200042319531299</v>
      </c>
      <c r="AI133">
        <f>1.47621336524262*1</f>
        <v>1.4762133652426199</v>
      </c>
      <c r="AJ133">
        <v>1</v>
      </c>
      <c r="AK133">
        <v>0</v>
      </c>
      <c r="AL133">
        <v>0</v>
      </c>
    </row>
    <row r="134" spans="1:38" hidden="1" x14ac:dyDescent="0.2">
      <c r="A134" t="s">
        <v>325</v>
      </c>
      <c r="B134" t="s">
        <v>326</v>
      </c>
      <c r="C134" t="s">
        <v>326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6</v>
      </c>
      <c r="AE134">
        <v>477</v>
      </c>
      <c r="AF134">
        <v>42.921638589325909</v>
      </c>
      <c r="AG134">
        <v>58.337808199533121</v>
      </c>
      <c r="AH134">
        <f>28.8272137144084*1</f>
        <v>28.827213714408401</v>
      </c>
      <c r="AI134">
        <f>1.34177446119621*1</f>
        <v>1.3417744611962099</v>
      </c>
      <c r="AJ134">
        <v>1</v>
      </c>
      <c r="AK134">
        <v>0</v>
      </c>
      <c r="AL134">
        <v>0</v>
      </c>
    </row>
    <row r="135" spans="1:38" hidden="1" x14ac:dyDescent="0.2">
      <c r="A135" t="s">
        <v>327</v>
      </c>
      <c r="B135" t="s">
        <v>328</v>
      </c>
      <c r="C135" t="s">
        <v>328</v>
      </c>
      <c r="D135" t="s">
        <v>6</v>
      </c>
      <c r="E135">
        <v>0</v>
      </c>
      <c r="F135">
        <v>0</v>
      </c>
      <c r="G135">
        <v>0</v>
      </c>
      <c r="H135">
        <v>1</v>
      </c>
      <c r="I135" t="s">
        <v>25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6.9</v>
      </c>
      <c r="AE135">
        <v>480</v>
      </c>
      <c r="AF135">
        <v>54.745801247003428</v>
      </c>
      <c r="AG135">
        <v>76.858858518378725</v>
      </c>
      <c r="AH135">
        <f>27.1135005036252*1</f>
        <v>27.1135005036252</v>
      </c>
      <c r="AI135">
        <f>1.38961210966847*1</f>
        <v>1.3896121096684699</v>
      </c>
      <c r="AJ135">
        <v>1</v>
      </c>
      <c r="AK135">
        <v>0</v>
      </c>
      <c r="AL135">
        <v>0</v>
      </c>
    </row>
    <row r="136" spans="1:38" hidden="1" x14ac:dyDescent="0.2">
      <c r="A136" t="s">
        <v>329</v>
      </c>
      <c r="B136" t="s">
        <v>330</v>
      </c>
      <c r="C136" t="s">
        <v>330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5.2</v>
      </c>
      <c r="AE136">
        <v>483</v>
      </c>
      <c r="AF136">
        <v>0</v>
      </c>
      <c r="AG136">
        <v>0</v>
      </c>
      <c r="AH136">
        <f>0*1</f>
        <v>0</v>
      </c>
      <c r="AI136">
        <f>0*1</f>
        <v>0</v>
      </c>
      <c r="AJ136">
        <v>1</v>
      </c>
      <c r="AK136">
        <v>0</v>
      </c>
      <c r="AL136">
        <v>0</v>
      </c>
    </row>
    <row r="137" spans="1:38" hidden="1" x14ac:dyDescent="0.2">
      <c r="A137" t="s">
        <v>331</v>
      </c>
      <c r="B137" t="s">
        <v>332</v>
      </c>
      <c r="C137" t="s">
        <v>82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4.4000000000000004</v>
      </c>
      <c r="AE137">
        <v>485</v>
      </c>
      <c r="AF137">
        <v>45.547169811320742</v>
      </c>
      <c r="AG137">
        <v>45.769600794051428</v>
      </c>
      <c r="AH137">
        <f>33.0300881814419*1</f>
        <v>33.030088181441897</v>
      </c>
      <c r="AI137">
        <f>1.89745567009605*1</f>
        <v>1.8974556700960501</v>
      </c>
      <c r="AJ137">
        <v>1</v>
      </c>
      <c r="AK137">
        <v>0</v>
      </c>
      <c r="AL137">
        <v>0</v>
      </c>
    </row>
    <row r="138" spans="1:38" hidden="1" x14ac:dyDescent="0.2">
      <c r="A138" t="s">
        <v>333</v>
      </c>
      <c r="B138" t="s">
        <v>94</v>
      </c>
      <c r="C138" t="s">
        <v>94</v>
      </c>
      <c r="D138" t="s">
        <v>3</v>
      </c>
      <c r="E138">
        <v>1</v>
      </c>
      <c r="F138">
        <v>0</v>
      </c>
      <c r="G138">
        <v>0</v>
      </c>
      <c r="H138">
        <v>0</v>
      </c>
      <c r="I138" t="s">
        <v>25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5.0999999999999996</v>
      </c>
      <c r="AE138">
        <v>488</v>
      </c>
      <c r="AF138">
        <v>60.08620689655173</v>
      </c>
      <c r="AG138">
        <v>58.782218013670629</v>
      </c>
      <c r="AH138">
        <f>45.1077842822087*1</f>
        <v>45.107784282208698</v>
      </c>
      <c r="AI138">
        <f>2.57958750153221*1</f>
        <v>2.5795875015322101</v>
      </c>
      <c r="AJ138">
        <v>1</v>
      </c>
      <c r="AK138">
        <v>0</v>
      </c>
      <c r="AL138">
        <v>0</v>
      </c>
    </row>
    <row r="139" spans="1:38" hidden="1" x14ac:dyDescent="0.2">
      <c r="A139" t="s">
        <v>113</v>
      </c>
      <c r="B139" t="s">
        <v>334</v>
      </c>
      <c r="C139" t="s">
        <v>334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6.6</v>
      </c>
      <c r="AE139">
        <v>490</v>
      </c>
      <c r="AF139">
        <v>74.213197969543089</v>
      </c>
      <c r="AG139">
        <v>80.36688591776111</v>
      </c>
      <c r="AH139">
        <f>32.1602825400939*1</f>
        <v>32.160282540093903</v>
      </c>
      <c r="AI139">
        <f>1.84242558009116*1</f>
        <v>1.84242558009116</v>
      </c>
      <c r="AJ139">
        <v>1</v>
      </c>
      <c r="AK139">
        <v>0</v>
      </c>
      <c r="AL139">
        <v>0</v>
      </c>
    </row>
    <row r="140" spans="1:38" hidden="1" x14ac:dyDescent="0.2">
      <c r="A140" t="s">
        <v>335</v>
      </c>
      <c r="B140" t="s">
        <v>336</v>
      </c>
      <c r="C140" t="s">
        <v>336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</v>
      </c>
      <c r="AE140">
        <v>505</v>
      </c>
      <c r="AF140">
        <v>64.657303370786494</v>
      </c>
      <c r="AG140">
        <v>66.345137228287697</v>
      </c>
      <c r="AH140">
        <f>34.0884404534974*1</f>
        <v>34.088440453497398</v>
      </c>
      <c r="AI140">
        <f>1.91848157313887*1</f>
        <v>1.91848157313887</v>
      </c>
      <c r="AJ140">
        <v>1</v>
      </c>
      <c r="AK140">
        <v>0</v>
      </c>
      <c r="AL140">
        <v>0</v>
      </c>
    </row>
    <row r="141" spans="1:38" hidden="1" x14ac:dyDescent="0.2">
      <c r="A141" t="s">
        <v>319</v>
      </c>
      <c r="B141" t="s">
        <v>337</v>
      </c>
      <c r="C141" t="s">
        <v>338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6.1</v>
      </c>
      <c r="AE141">
        <v>507</v>
      </c>
      <c r="AF141">
        <v>63.792079207920843</v>
      </c>
      <c r="AG141">
        <v>70.389288853489944</v>
      </c>
      <c r="AH141">
        <f>49.1697037024258*1</f>
        <v>49.169703702425799</v>
      </c>
      <c r="AI141">
        <f>2.97097310787425*1</f>
        <v>2.9709731078742498</v>
      </c>
      <c r="AJ141">
        <v>1</v>
      </c>
      <c r="AK141">
        <v>0</v>
      </c>
      <c r="AL141">
        <v>0</v>
      </c>
    </row>
    <row r="142" spans="1:38" hidden="1" x14ac:dyDescent="0.2">
      <c r="A142" t="s">
        <v>339</v>
      </c>
      <c r="B142" t="s">
        <v>340</v>
      </c>
      <c r="C142" t="s">
        <v>340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4.4000000000000004</v>
      </c>
      <c r="AE142">
        <v>508</v>
      </c>
      <c r="AF142">
        <v>51.830452352378558</v>
      </c>
      <c r="AG142">
        <v>52.500950390628986</v>
      </c>
      <c r="AH142">
        <f>41.4960189790757*1</f>
        <v>41.4960189790757</v>
      </c>
      <c r="AI142">
        <f>2.45395964988992*1</f>
        <v>2.4539596498899199</v>
      </c>
      <c r="AJ142">
        <v>1</v>
      </c>
      <c r="AK142">
        <v>0</v>
      </c>
      <c r="AL142">
        <v>0</v>
      </c>
    </row>
    <row r="143" spans="1:38" hidden="1" x14ac:dyDescent="0.2">
      <c r="A143" t="s">
        <v>341</v>
      </c>
      <c r="B143" t="s">
        <v>342</v>
      </c>
      <c r="C143" t="s">
        <v>342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7.7</v>
      </c>
      <c r="AE143">
        <v>510</v>
      </c>
      <c r="AF143">
        <v>123.636998648193</v>
      </c>
      <c r="AG143">
        <v>45.49671808446633</v>
      </c>
      <c r="AH143">
        <f>62.0872668301783*1</f>
        <v>62.087266830178301</v>
      </c>
      <c r="AI143">
        <f>3.81233854978789*1</f>
        <v>3.8123385497878899</v>
      </c>
      <c r="AJ143">
        <v>1</v>
      </c>
      <c r="AK143">
        <v>0</v>
      </c>
      <c r="AL143">
        <v>0</v>
      </c>
    </row>
    <row r="144" spans="1:38" x14ac:dyDescent="0.2">
      <c r="A144" t="s">
        <v>97</v>
      </c>
      <c r="B144" t="s">
        <v>343</v>
      </c>
      <c r="C144" t="s">
        <v>343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</v>
      </c>
      <c r="AE144">
        <v>511</v>
      </c>
      <c r="AF144">
        <v>93.03114459538736</v>
      </c>
      <c r="AG144">
        <v>47.435998625073623</v>
      </c>
      <c r="AH144">
        <f>89.8211338649815*1</f>
        <v>89.821133864981505</v>
      </c>
      <c r="AI144">
        <f>5.22408603533453*1</f>
        <v>5.2240860353345298</v>
      </c>
      <c r="AJ144">
        <v>1</v>
      </c>
      <c r="AK144">
        <v>1</v>
      </c>
      <c r="AL144">
        <v>1</v>
      </c>
    </row>
    <row r="145" spans="1:38" x14ac:dyDescent="0.2">
      <c r="A145" t="s">
        <v>438</v>
      </c>
      <c r="B145" t="s">
        <v>439</v>
      </c>
      <c r="C145" t="s">
        <v>440</v>
      </c>
      <c r="D145" t="s">
        <v>6</v>
      </c>
      <c r="E145">
        <v>0</v>
      </c>
      <c r="F145">
        <v>0</v>
      </c>
      <c r="G145">
        <v>0</v>
      </c>
      <c r="H145">
        <v>1</v>
      </c>
      <c r="I145" t="s">
        <v>31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7</v>
      </c>
      <c r="AE145">
        <v>693</v>
      </c>
      <c r="AF145">
        <v>91.752273810749273</v>
      </c>
      <c r="AG145">
        <v>61.462971369919458</v>
      </c>
      <c r="AH145">
        <f>83.5098275564951*1</f>
        <v>83.509827556495097</v>
      </c>
      <c r="AI145">
        <f>5.19526368293995*1</f>
        <v>5.1952636829399497</v>
      </c>
      <c r="AJ145">
        <v>1</v>
      </c>
      <c r="AK145">
        <v>1</v>
      </c>
      <c r="AL145">
        <v>1</v>
      </c>
    </row>
    <row r="146" spans="1:38" x14ac:dyDescent="0.2">
      <c r="A146" t="s">
        <v>364</v>
      </c>
      <c r="B146" t="s">
        <v>365</v>
      </c>
      <c r="C146" t="s">
        <v>365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5.3</v>
      </c>
      <c r="AE146">
        <v>537</v>
      </c>
      <c r="AF146">
        <v>64.18367346938777</v>
      </c>
      <c r="AG146">
        <v>56.990320384583143</v>
      </c>
      <c r="AH146">
        <f>79.1073052836747*1</f>
        <v>79.107305283674705</v>
      </c>
      <c r="AI146">
        <f>4.7710923050776*1</f>
        <v>4.7710923050776</v>
      </c>
      <c r="AJ146">
        <v>1</v>
      </c>
      <c r="AK146">
        <v>1</v>
      </c>
      <c r="AL146">
        <v>1</v>
      </c>
    </row>
    <row r="147" spans="1:38" hidden="1" x14ac:dyDescent="0.2">
      <c r="A147" t="s">
        <v>349</v>
      </c>
      <c r="B147" t="s">
        <v>350</v>
      </c>
      <c r="C147" t="s">
        <v>351</v>
      </c>
      <c r="D147" t="s">
        <v>5</v>
      </c>
      <c r="E147">
        <v>0</v>
      </c>
      <c r="F147">
        <v>0</v>
      </c>
      <c r="G147">
        <v>1</v>
      </c>
      <c r="H147">
        <v>0</v>
      </c>
      <c r="I147" t="s">
        <v>26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6</v>
      </c>
      <c r="AE147">
        <v>515</v>
      </c>
      <c r="AF147">
        <v>52.575393119237653</v>
      </c>
      <c r="AG147">
        <v>42.717831780330883</v>
      </c>
      <c r="AH147">
        <f>50.3722974190766*1</f>
        <v>50.372297419076602</v>
      </c>
      <c r="AI147">
        <f>2.72403518430858*1</f>
        <v>2.7240351843085802</v>
      </c>
      <c r="AJ147">
        <v>1</v>
      </c>
      <c r="AK147">
        <v>0</v>
      </c>
      <c r="AL147">
        <v>0</v>
      </c>
    </row>
    <row r="148" spans="1:38" hidden="1" x14ac:dyDescent="0.2">
      <c r="A148" t="s">
        <v>352</v>
      </c>
      <c r="B148" t="s">
        <v>353</v>
      </c>
      <c r="C148" t="s">
        <v>353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4.5</v>
      </c>
      <c r="AE148">
        <v>521</v>
      </c>
      <c r="AF148">
        <v>39.710138368985888</v>
      </c>
      <c r="AG148">
        <v>49.446459513676459</v>
      </c>
      <c r="AH148">
        <f>30.8327093299421*1</f>
        <v>30.832709329942102</v>
      </c>
      <c r="AI148">
        <f>1.74893357333326*1</f>
        <v>1.74893357333326</v>
      </c>
      <c r="AJ148">
        <v>1</v>
      </c>
      <c r="AK148">
        <v>0</v>
      </c>
      <c r="AL148">
        <v>0</v>
      </c>
    </row>
    <row r="149" spans="1:38" hidden="1" x14ac:dyDescent="0.2">
      <c r="A149" t="s">
        <v>354</v>
      </c>
      <c r="B149" t="s">
        <v>355</v>
      </c>
      <c r="C149" t="s">
        <v>355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26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4.5999999999999996</v>
      </c>
      <c r="AE149">
        <v>522</v>
      </c>
      <c r="AF149">
        <v>39.843750000000007</v>
      </c>
      <c r="AG149">
        <v>39.991635012769947</v>
      </c>
      <c r="AH149">
        <f>21.8554641638031*1</f>
        <v>21.855464163803099</v>
      </c>
      <c r="AI149">
        <f>1.28638730079618*1</f>
        <v>1.2863873007961799</v>
      </c>
      <c r="AJ149">
        <v>1</v>
      </c>
      <c r="AK149">
        <v>0</v>
      </c>
      <c r="AL149">
        <v>0</v>
      </c>
    </row>
    <row r="150" spans="1:38" hidden="1" x14ac:dyDescent="0.2">
      <c r="A150" t="s">
        <v>356</v>
      </c>
      <c r="B150" t="s">
        <v>357</v>
      </c>
      <c r="C150" t="s">
        <v>357</v>
      </c>
      <c r="D150" t="s">
        <v>3</v>
      </c>
      <c r="E150">
        <v>1</v>
      </c>
      <c r="F150">
        <v>0</v>
      </c>
      <c r="G150">
        <v>0</v>
      </c>
      <c r="H150">
        <v>0</v>
      </c>
      <c r="I150" t="s">
        <v>26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4.9000000000000004</v>
      </c>
      <c r="AE150">
        <v>525</v>
      </c>
      <c r="AF150">
        <v>68.524691358024725</v>
      </c>
      <c r="AG150">
        <v>75.878002441824435</v>
      </c>
      <c r="AH150">
        <f>36.6830226672584*1</f>
        <v>36.683022667258399</v>
      </c>
      <c r="AI150">
        <f>2.13744447019983*1</f>
        <v>2.1374444701998301</v>
      </c>
      <c r="AJ150">
        <v>1</v>
      </c>
      <c r="AK150">
        <v>0</v>
      </c>
      <c r="AL150">
        <v>0</v>
      </c>
    </row>
    <row r="151" spans="1:38" hidden="1" x14ac:dyDescent="0.2">
      <c r="A151" t="s">
        <v>358</v>
      </c>
      <c r="B151" t="s">
        <v>359</v>
      </c>
      <c r="C151" t="s">
        <v>359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26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5.4</v>
      </c>
      <c r="AE151">
        <v>527</v>
      </c>
      <c r="AF151">
        <v>59.434820562856643</v>
      </c>
      <c r="AG151">
        <v>51.780063415048012</v>
      </c>
      <c r="AH151">
        <f>33.5545194954702*1</f>
        <v>33.554519495470203</v>
      </c>
      <c r="AI151">
        <f>1.69834025967636*1</f>
        <v>1.6983402596763599</v>
      </c>
      <c r="AJ151">
        <v>1</v>
      </c>
      <c r="AK151">
        <v>0</v>
      </c>
      <c r="AL151">
        <v>0</v>
      </c>
    </row>
    <row r="152" spans="1:38" hidden="1" x14ac:dyDescent="0.2">
      <c r="A152" t="s">
        <v>360</v>
      </c>
      <c r="B152" t="s">
        <v>361</v>
      </c>
      <c r="C152" t="s">
        <v>361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5.5</v>
      </c>
      <c r="AE152">
        <v>529</v>
      </c>
      <c r="AF152">
        <v>0</v>
      </c>
      <c r="AG152">
        <v>0</v>
      </c>
      <c r="AH152">
        <f>0*1</f>
        <v>0</v>
      </c>
      <c r="AI152">
        <f>0*1</f>
        <v>0</v>
      </c>
      <c r="AJ152">
        <v>1</v>
      </c>
      <c r="AK152">
        <v>0</v>
      </c>
      <c r="AL152">
        <v>0</v>
      </c>
    </row>
    <row r="153" spans="1:38" hidden="1" x14ac:dyDescent="0.2">
      <c r="A153" t="s">
        <v>362</v>
      </c>
      <c r="B153" t="s">
        <v>363</v>
      </c>
      <c r="C153" t="s">
        <v>363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4.7</v>
      </c>
      <c r="AE153">
        <v>532</v>
      </c>
      <c r="AF153">
        <v>17</v>
      </c>
      <c r="AG153">
        <v>68.320186881398413</v>
      </c>
      <c r="AH153">
        <f>5.97424314174295*1</f>
        <v>5.9742431417429502</v>
      </c>
      <c r="AI153">
        <f>0.273141024131225*1</f>
        <v>0.27314102413122499</v>
      </c>
      <c r="AJ153">
        <v>1</v>
      </c>
      <c r="AK153">
        <v>0</v>
      </c>
      <c r="AL153">
        <v>0</v>
      </c>
    </row>
    <row r="154" spans="1:38" x14ac:dyDescent="0.2">
      <c r="A154" t="s">
        <v>119</v>
      </c>
      <c r="B154" t="s">
        <v>120</v>
      </c>
      <c r="C154" t="s">
        <v>120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15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5</v>
      </c>
      <c r="AE154">
        <v>113</v>
      </c>
      <c r="AF154">
        <v>61.907663848604358</v>
      </c>
      <c r="AG154">
        <v>28.46443832112563</v>
      </c>
      <c r="AH154">
        <f>82.2410545907425*1</f>
        <v>82.241054590742493</v>
      </c>
      <c r="AI154">
        <f>4.11362397548517*1</f>
        <v>4.1136239754851696</v>
      </c>
      <c r="AJ154">
        <v>1</v>
      </c>
      <c r="AK154">
        <v>0</v>
      </c>
      <c r="AL154">
        <v>1</v>
      </c>
    </row>
    <row r="155" spans="1:38" hidden="1" x14ac:dyDescent="0.2">
      <c r="A155" t="s">
        <v>366</v>
      </c>
      <c r="B155" t="s">
        <v>367</v>
      </c>
      <c r="C155" t="s">
        <v>367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5</v>
      </c>
      <c r="AE155">
        <v>538</v>
      </c>
      <c r="AF155">
        <v>34</v>
      </c>
      <c r="AG155">
        <v>24.835543082087479</v>
      </c>
      <c r="AH155">
        <f>25.7721233565807*1</f>
        <v>25.7721233565807</v>
      </c>
      <c r="AI155">
        <f>1.46113443040828*1</f>
        <v>1.4611344304082801</v>
      </c>
      <c r="AJ155">
        <v>1</v>
      </c>
      <c r="AK155">
        <v>0</v>
      </c>
      <c r="AL155">
        <v>0</v>
      </c>
    </row>
    <row r="156" spans="1:38" hidden="1" x14ac:dyDescent="0.2">
      <c r="A156" t="s">
        <v>368</v>
      </c>
      <c r="B156" t="s">
        <v>369</v>
      </c>
      <c r="C156" t="s">
        <v>369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5.5</v>
      </c>
      <c r="AE156">
        <v>539</v>
      </c>
      <c r="AF156">
        <v>19.82513458379956</v>
      </c>
      <c r="AG156">
        <v>60.716810928517518</v>
      </c>
      <c r="AH156">
        <f>5.40785311814604*1</f>
        <v>5.4078531181460399</v>
      </c>
      <c r="AI156">
        <f>0.18637344247109*1</f>
        <v>0.18637344247109</v>
      </c>
      <c r="AJ156">
        <v>1</v>
      </c>
      <c r="AK156">
        <v>0</v>
      </c>
      <c r="AL156">
        <v>0</v>
      </c>
    </row>
    <row r="157" spans="1:38" hidden="1" x14ac:dyDescent="0.2">
      <c r="A157" t="s">
        <v>370</v>
      </c>
      <c r="B157" t="s">
        <v>371</v>
      </c>
      <c r="C157" t="s">
        <v>372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4.8</v>
      </c>
      <c r="AE157">
        <v>546</v>
      </c>
      <c r="AF157">
        <v>21.096622584167871</v>
      </c>
      <c r="AG157">
        <v>47.942823602161774</v>
      </c>
      <c r="AH157">
        <f>6.31515642798164*1</f>
        <v>6.3151564279816403</v>
      </c>
      <c r="AI157">
        <f>0.355026653669306*1</f>
        <v>0.35502665366930602</v>
      </c>
      <c r="AJ157">
        <v>1</v>
      </c>
      <c r="AK157">
        <v>0</v>
      </c>
      <c r="AL157">
        <v>0</v>
      </c>
    </row>
    <row r="158" spans="1:38" hidden="1" x14ac:dyDescent="0.2">
      <c r="A158" t="s">
        <v>341</v>
      </c>
      <c r="B158" t="s">
        <v>373</v>
      </c>
      <c r="C158" t="s">
        <v>373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5.3</v>
      </c>
      <c r="AE158">
        <v>547</v>
      </c>
      <c r="AF158">
        <v>54.529309708960852</v>
      </c>
      <c r="AG158">
        <v>44.857152231582234</v>
      </c>
      <c r="AH158">
        <f>52.842726069034*1</f>
        <v>52.842726069034001</v>
      </c>
      <c r="AI158">
        <f>3.97346625936806*1</f>
        <v>3.9734662593680601</v>
      </c>
      <c r="AJ158">
        <v>1</v>
      </c>
      <c r="AK158">
        <v>0</v>
      </c>
      <c r="AL158">
        <v>0</v>
      </c>
    </row>
    <row r="159" spans="1:38" hidden="1" x14ac:dyDescent="0.2">
      <c r="A159" t="s">
        <v>87</v>
      </c>
      <c r="B159" t="s">
        <v>374</v>
      </c>
      <c r="C159" t="s">
        <v>374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27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6.4</v>
      </c>
      <c r="AE159">
        <v>548</v>
      </c>
      <c r="AF159">
        <v>77.850290920899198</v>
      </c>
      <c r="AG159">
        <v>42.661546409985952</v>
      </c>
      <c r="AH159">
        <f>71.2795370766519*1</f>
        <v>71.279537076651906</v>
      </c>
      <c r="AI159">
        <f>4.11164982813738*1</f>
        <v>4.1116498281373799</v>
      </c>
      <c r="AJ159">
        <v>1</v>
      </c>
      <c r="AK159">
        <v>0</v>
      </c>
      <c r="AL159">
        <v>0</v>
      </c>
    </row>
    <row r="160" spans="1:38" hidden="1" x14ac:dyDescent="0.2">
      <c r="A160" t="s">
        <v>375</v>
      </c>
      <c r="B160" t="s">
        <v>376</v>
      </c>
      <c r="C160" t="s">
        <v>376</v>
      </c>
      <c r="D160" t="s">
        <v>5</v>
      </c>
      <c r="E160">
        <v>0</v>
      </c>
      <c r="F160">
        <v>0</v>
      </c>
      <c r="G160">
        <v>1</v>
      </c>
      <c r="H160">
        <v>0</v>
      </c>
      <c r="I160" t="s">
        <v>27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5.2</v>
      </c>
      <c r="AE160">
        <v>549</v>
      </c>
      <c r="AF160">
        <v>58.655678352715341</v>
      </c>
      <c r="AG160">
        <v>45.244830094355393</v>
      </c>
      <c r="AH160">
        <f>51.6217983206243*1</f>
        <v>51.621798320624301</v>
      </c>
      <c r="AI160">
        <f>2.97792740091961*1</f>
        <v>2.9779274009196102</v>
      </c>
      <c r="AJ160">
        <v>1</v>
      </c>
      <c r="AK160">
        <v>0</v>
      </c>
      <c r="AL160">
        <v>0</v>
      </c>
    </row>
    <row r="161" spans="1:38" x14ac:dyDescent="0.2">
      <c r="A161" t="s">
        <v>225</v>
      </c>
      <c r="B161" t="s">
        <v>226</v>
      </c>
      <c r="C161" t="s">
        <v>226</v>
      </c>
      <c r="D161" t="s">
        <v>3</v>
      </c>
      <c r="E161">
        <v>1</v>
      </c>
      <c r="F161">
        <v>0</v>
      </c>
      <c r="G161">
        <v>0</v>
      </c>
      <c r="H161">
        <v>0</v>
      </c>
      <c r="I161" t="s">
        <v>19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5</v>
      </c>
      <c r="AE161">
        <v>288</v>
      </c>
      <c r="AF161">
        <v>66.026200873362441</v>
      </c>
      <c r="AG161">
        <v>64.691468044102663</v>
      </c>
      <c r="AH161">
        <f>54.8063580215161*1</f>
        <v>54.806358021516097</v>
      </c>
      <c r="AI161">
        <f>3.11069959175326*1</f>
        <v>3.1106995917532601</v>
      </c>
      <c r="AJ161">
        <v>1</v>
      </c>
      <c r="AK161">
        <v>1</v>
      </c>
      <c r="AL161">
        <v>1</v>
      </c>
    </row>
    <row r="162" spans="1:38" hidden="1" x14ac:dyDescent="0.2">
      <c r="A162" t="s">
        <v>379</v>
      </c>
      <c r="B162" t="s">
        <v>380</v>
      </c>
      <c r="C162" t="s">
        <v>381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27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4.3</v>
      </c>
      <c r="AE162">
        <v>552</v>
      </c>
      <c r="AF162">
        <v>33.804597701149397</v>
      </c>
      <c r="AG162">
        <v>24.652841931875699</v>
      </c>
      <c r="AH162">
        <f>29.8218846189027*1</f>
        <v>29.8218846189027</v>
      </c>
      <c r="AI162">
        <f>1.6879478070042*1</f>
        <v>1.6879478070042</v>
      </c>
      <c r="AJ162">
        <v>1</v>
      </c>
      <c r="AK162">
        <v>0</v>
      </c>
      <c r="AL162">
        <v>0</v>
      </c>
    </row>
    <row r="163" spans="1:38" x14ac:dyDescent="0.2">
      <c r="A163" t="s">
        <v>407</v>
      </c>
      <c r="B163" t="s">
        <v>408</v>
      </c>
      <c r="C163" t="s">
        <v>407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29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9.8000000000000007</v>
      </c>
      <c r="AE163">
        <v>636</v>
      </c>
      <c r="AF163">
        <v>87.291937635653454</v>
      </c>
      <c r="AG163">
        <v>93.576158311009792</v>
      </c>
      <c r="AH163">
        <f>55.4519862005868*1</f>
        <v>55.451986200586802</v>
      </c>
      <c r="AI163">
        <f>3.03914134265196*1</f>
        <v>3.03914134265196</v>
      </c>
      <c r="AJ163">
        <v>1</v>
      </c>
      <c r="AK163">
        <v>1</v>
      </c>
      <c r="AL163">
        <v>1</v>
      </c>
    </row>
    <row r="164" spans="1:38" hidden="1" x14ac:dyDescent="0.2">
      <c r="A164" t="s">
        <v>384</v>
      </c>
      <c r="B164" t="s">
        <v>385</v>
      </c>
      <c r="C164" t="s">
        <v>385</v>
      </c>
      <c r="D164" t="s">
        <v>6</v>
      </c>
      <c r="E164">
        <v>0</v>
      </c>
      <c r="F164">
        <v>0</v>
      </c>
      <c r="G164">
        <v>0</v>
      </c>
      <c r="H164">
        <v>1</v>
      </c>
      <c r="I164" t="s">
        <v>27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6.9</v>
      </c>
      <c r="AE164">
        <v>561</v>
      </c>
      <c r="AF164">
        <v>65.872016941606375</v>
      </c>
      <c r="AG164">
        <v>57.175881828136333</v>
      </c>
      <c r="AH164">
        <f>68.5033774441171*1</f>
        <v>68.503377444117106</v>
      </c>
      <c r="AI164">
        <f>5.06220044018478*1</f>
        <v>5.06220044018478</v>
      </c>
      <c r="AJ164">
        <v>1</v>
      </c>
      <c r="AK164">
        <v>0</v>
      </c>
      <c r="AL164">
        <v>0</v>
      </c>
    </row>
    <row r="165" spans="1:38" hidden="1" x14ac:dyDescent="0.2">
      <c r="A165" t="s">
        <v>95</v>
      </c>
      <c r="B165" t="s">
        <v>386</v>
      </c>
      <c r="C165" t="s">
        <v>386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27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4.9000000000000004</v>
      </c>
      <c r="AE165">
        <v>563</v>
      </c>
      <c r="AF165">
        <v>32.740740740740748</v>
      </c>
      <c r="AG165">
        <v>27.04879872475794</v>
      </c>
      <c r="AH165">
        <f>30.7037192466064*1</f>
        <v>30.703719246606401</v>
      </c>
      <c r="AI165">
        <f>1.76944210230154*1</f>
        <v>1.7694421023015401</v>
      </c>
      <c r="AJ165">
        <v>1</v>
      </c>
      <c r="AK165">
        <v>0</v>
      </c>
      <c r="AL165">
        <v>0</v>
      </c>
    </row>
    <row r="166" spans="1:38" hidden="1" x14ac:dyDescent="0.2">
      <c r="A166" t="s">
        <v>387</v>
      </c>
      <c r="B166" t="s">
        <v>388</v>
      </c>
      <c r="C166" t="s">
        <v>388</v>
      </c>
      <c r="D166" t="s">
        <v>6</v>
      </c>
      <c r="E166">
        <v>0</v>
      </c>
      <c r="F166">
        <v>0</v>
      </c>
      <c r="G166">
        <v>0</v>
      </c>
      <c r="H166">
        <v>1</v>
      </c>
      <c r="I166" t="s">
        <v>28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5</v>
      </c>
      <c r="AE166">
        <v>572</v>
      </c>
      <c r="AF166">
        <v>38.17543859649124</v>
      </c>
      <c r="AG166">
        <v>47.625426511819747</v>
      </c>
      <c r="AH166">
        <f>23.5584107869102*1</f>
        <v>23.558410786910201</v>
      </c>
      <c r="AI166">
        <f>1.33069195335221*1</f>
        <v>1.3306919533522099</v>
      </c>
      <c r="AJ166">
        <v>1</v>
      </c>
      <c r="AK166">
        <v>0</v>
      </c>
      <c r="AL166">
        <v>0</v>
      </c>
    </row>
    <row r="167" spans="1:38" hidden="1" x14ac:dyDescent="0.2">
      <c r="A167" t="s">
        <v>111</v>
      </c>
      <c r="B167" t="s">
        <v>389</v>
      </c>
      <c r="C167" t="s">
        <v>389</v>
      </c>
      <c r="D167" t="s">
        <v>6</v>
      </c>
      <c r="E167">
        <v>0</v>
      </c>
      <c r="F167">
        <v>0</v>
      </c>
      <c r="G167">
        <v>0</v>
      </c>
      <c r="H167">
        <v>1</v>
      </c>
      <c r="I167" t="s">
        <v>28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5.0999999999999996</v>
      </c>
      <c r="AE167">
        <v>578</v>
      </c>
      <c r="AF167">
        <v>36.703865398195667</v>
      </c>
      <c r="AG167">
        <v>35.469099558483748</v>
      </c>
      <c r="AH167">
        <f>25.3977921233027*1</f>
        <v>25.3977921233027</v>
      </c>
      <c r="AI167">
        <f>1.31454814301007*1</f>
        <v>1.3145481430100701</v>
      </c>
      <c r="AJ167">
        <v>1</v>
      </c>
      <c r="AK167">
        <v>0</v>
      </c>
      <c r="AL167">
        <v>0</v>
      </c>
    </row>
    <row r="168" spans="1:38" hidden="1" x14ac:dyDescent="0.2">
      <c r="A168" t="s">
        <v>390</v>
      </c>
      <c r="B168" t="s">
        <v>391</v>
      </c>
      <c r="C168" t="s">
        <v>391</v>
      </c>
      <c r="D168" t="s">
        <v>4</v>
      </c>
      <c r="E168">
        <v>0</v>
      </c>
      <c r="F168">
        <v>1</v>
      </c>
      <c r="G168">
        <v>0</v>
      </c>
      <c r="H168">
        <v>0</v>
      </c>
      <c r="I168" t="s">
        <v>28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4</v>
      </c>
      <c r="AE168">
        <v>580</v>
      </c>
      <c r="AF168">
        <v>34.897696069351618</v>
      </c>
      <c r="AG168">
        <v>39.979592382483318</v>
      </c>
      <c r="AH168">
        <f>14.4183294276473*1</f>
        <v>14.418329427647301</v>
      </c>
      <c r="AI168">
        <f>0.720061765524165*1</f>
        <v>0.72006176552416501</v>
      </c>
      <c r="AJ168">
        <v>1</v>
      </c>
      <c r="AK168">
        <v>0</v>
      </c>
      <c r="AL168">
        <v>0</v>
      </c>
    </row>
    <row r="169" spans="1:38" hidden="1" x14ac:dyDescent="0.2">
      <c r="A169" t="s">
        <v>392</v>
      </c>
      <c r="B169" t="s">
        <v>393</v>
      </c>
      <c r="C169" t="s">
        <v>393</v>
      </c>
      <c r="D169" t="s">
        <v>4</v>
      </c>
      <c r="E169">
        <v>0</v>
      </c>
      <c r="F169">
        <v>1</v>
      </c>
      <c r="G169">
        <v>0</v>
      </c>
      <c r="H169">
        <v>0</v>
      </c>
      <c r="I169" t="s">
        <v>28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4.3</v>
      </c>
      <c r="AE169">
        <v>601</v>
      </c>
      <c r="AF169">
        <v>29.561031507283261</v>
      </c>
      <c r="AG169">
        <v>52.100659106287807</v>
      </c>
      <c r="AH169">
        <f>16.3322999498916*1</f>
        <v>16.332299949891599</v>
      </c>
      <c r="AI169">
        <f>1.04270713759773*1</f>
        <v>1.0427071375977299</v>
      </c>
      <c r="AJ169">
        <v>1</v>
      </c>
      <c r="AK169">
        <v>0</v>
      </c>
      <c r="AL169">
        <v>0</v>
      </c>
    </row>
    <row r="170" spans="1:38" hidden="1" x14ac:dyDescent="0.2">
      <c r="A170" t="s">
        <v>394</v>
      </c>
      <c r="B170" t="s">
        <v>395</v>
      </c>
      <c r="C170" t="s">
        <v>395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28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4.7</v>
      </c>
      <c r="AE170">
        <v>604</v>
      </c>
      <c r="AF170">
        <v>0</v>
      </c>
      <c r="AG170">
        <v>0</v>
      </c>
      <c r="AH170">
        <f>0*1</f>
        <v>0</v>
      </c>
      <c r="AI170">
        <f>0*1</f>
        <v>0</v>
      </c>
      <c r="AJ170">
        <v>1</v>
      </c>
      <c r="AK170">
        <v>0</v>
      </c>
      <c r="AL170">
        <v>0</v>
      </c>
    </row>
    <row r="171" spans="1:38" hidden="1" x14ac:dyDescent="0.2">
      <c r="A171" t="s">
        <v>396</v>
      </c>
      <c r="B171" t="s">
        <v>397</v>
      </c>
      <c r="C171" t="s">
        <v>397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29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4.9000000000000004</v>
      </c>
      <c r="AE171">
        <v>616</v>
      </c>
      <c r="AF171">
        <v>31.86285714285712</v>
      </c>
      <c r="AG171">
        <v>30.269942674563481</v>
      </c>
      <c r="AH171">
        <f>23.466293778272*1</f>
        <v>23.466293778272</v>
      </c>
      <c r="AI171">
        <f>1.35738250476184*1</f>
        <v>1.35738250476184</v>
      </c>
      <c r="AJ171">
        <v>1</v>
      </c>
      <c r="AK171">
        <v>0</v>
      </c>
      <c r="AL171">
        <v>0</v>
      </c>
    </row>
    <row r="172" spans="1:38" hidden="1" x14ac:dyDescent="0.2">
      <c r="A172" t="s">
        <v>398</v>
      </c>
      <c r="B172" t="s">
        <v>399</v>
      </c>
      <c r="C172" t="s">
        <v>399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29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6.4</v>
      </c>
      <c r="AE172">
        <v>625</v>
      </c>
      <c r="AF172">
        <v>61.461538461538431</v>
      </c>
      <c r="AG172">
        <v>50.976016110369571</v>
      </c>
      <c r="AH172">
        <f>60.24610295286*1</f>
        <v>60.246102952859999</v>
      </c>
      <c r="AI172">
        <f>3.54357479240633*1</f>
        <v>3.5435747924063299</v>
      </c>
      <c r="AJ172">
        <v>1</v>
      </c>
      <c r="AK172">
        <v>0</v>
      </c>
      <c r="AL172">
        <v>0</v>
      </c>
    </row>
    <row r="173" spans="1:38" hidden="1" x14ac:dyDescent="0.2">
      <c r="A173" t="s">
        <v>400</v>
      </c>
      <c r="B173" t="s">
        <v>401</v>
      </c>
      <c r="C173" t="s">
        <v>401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29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6.4</v>
      </c>
      <c r="AE173">
        <v>626</v>
      </c>
      <c r="AF173">
        <v>66.111111111111086</v>
      </c>
      <c r="AG173">
        <v>62.249910863790859</v>
      </c>
      <c r="AH173">
        <f>38.2532730387154*1</f>
        <v>38.253273038715399</v>
      </c>
      <c r="AI173">
        <f>2.22001739880893*1</f>
        <v>2.2200173988089298</v>
      </c>
      <c r="AJ173">
        <v>1</v>
      </c>
      <c r="AK173">
        <v>0</v>
      </c>
      <c r="AL173">
        <v>0</v>
      </c>
    </row>
    <row r="174" spans="1:38" hidden="1" x14ac:dyDescent="0.2">
      <c r="A174" t="s">
        <v>227</v>
      </c>
      <c r="B174" t="s">
        <v>402</v>
      </c>
      <c r="C174" t="s">
        <v>402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29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7.5</v>
      </c>
      <c r="AE174">
        <v>628</v>
      </c>
      <c r="AF174">
        <v>68.755868525008054</v>
      </c>
      <c r="AG174">
        <v>81.44603768751783</v>
      </c>
      <c r="AH174">
        <f>49.8770381476903*1</f>
        <v>49.8770381476903</v>
      </c>
      <c r="AI174">
        <f>2.74935040368238*1</f>
        <v>2.7493504036823802</v>
      </c>
      <c r="AJ174">
        <v>1</v>
      </c>
      <c r="AK174">
        <v>0</v>
      </c>
      <c r="AL174">
        <v>0</v>
      </c>
    </row>
    <row r="175" spans="1:38" hidden="1" x14ac:dyDescent="0.2">
      <c r="A175" t="s">
        <v>189</v>
      </c>
      <c r="B175" t="s">
        <v>403</v>
      </c>
      <c r="C175" t="s">
        <v>404</v>
      </c>
      <c r="D175" t="s">
        <v>4</v>
      </c>
      <c r="E175">
        <v>0</v>
      </c>
      <c r="F175">
        <v>1</v>
      </c>
      <c r="G175">
        <v>0</v>
      </c>
      <c r="H175">
        <v>0</v>
      </c>
      <c r="I175" t="s">
        <v>29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5.4</v>
      </c>
      <c r="AE175">
        <v>629</v>
      </c>
      <c r="AF175">
        <v>63.954753609920587</v>
      </c>
      <c r="AG175">
        <v>75.990104981974611</v>
      </c>
      <c r="AH175">
        <f>34.5811211354826*1</f>
        <v>34.581121135482597</v>
      </c>
      <c r="AI175">
        <f>2.06393487987852*1</f>
        <v>2.06393487987852</v>
      </c>
      <c r="AJ175">
        <v>1</v>
      </c>
      <c r="AK175">
        <v>0</v>
      </c>
      <c r="AL175">
        <v>0</v>
      </c>
    </row>
    <row r="176" spans="1:38" hidden="1" x14ac:dyDescent="0.2">
      <c r="A176" t="s">
        <v>405</v>
      </c>
      <c r="B176" t="s">
        <v>211</v>
      </c>
      <c r="C176" t="s">
        <v>406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29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4.8</v>
      </c>
      <c r="AE176">
        <v>633</v>
      </c>
      <c r="AF176">
        <v>36.656249999999993</v>
      </c>
      <c r="AG176">
        <v>41.215632872077492</v>
      </c>
      <c r="AH176">
        <f>14.4441813750301*1</f>
        <v>14.4441813750301</v>
      </c>
      <c r="AI176">
        <f>0.818315841542111*1</f>
        <v>0.81831584154211101</v>
      </c>
      <c r="AJ176">
        <v>1</v>
      </c>
      <c r="AK176">
        <v>0</v>
      </c>
      <c r="AL176">
        <v>0</v>
      </c>
    </row>
    <row r="177" spans="1:38" x14ac:dyDescent="0.2">
      <c r="A177" t="s">
        <v>227</v>
      </c>
      <c r="B177" t="s">
        <v>228</v>
      </c>
      <c r="C177" t="s">
        <v>228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19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4.8</v>
      </c>
      <c r="AE177">
        <v>289</v>
      </c>
      <c r="AF177">
        <v>54.322574946543867</v>
      </c>
      <c r="AG177">
        <v>52.404028641076472</v>
      </c>
      <c r="AH177">
        <f>37.8756534384057*1</f>
        <v>37.875653438405699</v>
      </c>
      <c r="AI177">
        <f>2.29097832432071*1</f>
        <v>2.2909783243207098</v>
      </c>
      <c r="AJ177">
        <v>1</v>
      </c>
      <c r="AK177">
        <v>1</v>
      </c>
      <c r="AL177">
        <v>1</v>
      </c>
    </row>
    <row r="178" spans="1:38" hidden="1" x14ac:dyDescent="0.2">
      <c r="A178" t="s">
        <v>409</v>
      </c>
      <c r="B178" t="s">
        <v>410</v>
      </c>
      <c r="C178" t="s">
        <v>410</v>
      </c>
      <c r="D178" t="s">
        <v>4</v>
      </c>
      <c r="E178">
        <v>0</v>
      </c>
      <c r="F178">
        <v>1</v>
      </c>
      <c r="G178">
        <v>0</v>
      </c>
      <c r="H178">
        <v>0</v>
      </c>
      <c r="I178" t="s">
        <v>29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4.8</v>
      </c>
      <c r="AE178">
        <v>638</v>
      </c>
      <c r="AF178">
        <v>42.869565217391298</v>
      </c>
      <c r="AG178">
        <v>39.301957743883101</v>
      </c>
      <c r="AH178">
        <f>17.7634946651682*1</f>
        <v>17.763494665168199</v>
      </c>
      <c r="AI178">
        <f>1.11777940184715*1</f>
        <v>1.1177794018471501</v>
      </c>
      <c r="AJ178">
        <v>1</v>
      </c>
      <c r="AK178">
        <v>0</v>
      </c>
      <c r="AL178">
        <v>0</v>
      </c>
    </row>
    <row r="179" spans="1:38" hidden="1" x14ac:dyDescent="0.2">
      <c r="A179" t="s">
        <v>411</v>
      </c>
      <c r="B179" t="s">
        <v>412</v>
      </c>
      <c r="C179" t="s">
        <v>412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29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6.2</v>
      </c>
      <c r="AE179">
        <v>642</v>
      </c>
      <c r="AF179">
        <v>55.078753833644377</v>
      </c>
      <c r="AG179">
        <v>61.675164462584313</v>
      </c>
      <c r="AH179">
        <f>20.7437087857828*1</f>
        <v>20.7437087857828</v>
      </c>
      <c r="AI179">
        <f>1.09116411465366*1</f>
        <v>1.0911641146536599</v>
      </c>
      <c r="AJ179">
        <v>1</v>
      </c>
      <c r="AK179">
        <v>0</v>
      </c>
      <c r="AL179">
        <v>0</v>
      </c>
    </row>
    <row r="180" spans="1:38" hidden="1" x14ac:dyDescent="0.2">
      <c r="A180" t="s">
        <v>413</v>
      </c>
      <c r="B180" t="s">
        <v>414</v>
      </c>
      <c r="C180" t="s">
        <v>414</v>
      </c>
      <c r="D180" t="s">
        <v>4</v>
      </c>
      <c r="E180">
        <v>0</v>
      </c>
      <c r="F180">
        <v>1</v>
      </c>
      <c r="G180">
        <v>0</v>
      </c>
      <c r="H180">
        <v>0</v>
      </c>
      <c r="I180" t="s">
        <v>30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4.5999999999999996</v>
      </c>
      <c r="AE180">
        <v>654</v>
      </c>
      <c r="AF180">
        <v>54.820224719101141</v>
      </c>
      <c r="AG180">
        <v>53.324101031120293</v>
      </c>
      <c r="AH180">
        <f>32.7932634602611*1</f>
        <v>32.793263460261102</v>
      </c>
      <c r="AI180">
        <f>1.85455985221895*1</f>
        <v>1.8545598522189499</v>
      </c>
      <c r="AJ180">
        <v>1</v>
      </c>
      <c r="AK180">
        <v>0</v>
      </c>
      <c r="AL180">
        <v>0</v>
      </c>
    </row>
    <row r="181" spans="1:38" hidden="1" x14ac:dyDescent="0.2">
      <c r="A181" t="s">
        <v>415</v>
      </c>
      <c r="B181" t="s">
        <v>416</v>
      </c>
      <c r="C181" t="s">
        <v>417</v>
      </c>
      <c r="D181" t="s">
        <v>5</v>
      </c>
      <c r="E181">
        <v>0</v>
      </c>
      <c r="F181">
        <v>0</v>
      </c>
      <c r="G181">
        <v>1</v>
      </c>
      <c r="H181">
        <v>0</v>
      </c>
      <c r="I181" t="s">
        <v>30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5</v>
      </c>
      <c r="AE181">
        <v>655</v>
      </c>
      <c r="AF181">
        <v>29.041666666666689</v>
      </c>
      <c r="AG181">
        <v>39.102381458963343</v>
      </c>
      <c r="AH181">
        <f>12.6510419456105*1</f>
        <v>12.651041945610499</v>
      </c>
      <c r="AI181">
        <f>0.723641638093383*1</f>
        <v>0.723641638093383</v>
      </c>
      <c r="AJ181">
        <v>1</v>
      </c>
      <c r="AK181">
        <v>0</v>
      </c>
      <c r="AL181">
        <v>0</v>
      </c>
    </row>
    <row r="182" spans="1:38" hidden="1" x14ac:dyDescent="0.2">
      <c r="A182" t="s">
        <v>418</v>
      </c>
      <c r="B182" t="s">
        <v>419</v>
      </c>
      <c r="C182" t="s">
        <v>419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30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7.3</v>
      </c>
      <c r="AE182">
        <v>658</v>
      </c>
      <c r="AF182">
        <v>77.532509209818031</v>
      </c>
      <c r="AG182">
        <v>82.356538097410208</v>
      </c>
      <c r="AH182">
        <f>53.0900458131667*1</f>
        <v>53.090045813166697</v>
      </c>
      <c r="AI182">
        <f>2.9106745094465*1</f>
        <v>2.9106745094464999</v>
      </c>
      <c r="AJ182">
        <v>1</v>
      </c>
      <c r="AK182">
        <v>0</v>
      </c>
      <c r="AL182">
        <v>0</v>
      </c>
    </row>
    <row r="183" spans="1:38" hidden="1" x14ac:dyDescent="0.2">
      <c r="A183" t="s">
        <v>420</v>
      </c>
      <c r="B183" t="s">
        <v>421</v>
      </c>
      <c r="C183" t="s">
        <v>420</v>
      </c>
      <c r="D183" t="s">
        <v>4</v>
      </c>
      <c r="E183">
        <v>0</v>
      </c>
      <c r="F183">
        <v>1</v>
      </c>
      <c r="G183">
        <v>0</v>
      </c>
      <c r="H183">
        <v>0</v>
      </c>
      <c r="I183" t="s">
        <v>30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4.4000000000000004</v>
      </c>
      <c r="AE183">
        <v>662</v>
      </c>
      <c r="AF183">
        <v>34.204795696809697</v>
      </c>
      <c r="AG183">
        <v>29.38570656399504</v>
      </c>
      <c r="AH183">
        <f>20.8424512256168*1</f>
        <v>20.842451225616799</v>
      </c>
      <c r="AI183">
        <f>1.15191547380487*1</f>
        <v>1.15191547380487</v>
      </c>
      <c r="AJ183">
        <v>1</v>
      </c>
      <c r="AK183">
        <v>0</v>
      </c>
      <c r="AL183">
        <v>0</v>
      </c>
    </row>
    <row r="184" spans="1:38" hidden="1" x14ac:dyDescent="0.2">
      <c r="A184" t="s">
        <v>422</v>
      </c>
      <c r="B184" t="s">
        <v>423</v>
      </c>
      <c r="C184" t="s">
        <v>423</v>
      </c>
      <c r="D184" t="s">
        <v>4</v>
      </c>
      <c r="E184">
        <v>0</v>
      </c>
      <c r="F184">
        <v>1</v>
      </c>
      <c r="G184">
        <v>0</v>
      </c>
      <c r="H184">
        <v>0</v>
      </c>
      <c r="I184" t="s">
        <v>30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4.4000000000000004</v>
      </c>
      <c r="AE184">
        <v>666</v>
      </c>
      <c r="AF184">
        <v>37.50091425805099</v>
      </c>
      <c r="AG184">
        <v>51.892643922806691</v>
      </c>
      <c r="AH184">
        <f>18.8207874965655*1</f>
        <v>18.820787496565501</v>
      </c>
      <c r="AI184">
        <f>1.07527242849755*1</f>
        <v>1.0752724284975499</v>
      </c>
      <c r="AJ184">
        <v>1</v>
      </c>
      <c r="AK184">
        <v>0</v>
      </c>
      <c r="AL184">
        <v>0</v>
      </c>
    </row>
    <row r="185" spans="1:38" hidden="1" x14ac:dyDescent="0.2">
      <c r="A185" t="s">
        <v>424</v>
      </c>
      <c r="B185" t="s">
        <v>425</v>
      </c>
      <c r="C185" t="s">
        <v>425</v>
      </c>
      <c r="D185" t="s">
        <v>5</v>
      </c>
      <c r="E185">
        <v>0</v>
      </c>
      <c r="F185">
        <v>0</v>
      </c>
      <c r="G185">
        <v>1</v>
      </c>
      <c r="H185">
        <v>0</v>
      </c>
      <c r="I185" t="s">
        <v>30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6.2</v>
      </c>
      <c r="AE185">
        <v>667</v>
      </c>
      <c r="AF185">
        <v>64.09629507881138</v>
      </c>
      <c r="AG185">
        <v>70.319349188392451</v>
      </c>
      <c r="AH185">
        <f>28.7230759073991*1</f>
        <v>28.7230759073991</v>
      </c>
      <c r="AI185">
        <f>1.60828846625701*1</f>
        <v>1.6082884662570101</v>
      </c>
      <c r="AJ185">
        <v>1</v>
      </c>
      <c r="AK185">
        <v>0</v>
      </c>
      <c r="AL185">
        <v>0</v>
      </c>
    </row>
    <row r="186" spans="1:38" hidden="1" x14ac:dyDescent="0.2">
      <c r="A186" t="s">
        <v>70</v>
      </c>
      <c r="B186" t="s">
        <v>426</v>
      </c>
      <c r="C186" t="s">
        <v>427</v>
      </c>
      <c r="D186" t="s">
        <v>5</v>
      </c>
      <c r="E186">
        <v>0</v>
      </c>
      <c r="F186">
        <v>0</v>
      </c>
      <c r="G186">
        <v>1</v>
      </c>
      <c r="H186">
        <v>0</v>
      </c>
      <c r="I186" t="s">
        <v>30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5.7</v>
      </c>
      <c r="AE186">
        <v>669</v>
      </c>
      <c r="AF186">
        <v>53.942013509548516</v>
      </c>
      <c r="AG186">
        <v>58.623328051562673</v>
      </c>
      <c r="AH186">
        <f>29.7204460125778*1</f>
        <v>29.720446012577799</v>
      </c>
      <c r="AI186">
        <f>1.65389501439283*1</f>
        <v>1.6538950143928299</v>
      </c>
      <c r="AJ186">
        <v>1</v>
      </c>
      <c r="AK186">
        <v>0</v>
      </c>
      <c r="AL186">
        <v>0</v>
      </c>
    </row>
    <row r="187" spans="1:38" hidden="1" x14ac:dyDescent="0.2">
      <c r="A187" t="s">
        <v>428</v>
      </c>
      <c r="B187" t="s">
        <v>429</v>
      </c>
      <c r="C187" t="s">
        <v>429</v>
      </c>
      <c r="D187" t="s">
        <v>4</v>
      </c>
      <c r="E187">
        <v>0</v>
      </c>
      <c r="F187">
        <v>1</v>
      </c>
      <c r="G187">
        <v>0</v>
      </c>
      <c r="H187">
        <v>0</v>
      </c>
      <c r="I187" t="s">
        <v>30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4.3</v>
      </c>
      <c r="AE187">
        <v>670</v>
      </c>
      <c r="AF187">
        <v>0</v>
      </c>
      <c r="AG187">
        <v>0</v>
      </c>
      <c r="AH187">
        <f>0*1</f>
        <v>0</v>
      </c>
      <c r="AI187">
        <f>0*1</f>
        <v>0</v>
      </c>
      <c r="AJ187">
        <v>1</v>
      </c>
      <c r="AK187">
        <v>0</v>
      </c>
      <c r="AL187">
        <v>0</v>
      </c>
    </row>
    <row r="188" spans="1:38" hidden="1" x14ac:dyDescent="0.2">
      <c r="A188" t="s">
        <v>430</v>
      </c>
      <c r="B188" t="s">
        <v>431</v>
      </c>
      <c r="C188" t="s">
        <v>431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30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4.9000000000000004</v>
      </c>
      <c r="AE188">
        <v>672</v>
      </c>
      <c r="AF188">
        <v>55.326397758813997</v>
      </c>
      <c r="AG188">
        <v>47.039863317296671</v>
      </c>
      <c r="AH188">
        <f>47.1036435911257*1</f>
        <v>47.103643591125703</v>
      </c>
      <c r="AI188">
        <f>2.42151687260908*1</f>
        <v>2.4215168726090801</v>
      </c>
      <c r="AJ188">
        <v>1</v>
      </c>
      <c r="AK188">
        <v>0</v>
      </c>
      <c r="AL188">
        <v>0</v>
      </c>
    </row>
    <row r="189" spans="1:38" hidden="1" x14ac:dyDescent="0.2">
      <c r="A189" t="s">
        <v>432</v>
      </c>
      <c r="B189" t="s">
        <v>433</v>
      </c>
      <c r="C189" t="s">
        <v>433</v>
      </c>
      <c r="D189" t="s">
        <v>5</v>
      </c>
      <c r="E189">
        <v>0</v>
      </c>
      <c r="F189">
        <v>0</v>
      </c>
      <c r="G189">
        <v>1</v>
      </c>
      <c r="H189">
        <v>0</v>
      </c>
      <c r="I189" t="s">
        <v>30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5.6</v>
      </c>
      <c r="AE189">
        <v>675</v>
      </c>
      <c r="AF189">
        <v>36.167812221132912</v>
      </c>
      <c r="AG189">
        <v>65.195613211125064</v>
      </c>
      <c r="AH189">
        <f>19.2871112362658*1</f>
        <v>19.287111236265801</v>
      </c>
      <c r="AI189">
        <f>1.23642671161379*1</f>
        <v>1.2364267116137899</v>
      </c>
      <c r="AJ189">
        <v>1</v>
      </c>
      <c r="AK189">
        <v>0</v>
      </c>
      <c r="AL189">
        <v>0</v>
      </c>
    </row>
    <row r="190" spans="1:38" hidden="1" x14ac:dyDescent="0.2">
      <c r="A190" t="s">
        <v>434</v>
      </c>
      <c r="B190" t="s">
        <v>435</v>
      </c>
      <c r="C190" t="s">
        <v>435</v>
      </c>
      <c r="D190" t="s">
        <v>4</v>
      </c>
      <c r="E190">
        <v>0</v>
      </c>
      <c r="F190">
        <v>1</v>
      </c>
      <c r="G190">
        <v>0</v>
      </c>
      <c r="H190">
        <v>0</v>
      </c>
      <c r="I190" t="s">
        <v>31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4.8</v>
      </c>
      <c r="AE190">
        <v>685</v>
      </c>
      <c r="AF190">
        <v>0</v>
      </c>
      <c r="AG190">
        <v>0</v>
      </c>
      <c r="AH190">
        <f>0*1</f>
        <v>0</v>
      </c>
      <c r="AI190">
        <f>0*1</f>
        <v>0</v>
      </c>
      <c r="AJ190">
        <v>1</v>
      </c>
      <c r="AK190">
        <v>0</v>
      </c>
      <c r="AL190">
        <v>0</v>
      </c>
    </row>
    <row r="191" spans="1:38" hidden="1" x14ac:dyDescent="0.2">
      <c r="A191" t="s">
        <v>436</v>
      </c>
      <c r="B191" t="s">
        <v>437</v>
      </c>
      <c r="C191" t="s">
        <v>437</v>
      </c>
      <c r="D191" t="s">
        <v>5</v>
      </c>
      <c r="E191">
        <v>0</v>
      </c>
      <c r="F191">
        <v>0</v>
      </c>
      <c r="G191">
        <v>1</v>
      </c>
      <c r="H191">
        <v>0</v>
      </c>
      <c r="I191" t="s">
        <v>31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4.9000000000000004</v>
      </c>
      <c r="AE191">
        <v>687</v>
      </c>
      <c r="AF191">
        <v>0</v>
      </c>
      <c r="AG191">
        <v>0</v>
      </c>
      <c r="AH191">
        <f>0*1</f>
        <v>0</v>
      </c>
      <c r="AI191">
        <f>0*1</f>
        <v>0</v>
      </c>
      <c r="AJ191">
        <v>1</v>
      </c>
      <c r="AK191">
        <v>0</v>
      </c>
      <c r="AL191">
        <v>0</v>
      </c>
    </row>
    <row r="192" spans="1:38" x14ac:dyDescent="0.2">
      <c r="A192" t="s">
        <v>382</v>
      </c>
      <c r="B192" t="s">
        <v>383</v>
      </c>
      <c r="C192" t="s">
        <v>383</v>
      </c>
      <c r="D192" t="s">
        <v>3</v>
      </c>
      <c r="E192">
        <v>1</v>
      </c>
      <c r="F192">
        <v>0</v>
      </c>
      <c r="G192">
        <v>0</v>
      </c>
      <c r="H192">
        <v>0</v>
      </c>
      <c r="I192" t="s">
        <v>27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5</v>
      </c>
      <c r="AE192">
        <v>558</v>
      </c>
      <c r="AF192">
        <v>0</v>
      </c>
      <c r="AG192">
        <v>0</v>
      </c>
      <c r="AH192">
        <f>0*1</f>
        <v>0</v>
      </c>
      <c r="AI192">
        <f>0*1</f>
        <v>0</v>
      </c>
      <c r="AJ192">
        <v>1</v>
      </c>
      <c r="AK192">
        <v>1</v>
      </c>
      <c r="AL192">
        <v>1</v>
      </c>
    </row>
    <row r="193" spans="1:38" hidden="1" x14ac:dyDescent="0.2">
      <c r="A193" t="s">
        <v>441</v>
      </c>
      <c r="B193" t="s">
        <v>442</v>
      </c>
      <c r="C193" t="s">
        <v>442</v>
      </c>
      <c r="D193" t="s">
        <v>4</v>
      </c>
      <c r="E193">
        <v>0</v>
      </c>
      <c r="F193">
        <v>1</v>
      </c>
      <c r="G193">
        <v>0</v>
      </c>
      <c r="H193">
        <v>0</v>
      </c>
      <c r="I193" t="s">
        <v>31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4.3</v>
      </c>
      <c r="AE193">
        <v>694</v>
      </c>
      <c r="AF193">
        <v>57.845914181356193</v>
      </c>
      <c r="AG193">
        <v>46.925731984277753</v>
      </c>
      <c r="AH193">
        <f>16.6387227915158*1</f>
        <v>16.6387227915158</v>
      </c>
      <c r="AI193">
        <f>0.704540341326991*1</f>
        <v>0.70454034132699095</v>
      </c>
      <c r="AJ193">
        <v>1</v>
      </c>
      <c r="AK193">
        <v>0</v>
      </c>
      <c r="AL193">
        <v>0</v>
      </c>
    </row>
    <row r="194" spans="1:38" hidden="1" x14ac:dyDescent="0.2">
      <c r="A194" t="s">
        <v>443</v>
      </c>
      <c r="B194" t="s">
        <v>444</v>
      </c>
      <c r="C194" t="s">
        <v>444</v>
      </c>
      <c r="D194" t="s">
        <v>5</v>
      </c>
      <c r="E194">
        <v>0</v>
      </c>
      <c r="F194">
        <v>0</v>
      </c>
      <c r="G194">
        <v>1</v>
      </c>
      <c r="H194">
        <v>0</v>
      </c>
      <c r="I194" t="s">
        <v>31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4.8</v>
      </c>
      <c r="AE194">
        <v>696</v>
      </c>
      <c r="AF194">
        <v>22.911731362077269</v>
      </c>
      <c r="AG194">
        <v>27.051188901996479</v>
      </c>
      <c r="AH194">
        <f>12.8602356002835*1</f>
        <v>12.860235600283501</v>
      </c>
      <c r="AI194">
        <f>0.813867171177928*1</f>
        <v>0.81386717117792795</v>
      </c>
      <c r="AJ194">
        <v>1</v>
      </c>
      <c r="AK194">
        <v>0</v>
      </c>
      <c r="AL194">
        <v>0</v>
      </c>
    </row>
    <row r="195" spans="1:38" hidden="1" x14ac:dyDescent="0.2">
      <c r="A195" t="s">
        <v>445</v>
      </c>
      <c r="B195" t="s">
        <v>446</v>
      </c>
      <c r="C195" t="s">
        <v>447</v>
      </c>
      <c r="D195" t="s">
        <v>5</v>
      </c>
      <c r="E195">
        <v>0</v>
      </c>
      <c r="F195">
        <v>0</v>
      </c>
      <c r="G195">
        <v>1</v>
      </c>
      <c r="H195">
        <v>0</v>
      </c>
      <c r="I195" t="s">
        <v>31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5.3</v>
      </c>
      <c r="AE195">
        <v>700</v>
      </c>
      <c r="AF195">
        <v>0</v>
      </c>
      <c r="AG195">
        <v>0</v>
      </c>
      <c r="AH195">
        <f>0*1</f>
        <v>0</v>
      </c>
      <c r="AI195">
        <f>0*1</f>
        <v>0</v>
      </c>
      <c r="AJ195">
        <v>1</v>
      </c>
      <c r="AK195">
        <v>0</v>
      </c>
      <c r="AL195">
        <v>0</v>
      </c>
    </row>
    <row r="196" spans="1:38" hidden="1" x14ac:dyDescent="0.2">
      <c r="A196" t="s">
        <v>448</v>
      </c>
      <c r="B196" t="s">
        <v>449</v>
      </c>
      <c r="C196" t="s">
        <v>450</v>
      </c>
      <c r="D196" t="s">
        <v>5</v>
      </c>
      <c r="E196">
        <v>0</v>
      </c>
      <c r="F196">
        <v>0</v>
      </c>
      <c r="G196">
        <v>1</v>
      </c>
      <c r="H196">
        <v>0</v>
      </c>
      <c r="I196" t="s">
        <v>31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6.1</v>
      </c>
      <c r="AE196">
        <v>702</v>
      </c>
      <c r="AF196">
        <v>48.075695546684813</v>
      </c>
      <c r="AG196">
        <v>56.73363228216148</v>
      </c>
      <c r="AH196">
        <f>20.78994897848*1</f>
        <v>20.789948978479998</v>
      </c>
      <c r="AI196">
        <f>1.18339340810221*1</f>
        <v>1.1833934081022099</v>
      </c>
      <c r="AJ196">
        <v>1</v>
      </c>
      <c r="AK196">
        <v>0</v>
      </c>
      <c r="AL196">
        <v>0</v>
      </c>
    </row>
    <row r="197" spans="1:38" hidden="1" x14ac:dyDescent="0.2">
      <c r="A197" t="s">
        <v>451</v>
      </c>
      <c r="B197" t="s">
        <v>452</v>
      </c>
      <c r="C197" t="s">
        <v>453</v>
      </c>
      <c r="D197" t="s">
        <v>5</v>
      </c>
      <c r="E197">
        <v>0</v>
      </c>
      <c r="F197">
        <v>0</v>
      </c>
      <c r="G197">
        <v>1</v>
      </c>
      <c r="H197">
        <v>0</v>
      </c>
      <c r="I197" t="s">
        <v>31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4.9000000000000004</v>
      </c>
      <c r="AE197">
        <v>705</v>
      </c>
      <c r="AF197">
        <v>39.372785613986863</v>
      </c>
      <c r="AG197">
        <v>29.646950780212919</v>
      </c>
      <c r="AH197">
        <f>20.9631488024955*1</f>
        <v>20.9631488024955</v>
      </c>
      <c r="AI197">
        <f>1.23844222656734*1</f>
        <v>1.23844222656734</v>
      </c>
      <c r="AJ197">
        <v>1</v>
      </c>
      <c r="AK197">
        <v>0</v>
      </c>
      <c r="AL197">
        <v>0</v>
      </c>
    </row>
    <row r="198" spans="1:38" hidden="1" x14ac:dyDescent="0.2">
      <c r="A198" t="s">
        <v>454</v>
      </c>
      <c r="B198" t="s">
        <v>455</v>
      </c>
      <c r="C198" t="s">
        <v>456</v>
      </c>
      <c r="D198" t="s">
        <v>5</v>
      </c>
      <c r="E198">
        <v>0</v>
      </c>
      <c r="F198">
        <v>0</v>
      </c>
      <c r="G198">
        <v>1</v>
      </c>
      <c r="H198">
        <v>0</v>
      </c>
      <c r="I198" t="s">
        <v>31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4.9000000000000004</v>
      </c>
      <c r="AE198">
        <v>709</v>
      </c>
      <c r="AF198">
        <v>39.422413793103459</v>
      </c>
      <c r="AG198">
        <v>33.301341285061618</v>
      </c>
      <c r="AH198">
        <f>34.7358282649703*1</f>
        <v>34.735828264970301</v>
      </c>
      <c r="AI198">
        <f>2.07602074907136*1</f>
        <v>2.0760207490713598</v>
      </c>
      <c r="AJ198">
        <v>1</v>
      </c>
      <c r="AK198">
        <v>0</v>
      </c>
      <c r="AL198">
        <v>0</v>
      </c>
    </row>
    <row r="199" spans="1:38" hidden="1" x14ac:dyDescent="0.2">
      <c r="A199" t="s">
        <v>457</v>
      </c>
      <c r="B199" t="s">
        <v>458</v>
      </c>
      <c r="C199" t="s">
        <v>459</v>
      </c>
      <c r="D199" t="s">
        <v>4</v>
      </c>
      <c r="E199">
        <v>0</v>
      </c>
      <c r="F199">
        <v>1</v>
      </c>
      <c r="G199">
        <v>0</v>
      </c>
      <c r="H199">
        <v>0</v>
      </c>
      <c r="I199" t="s">
        <v>31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4.5</v>
      </c>
      <c r="AE199">
        <v>711</v>
      </c>
      <c r="AF199">
        <v>51.445180578367903</v>
      </c>
      <c r="AG199">
        <v>52.438012696606087</v>
      </c>
      <c r="AH199">
        <f>17.1039511117708*1</f>
        <v>17.103951111770801</v>
      </c>
      <c r="AI199">
        <f>0.979494733034781*1</f>
        <v>0.97949473303478096</v>
      </c>
      <c r="AJ199">
        <v>1</v>
      </c>
      <c r="AK199">
        <v>0</v>
      </c>
      <c r="AL199">
        <v>0</v>
      </c>
    </row>
    <row r="200" spans="1:38" hidden="1" x14ac:dyDescent="0.2">
      <c r="A200" t="s">
        <v>460</v>
      </c>
      <c r="B200" t="s">
        <v>461</v>
      </c>
      <c r="C200" t="s">
        <v>462</v>
      </c>
      <c r="D200" t="s">
        <v>4</v>
      </c>
      <c r="E200">
        <v>0</v>
      </c>
      <c r="F200">
        <v>1</v>
      </c>
      <c r="G200">
        <v>0</v>
      </c>
      <c r="H200">
        <v>0</v>
      </c>
      <c r="I200" t="s">
        <v>31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4.3</v>
      </c>
      <c r="AE200">
        <v>718</v>
      </c>
      <c r="AF200">
        <v>39.507042253521128</v>
      </c>
      <c r="AG200">
        <v>37.703633374913991</v>
      </c>
      <c r="AH200">
        <f>28.1029255581259*1</f>
        <v>28.1029255581259</v>
      </c>
      <c r="AI200">
        <f>1.63962158886528*1</f>
        <v>1.6396215888652801</v>
      </c>
      <c r="AJ200">
        <v>1</v>
      </c>
      <c r="AK200">
        <v>0</v>
      </c>
      <c r="AL200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2025-01-17T21:41:37Z</dcterms:created>
  <dcterms:modified xsi:type="dcterms:W3CDTF">2025-01-17T21:43:28Z</dcterms:modified>
</cp:coreProperties>
</file>