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C4023823-6CA9-4F46-8142-A78569484AF9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3" i="1" l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54" i="1"/>
  <c r="AH54" i="1"/>
  <c r="AI145" i="1"/>
  <c r="AH145" i="1"/>
  <c r="AI144" i="1"/>
  <c r="AH144" i="1"/>
  <c r="AI143" i="1"/>
  <c r="AH143" i="1"/>
  <c r="AI146" i="1"/>
  <c r="AH146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43" i="1"/>
  <c r="AH43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05" i="1"/>
  <c r="AH105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83" i="1"/>
  <c r="AH83" i="1"/>
  <c r="AI104" i="1"/>
  <c r="AH104" i="1"/>
  <c r="AI103" i="1"/>
  <c r="AH103" i="1"/>
  <c r="AI102" i="1"/>
  <c r="AH102" i="1"/>
  <c r="AI101" i="1"/>
  <c r="AH101" i="1"/>
  <c r="AI100" i="1"/>
  <c r="AH100" i="1"/>
  <c r="AI142" i="1"/>
  <c r="AH142" i="1"/>
  <c r="AI98" i="1"/>
  <c r="AH98" i="1"/>
  <c r="AI50" i="1"/>
  <c r="AH50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23" i="1"/>
  <c r="AH2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97" i="1"/>
  <c r="AH97" i="1"/>
  <c r="AI128" i="1"/>
  <c r="AH128" i="1"/>
  <c r="AI52" i="1"/>
  <c r="AH52" i="1"/>
  <c r="AI51" i="1"/>
  <c r="AH51" i="1"/>
  <c r="AI99" i="1"/>
  <c r="AH99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120" i="1"/>
  <c r="AH120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53" i="1"/>
  <c r="AH5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<sst xmlns="http://schemas.openxmlformats.org/spreadsheetml/2006/main" count="830" uniqueCount="361">
  <si>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</si>
  <si>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</si>
  <si>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</si>
  <si>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</si>
  <si>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</si>
  <si>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</si>
  <si>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</si>
  <si>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</si>
  <si>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</si>
  <si>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</si>
  <si>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</si>
  <si>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</si>
  <si>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</si>
  <si>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</si>
  <si>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</si>
  <si>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</si>
  <si>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</si>
  <si>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</si>
  <si>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</si>
  <si>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</si>
  <si>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</si>
  <si>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</si>
  <si>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</si>
  <si>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</si>
  <si>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</si>
  <si>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</si>
  <si>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</si>
  <si>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</si>
  <si>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</si>
  <si>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</si>
  <si>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</si>
  <si>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</si>
  <si>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</si>
  <si>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</si>
  <si>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</si>
  <si>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</si>
  <si>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</si>
  <si>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</si>
  <si>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</si>
  <si>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</si>
  <si>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</si>
  <si>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</si>
  <si>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</si>
  <si>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</si>
  <si>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</si>
  <si>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</si>
  <si>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</si>
  <si>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</si>
  <si>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</si>
  <si>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Jurriën</t>
  </si>
  <si>
    <t>Timber</t>
  </si>
  <si>
    <t>J.Timber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</si>
  <si>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</si>
  <si>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</si>
  <si>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</si>
  <si>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</si>
  <si>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</si>
  <si>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</si>
  <si>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</si>
  <si>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</si>
  <si>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</si>
  <si>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</si>
  <si>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</si>
  <si>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</si>
  <si>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</si>
  <si>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</si>
  <si>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</si>
  <si>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</si>
  <si>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</si>
  <si>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</si>
  <si>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</si>
  <si>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</si>
  <si>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</si>
  <si>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</si>
  <si>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</si>
  <si>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</si>
  <si>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</si>
  <si>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</si>
  <si>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</si>
  <si>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</si>
  <si>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John</t>
  </si>
  <si>
    <t>McGinn</t>
  </si>
  <si>
    <t>Amadou</t>
  </si>
  <si>
    <t>Onana</t>
  </si>
  <si>
    <t>Ollie</t>
  </si>
  <si>
    <t>Watkins</t>
  </si>
  <si>
    <t>Illia</t>
  </si>
  <si>
    <t>Zabarnyi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</si>
  <si>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</si>
  <si>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</si>
  <si>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</si>
  <si>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</si>
  <si>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</si>
  <si>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</si>
  <si>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</si>
  <si>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</si>
  <si>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</si>
  <si>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</si>
  <si>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</si>
  <si>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</si>
  <si>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</si>
  <si>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</si>
  <si>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Dango</t>
  </si>
  <si>
    <t>Ouattara</t>
  </si>
  <si>
    <t>O.Dango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</si>
  <si>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</si>
  <si>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</si>
  <si>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</si>
  <si>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</si>
  <si>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</si>
  <si>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</si>
  <si>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</si>
  <si>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</si>
  <si>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</si>
  <si>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</si>
  <si>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Yoane</t>
  </si>
  <si>
    <t>Wissa</t>
  </si>
  <si>
    <t>Bart</t>
  </si>
  <si>
    <t>Verbruggen</t>
  </si>
  <si>
    <t>Jan Paul</t>
  </si>
  <si>
    <t>van Hecke</t>
  </si>
  <si>
    <t>Van Hecke</t>
  </si>
  <si>
    <t>Yasin</t>
  </si>
  <si>
    <t>Ayari</t>
  </si>
  <si>
    <t>Carlos</t>
  </si>
  <si>
    <t>Baleba</t>
  </si>
  <si>
    <t>Facundo</t>
  </si>
  <si>
    <t>Buonanotte</t>
  </si>
  <si>
    <t>Danny</t>
  </si>
  <si>
    <t>Welbeck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</si>
  <si>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</si>
  <si>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</si>
  <si>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</si>
  <si>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</si>
  <si>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</si>
  <si>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</si>
  <si>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</si>
  <si>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</si>
  <si>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</si>
  <si>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</si>
  <si>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</si>
  <si>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</si>
  <si>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</si>
  <si>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</si>
  <si>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</si>
  <si>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</si>
  <si>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</si>
  <si>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</si>
  <si>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</si>
  <si>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</si>
  <si>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</si>
  <si>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</si>
  <si>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</si>
  <si>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</si>
  <si>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</si>
  <si>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</si>
  <si>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</si>
  <si>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Eberechi</t>
  </si>
  <si>
    <t>Eze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</si>
  <si>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</si>
  <si>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</si>
  <si>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</si>
  <si>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</si>
  <si>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</si>
  <si>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</si>
  <si>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</si>
  <si>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</si>
  <si>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</si>
  <si>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</si>
  <si>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</si>
  <si>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</si>
  <si>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</si>
  <si>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</si>
  <si>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</si>
  <si>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</si>
  <si>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</si>
  <si>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</si>
  <si>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</si>
  <si>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</si>
  <si>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</si>
  <si>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</si>
  <si>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</si>
  <si>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</si>
  <si>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</si>
  <si>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</si>
  <si>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</si>
  <si>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</si>
  <si>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</si>
  <si>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</si>
  <si>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Alex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</si>
  <si>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</si>
  <si>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</si>
  <si>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</si>
  <si>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</si>
  <si>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</si>
  <si>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</si>
  <si>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</si>
  <si>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</si>
  <si>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</si>
  <si>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</si>
  <si>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</si>
  <si>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</si>
  <si>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</si>
  <si>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</si>
  <si>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</si>
  <si>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</si>
  <si>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Jack</t>
  </si>
  <si>
    <t>Harrison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</si>
  <si>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</si>
  <si>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</si>
  <si>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</si>
  <si>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</si>
  <si>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</si>
  <si>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</si>
  <si>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</si>
  <si>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</si>
  <si>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</si>
  <si>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</si>
  <si>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</si>
  <si>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</si>
  <si>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</si>
  <si>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</si>
  <si>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</si>
  <si>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</si>
  <si>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</si>
  <si>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</si>
  <si>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</si>
  <si>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</si>
  <si>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</si>
  <si>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</si>
  <si>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</si>
  <si>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</si>
  <si>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</si>
  <si>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</si>
  <si>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</si>
  <si>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</si>
  <si>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</si>
  <si>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</si>
  <si>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</si>
  <si>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</si>
  <si>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</si>
  <si>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</si>
  <si>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</si>
  <si>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</si>
  <si>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</si>
  <si>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</si>
  <si>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</si>
  <si>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</si>
  <si>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</si>
  <si>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</si>
  <si>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</si>
  <si>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</si>
  <si>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</si>
  <si>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</si>
  <si>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</si>
  <si>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</si>
  <si>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Jadon</t>
  </si>
  <si>
    <t>Sancho</t>
  </si>
  <si>
    <t>Rasmus</t>
  </si>
  <si>
    <t>Højlund</t>
  </si>
  <si>
    <t>Jacob</t>
  </si>
  <si>
    <t>Ramsey</t>
  </si>
  <si>
    <t>J.Ramsey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</si>
  <si>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</si>
  <si>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</si>
  <si>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</si>
  <si>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</si>
  <si>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</si>
  <si>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</si>
  <si>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</si>
  <si>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</si>
  <si>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</si>
  <si>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</si>
  <si>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</si>
  <si>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</si>
  <si>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</si>
  <si>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</si>
  <si>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</si>
  <si>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</si>
  <si>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</si>
  <si>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</si>
  <si>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</si>
  <si>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</si>
  <si>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</si>
  <si>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</si>
  <si>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</si>
  <si>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</si>
  <si>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</si>
  <si>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Alexander</t>
  </si>
  <si>
    <t>Isak</t>
  </si>
  <si>
    <t>Aaron</t>
  </si>
  <si>
    <t>Ramsdale</t>
  </si>
  <si>
    <t>Matz</t>
  </si>
  <si>
    <t>Sels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</si>
  <si>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</si>
  <si>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</si>
  <si>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</si>
  <si>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</si>
  <si>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</si>
  <si>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</si>
  <si>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</si>
  <si>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</si>
  <si>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</si>
  <si>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</si>
  <si>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</si>
  <si>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</si>
  <si>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</si>
  <si>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</si>
  <si>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Chris</t>
  </si>
  <si>
    <t>Wood</t>
  </si>
  <si>
    <t>Taiwo</t>
  </si>
  <si>
    <t>Awoniyi</t>
  </si>
  <si>
    <t>Simon</t>
  </si>
  <si>
    <t>Adingra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</si>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</sst>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3" totalsRowShown="0">
  <autoFilter ref="A1:AL153" xr:uid="{00000000-0009-0000-0100-000001000000}">
    <filterColumn colId="37">
      <filters>
        <filter val="1"/>
      </filters>
    </filterColumn>
  </autoFilter>
  <sortState xmlns:xlrd2="http://schemas.microsoft.com/office/spreadsheetml/2017/richdata2" ref="A23:AL146">
    <sortCondition descending="1" ref="AI1:AI153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3"/>
  <sheetViews>
    <sheetView tabSelected="1" workbookViewId="0">
      <selection activeCell="D83" sqref="D8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4</v>
      </c>
      <c r="AF2">
        <v>157</v>
      </c>
      <c r="AG2">
        <v>157</v>
      </c>
      <c r="AH2">
        <f>69.7777777777777*1</f>
        <v>69.7777777777777</v>
      </c>
      <c r="AI2">
        <f>1.78131314797952*1</f>
        <v>1.7813131479795199</v>
      </c>
      <c r="AJ2">
        <v>1</v>
      </c>
      <c r="AK2">
        <v>1</v>
      </c>
      <c r="AL2">
        <v>0</v>
      </c>
      <c r="AN2" t="s">
        <v>0</v>
      </c>
      <c r="AO2">
        <f>SUMPRODUCT(Table1[Selected], Table1[PP])</f>
        <v>1136.4444444444425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144</v>
      </c>
      <c r="AG3">
        <v>144</v>
      </c>
      <c r="AH3">
        <f>64*1</f>
        <v>64</v>
      </c>
      <c r="AI3">
        <f>1.80787721860087*1</f>
        <v>1.80787721860087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7</v>
      </c>
      <c r="AF4">
        <v>0</v>
      </c>
      <c r="AG4">
        <v>0</v>
      </c>
      <c r="AH4">
        <f>0*1</f>
        <v>0</v>
      </c>
      <c r="AI4">
        <f>0*1</f>
        <v>0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99.2</v>
      </c>
      <c r="AP4">
        <v>100.1</v>
      </c>
    </row>
    <row r="5" spans="1:43" hidden="1" x14ac:dyDescent="0.2">
      <c r="A5" t="s">
        <v>52</v>
      </c>
      <c r="B5" t="s">
        <v>53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16</v>
      </c>
      <c r="AF5">
        <v>150</v>
      </c>
      <c r="AG5">
        <v>150</v>
      </c>
      <c r="AH5">
        <f>66.6666666666666*1</f>
        <v>66.6666666666666</v>
      </c>
      <c r="AI5">
        <f>2.13825189036658*1</f>
        <v>2.1382518903665799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17</v>
      </c>
      <c r="AF6">
        <v>142</v>
      </c>
      <c r="AG6">
        <v>142</v>
      </c>
      <c r="AH6">
        <f>63.1111111111111*1</f>
        <v>63.1111111111111</v>
      </c>
      <c r="AI6">
        <f>1.39589119539596*1</f>
        <v>1.3958911953959601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56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18</v>
      </c>
      <c r="AF7">
        <v>123</v>
      </c>
      <c r="AG7">
        <v>123</v>
      </c>
      <c r="AH7">
        <f>54.6666666666666*1</f>
        <v>54.6666666666666</v>
      </c>
      <c r="AI7">
        <f>1.55719237545364*1</f>
        <v>1.5571923754536401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19</v>
      </c>
      <c r="AF8">
        <v>136</v>
      </c>
      <c r="AG8">
        <v>136</v>
      </c>
      <c r="AH8">
        <f>60.4444444444444*1</f>
        <v>60.4444444444444</v>
      </c>
      <c r="AI8">
        <f>1.7066973600621*1</f>
        <v>1.7066973600621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20</v>
      </c>
      <c r="AF9">
        <v>130</v>
      </c>
      <c r="AG9">
        <v>130</v>
      </c>
      <c r="AH9">
        <f>57.7777777777777*1</f>
        <v>57.7777777777777</v>
      </c>
      <c r="AI9">
        <f>1.55449299147498*1</f>
        <v>1.5544929914749801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5.5</v>
      </c>
      <c r="AE10">
        <v>23</v>
      </c>
      <c r="AF10">
        <v>115</v>
      </c>
      <c r="AG10">
        <v>115</v>
      </c>
      <c r="AH10">
        <f>51.1111111111111*1</f>
        <v>51.1111111111111</v>
      </c>
      <c r="AI10">
        <f>1.2344480379422*1</f>
        <v>1.2344480379422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33</v>
      </c>
      <c r="AF11">
        <v>107</v>
      </c>
      <c r="AG11">
        <v>107</v>
      </c>
      <c r="AH11">
        <f>47.5555555555555*1</f>
        <v>47.5555555555555</v>
      </c>
      <c r="AI11">
        <f>1.15796183730473*1</f>
        <v>1.15796183730473</v>
      </c>
      <c r="AJ11">
        <v>1</v>
      </c>
      <c r="AK11">
        <v>0</v>
      </c>
      <c r="AL11">
        <v>0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37</v>
      </c>
      <c r="AF12">
        <v>94</v>
      </c>
      <c r="AG12">
        <v>94</v>
      </c>
      <c r="AH12">
        <f>41.7777777777777*1</f>
        <v>41.7777777777777</v>
      </c>
      <c r="AI12">
        <f>1.15859637620838*1</f>
        <v>1.15859637620838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38</v>
      </c>
      <c r="AF13">
        <v>99.000000000000014</v>
      </c>
      <c r="AG13">
        <v>99.000000000000014</v>
      </c>
      <c r="AH13">
        <f>44*1</f>
        <v>44</v>
      </c>
      <c r="AI13">
        <f>1.16215022702731*1</f>
        <v>1.1621502270273101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39</v>
      </c>
      <c r="AF14">
        <v>107</v>
      </c>
      <c r="AG14">
        <v>107</v>
      </c>
      <c r="AH14">
        <f>47.5555555555555*1</f>
        <v>47.5555555555555</v>
      </c>
      <c r="AI14">
        <f>1.23318675421493*1</f>
        <v>1.23318675421493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40</v>
      </c>
      <c r="AF15">
        <v>0</v>
      </c>
      <c r="AG15">
        <v>0</v>
      </c>
      <c r="AH15">
        <f>0*1</f>
        <v>0</v>
      </c>
      <c r="AI15">
        <f>0*1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48</v>
      </c>
      <c r="AF16">
        <v>157</v>
      </c>
      <c r="AG16">
        <v>157</v>
      </c>
      <c r="AH16">
        <f>69.7777777777777*1</f>
        <v>69.7777777777777</v>
      </c>
      <c r="AI16">
        <f>1.67285956916612*1</f>
        <v>1.6728595691661201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49</v>
      </c>
      <c r="AF17">
        <v>124</v>
      </c>
      <c r="AG17">
        <v>124</v>
      </c>
      <c r="AH17">
        <f>55.1111111111111*1</f>
        <v>55.1111111111111</v>
      </c>
      <c r="AI17">
        <f>1.42202276129584*1</f>
        <v>1.42202276129584</v>
      </c>
      <c r="AJ17">
        <v>1</v>
      </c>
      <c r="AK17">
        <v>0</v>
      </c>
      <c r="AL17">
        <v>0</v>
      </c>
      <c r="AN17" t="s">
        <v>11</v>
      </c>
      <c r="AO17">
        <f>AO2-AO15*38</f>
        <v>1136.4444444444425</v>
      </c>
    </row>
    <row r="18" spans="1:42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54</v>
      </c>
      <c r="AF18">
        <v>85.999999999999986</v>
      </c>
      <c r="AG18">
        <v>85.999999999999986</v>
      </c>
      <c r="AH18">
        <f>38.2222222222222*1</f>
        <v>38.2222222222222</v>
      </c>
      <c r="AI18">
        <f>1.22184016589934*1</f>
        <v>1.2218401658993401</v>
      </c>
      <c r="AJ18">
        <v>1</v>
      </c>
      <c r="AK18">
        <v>0</v>
      </c>
      <c r="AL18">
        <v>0</v>
      </c>
    </row>
    <row r="19" spans="1:42" hidden="1" x14ac:dyDescent="0.2">
      <c r="A19" t="s">
        <v>82</v>
      </c>
      <c r="B19" t="s">
        <v>83</v>
      </c>
      <c r="C19" t="s">
        <v>83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59</v>
      </c>
      <c r="AF19">
        <v>79</v>
      </c>
      <c r="AG19">
        <v>79</v>
      </c>
      <c r="AH19">
        <f>35.1111111111111*1</f>
        <v>35.1111111111111</v>
      </c>
      <c r="AI19">
        <f>0.87644017460434*1</f>
        <v>0.87644017460433998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84</v>
      </c>
      <c r="B20" t="s">
        <v>85</v>
      </c>
      <c r="C20" t="s">
        <v>85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</v>
      </c>
      <c r="AE20">
        <v>64</v>
      </c>
      <c r="AF20">
        <v>168</v>
      </c>
      <c r="AG20">
        <v>168</v>
      </c>
      <c r="AH20">
        <f>74.6666666666666*1</f>
        <v>74.6666666666666</v>
      </c>
      <c r="AI20">
        <f>2.10838057535598*1</f>
        <v>2.1083805753559801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86</v>
      </c>
      <c r="B21" t="s">
        <v>87</v>
      </c>
      <c r="C21" t="s">
        <v>87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15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113</v>
      </c>
      <c r="AF21">
        <v>95</v>
      </c>
      <c r="AG21">
        <v>95</v>
      </c>
      <c r="AH21">
        <f>42.2222222222222*1</f>
        <v>42.2222222222222</v>
      </c>
      <c r="AI21">
        <f>1.08401517648249*1</f>
        <v>1.0840151764824899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88</v>
      </c>
      <c r="B22" t="s">
        <v>89</v>
      </c>
      <c r="C22" t="s">
        <v>89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15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</v>
      </c>
      <c r="AE22">
        <v>123</v>
      </c>
      <c r="AF22">
        <v>164</v>
      </c>
      <c r="AG22">
        <v>164</v>
      </c>
      <c r="AH22">
        <f>72.8888888888888*1</f>
        <v>72.8888888888888</v>
      </c>
      <c r="AI22">
        <f>1.8289861532084*1</f>
        <v>1.8289861532084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x14ac:dyDescent="0.2">
      <c r="A23" t="s">
        <v>218</v>
      </c>
      <c r="B23" t="s">
        <v>219</v>
      </c>
      <c r="C23" t="s">
        <v>220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23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14.5</v>
      </c>
      <c r="AE23">
        <v>396</v>
      </c>
      <c r="AF23">
        <v>328</v>
      </c>
      <c r="AG23">
        <v>328</v>
      </c>
      <c r="AH23">
        <f>145.777777777777*1</f>
        <v>145.777777777777</v>
      </c>
      <c r="AI23">
        <f>3.17417490996221*1</f>
        <v>3.1741749099622099</v>
      </c>
      <c r="AJ23">
        <v>1</v>
      </c>
      <c r="AK23">
        <v>1</v>
      </c>
      <c r="AL23">
        <v>1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125</v>
      </c>
      <c r="AF24">
        <v>107</v>
      </c>
      <c r="AG24">
        <v>107</v>
      </c>
      <c r="AH24">
        <f>47.5555555555555*1</f>
        <v>47.5555555555555</v>
      </c>
      <c r="AI24">
        <f>1.56983781252982*1</f>
        <v>1.56983781252982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0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126</v>
      </c>
      <c r="AF25">
        <v>77</v>
      </c>
      <c r="AG25">
        <v>77</v>
      </c>
      <c r="AH25">
        <f>34.2222222222222*1</f>
        <v>34.2222222222222</v>
      </c>
      <c r="AI25">
        <f>0.981176603644085*1</f>
        <v>0.98117660364408499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2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127</v>
      </c>
      <c r="AF26">
        <v>66</v>
      </c>
      <c r="AG26">
        <v>66</v>
      </c>
      <c r="AH26">
        <f>29.3333333333333*1</f>
        <v>29.3333333333333</v>
      </c>
      <c r="AI26">
        <f>0.565111288188875*1</f>
        <v>0.56511128818887502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2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128</v>
      </c>
      <c r="AF27">
        <v>95</v>
      </c>
      <c r="AG27">
        <v>95</v>
      </c>
      <c r="AH27">
        <f>42.2222222222222*1</f>
        <v>42.2222222222222</v>
      </c>
      <c r="AI27">
        <f>0.976397734761528*1</f>
        <v>0.97639773476152802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129</v>
      </c>
      <c r="AF28">
        <v>84</v>
      </c>
      <c r="AG28">
        <v>84</v>
      </c>
      <c r="AH28">
        <f>37.3333333333333*1</f>
        <v>37.3333333333333</v>
      </c>
      <c r="AI28">
        <f>0.914138755767077*1</f>
        <v>0.91413875576707704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16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</v>
      </c>
      <c r="AE29">
        <v>145</v>
      </c>
      <c r="AF29">
        <v>123</v>
      </c>
      <c r="AG29">
        <v>123</v>
      </c>
      <c r="AH29">
        <f>54.6666666666666*1</f>
        <v>54.6666666666666</v>
      </c>
      <c r="AI29">
        <f>1.05397642026903*1</f>
        <v>1.05397642026903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16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151</v>
      </c>
      <c r="AF30">
        <v>120</v>
      </c>
      <c r="AG30">
        <v>120</v>
      </c>
      <c r="AH30">
        <f>53.3333333333333*1</f>
        <v>53.3333333333333</v>
      </c>
      <c r="AI30">
        <f>1.18902242651135*1</f>
        <v>1.18902242651135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152</v>
      </c>
      <c r="AF31">
        <v>92</v>
      </c>
      <c r="AG31">
        <v>92</v>
      </c>
      <c r="AH31">
        <f>40.8888888888888*1</f>
        <v>40.8888888888888</v>
      </c>
      <c r="AI31">
        <f>1.05923939194213*1</f>
        <v>1.0592393919421299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164</v>
      </c>
      <c r="AF32">
        <v>147</v>
      </c>
      <c r="AG32">
        <v>147</v>
      </c>
      <c r="AH32">
        <f>65.3333333333333*1</f>
        <v>65.3333333333333</v>
      </c>
      <c r="AI32">
        <f>1.17163724763252*1</f>
        <v>1.1716372476325201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2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165</v>
      </c>
      <c r="AF33">
        <v>130</v>
      </c>
      <c r="AG33">
        <v>130</v>
      </c>
      <c r="AH33">
        <f>57.7777777777777*1</f>
        <v>57.7777777777777</v>
      </c>
      <c r="AI33">
        <f>1.24470744943902*1</f>
        <v>1.24470744943902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169</v>
      </c>
      <c r="AF34">
        <v>93</v>
      </c>
      <c r="AG34">
        <v>93</v>
      </c>
      <c r="AH34">
        <f>41.3333333333333*1</f>
        <v>41.3333333333333</v>
      </c>
      <c r="AI34">
        <f>1.126998490461*1</f>
        <v>1.126998490461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7.5</v>
      </c>
      <c r="AE35">
        <v>179</v>
      </c>
      <c r="AF35">
        <v>205</v>
      </c>
      <c r="AG35">
        <v>205</v>
      </c>
      <c r="AH35">
        <f>91.1111111111111*0</f>
        <v>0</v>
      </c>
      <c r="AI35">
        <f>2.0704856398832*0</f>
        <v>0</v>
      </c>
      <c r="AJ35">
        <v>0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183</v>
      </c>
      <c r="AF36">
        <v>105</v>
      </c>
      <c r="AG36">
        <v>105</v>
      </c>
      <c r="AH36">
        <f>46.6666666666666*1</f>
        <v>46.6666666666666</v>
      </c>
      <c r="AI36">
        <f>1.42593405639452*1</f>
        <v>1.42593405639452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121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195</v>
      </c>
      <c r="AF37">
        <v>91</v>
      </c>
      <c r="AG37">
        <v>91</v>
      </c>
      <c r="AH37">
        <f>40.4444444444444*1</f>
        <v>40.4444444444444</v>
      </c>
      <c r="AI37">
        <f>0.949578868763548*1</f>
        <v>0.94957886876354802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2</v>
      </c>
      <c r="AP37">
        <v>3</v>
      </c>
    </row>
    <row r="38" spans="1:42" hidden="1" x14ac:dyDescent="0.2">
      <c r="A38" t="s">
        <v>122</v>
      </c>
      <c r="B38" t="s">
        <v>123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210</v>
      </c>
      <c r="AF38">
        <v>0</v>
      </c>
      <c r="AG38">
        <v>0</v>
      </c>
      <c r="AH38">
        <f>0*1</f>
        <v>0</v>
      </c>
      <c r="AI38">
        <f>0*1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124</v>
      </c>
      <c r="B39" t="s">
        <v>125</v>
      </c>
      <c r="C39" t="s">
        <v>125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211</v>
      </c>
      <c r="AF39">
        <v>93</v>
      </c>
      <c r="AG39">
        <v>93</v>
      </c>
      <c r="AH39">
        <f>41.3333333333333*1</f>
        <v>41.3333333333333</v>
      </c>
      <c r="AI39">
        <f>1.03042526314064*1</f>
        <v>1.0304252631406401</v>
      </c>
      <c r="AJ39">
        <v>1</v>
      </c>
      <c r="AK39">
        <v>0</v>
      </c>
      <c r="AL39">
        <v>0</v>
      </c>
    </row>
    <row r="40" spans="1:42" hidden="1" x14ac:dyDescent="0.2">
      <c r="A40" t="s">
        <v>126</v>
      </c>
      <c r="B40" t="s">
        <v>127</v>
      </c>
      <c r="C40" t="s">
        <v>127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212</v>
      </c>
      <c r="AF40">
        <v>85.999999999999986</v>
      </c>
      <c r="AG40">
        <v>85.999999999999986</v>
      </c>
      <c r="AH40">
        <f>38.2222222222222*1</f>
        <v>38.2222222222222</v>
      </c>
      <c r="AI40">
        <f>1.09025691149234*1</f>
        <v>1.0902569114923399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222</v>
      </c>
      <c r="AF41">
        <v>140</v>
      </c>
      <c r="AG41">
        <v>140</v>
      </c>
      <c r="AH41">
        <f>62.2222222222222*1</f>
        <v>62.2222222222222</v>
      </c>
      <c r="AI41">
        <f>1.2940882669387*1</f>
        <v>1.2940882669386999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230</v>
      </c>
      <c r="AF42">
        <v>141</v>
      </c>
      <c r="AG42">
        <v>141</v>
      </c>
      <c r="AH42">
        <f>62.6666666666666*1</f>
        <v>62.6666666666666</v>
      </c>
      <c r="AI42">
        <f>1.35898243776604*1</f>
        <v>1.35898243776604</v>
      </c>
      <c r="AJ42">
        <v>1</v>
      </c>
      <c r="AK42">
        <v>0</v>
      </c>
      <c r="AL42">
        <v>0</v>
      </c>
    </row>
    <row r="43" spans="1:42" x14ac:dyDescent="0.2">
      <c r="A43" t="s">
        <v>308</v>
      </c>
      <c r="B43" t="s">
        <v>309</v>
      </c>
      <c r="C43" t="s">
        <v>309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27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7.6</v>
      </c>
      <c r="AE43">
        <v>546</v>
      </c>
      <c r="AF43">
        <v>213</v>
      </c>
      <c r="AG43">
        <v>213</v>
      </c>
      <c r="AH43">
        <f>94.6666666666666*1</f>
        <v>94.6666666666666</v>
      </c>
      <c r="AI43">
        <f>2.38198403808136*1</f>
        <v>2.3819840380813599</v>
      </c>
      <c r="AJ43">
        <v>1</v>
      </c>
      <c r="AK43">
        <v>1</v>
      </c>
      <c r="AL43">
        <v>1</v>
      </c>
    </row>
    <row r="44" spans="1:42" hidden="1" x14ac:dyDescent="0.2">
      <c r="A44" t="s">
        <v>135</v>
      </c>
      <c r="B44" t="s">
        <v>136</v>
      </c>
      <c r="C44" t="s">
        <v>136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234</v>
      </c>
      <c r="AF44">
        <v>80</v>
      </c>
      <c r="AG44">
        <v>80</v>
      </c>
      <c r="AH44">
        <f>35.5555555555555*1</f>
        <v>35.5555555555555</v>
      </c>
      <c r="AI44">
        <f>0.950824474423819*1</f>
        <v>0.95082447442381901</v>
      </c>
      <c r="AJ44">
        <v>1</v>
      </c>
      <c r="AK44">
        <v>0</v>
      </c>
      <c r="AL44">
        <v>0</v>
      </c>
    </row>
    <row r="45" spans="1:42" hidden="1" x14ac:dyDescent="0.2">
      <c r="A45" t="s">
        <v>137</v>
      </c>
      <c r="B45" t="s">
        <v>138</v>
      </c>
      <c r="C45" t="s">
        <v>138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10.5</v>
      </c>
      <c r="AE45">
        <v>241</v>
      </c>
      <c r="AF45">
        <v>215</v>
      </c>
      <c r="AG45">
        <v>215</v>
      </c>
      <c r="AH45">
        <f>95.5555555555555*1</f>
        <v>95.5555555555555</v>
      </c>
      <c r="AI45">
        <f>1.69976695718505*1</f>
        <v>1.69976695718505</v>
      </c>
      <c r="AJ45">
        <v>1</v>
      </c>
      <c r="AK45">
        <v>0</v>
      </c>
      <c r="AL45">
        <v>0</v>
      </c>
    </row>
    <row r="46" spans="1:42" hidden="1" x14ac:dyDescent="0.2">
      <c r="A46" t="s">
        <v>139</v>
      </c>
      <c r="B46" t="s">
        <v>140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</v>
      </c>
      <c r="AE46">
        <v>242</v>
      </c>
      <c r="AF46">
        <v>108</v>
      </c>
      <c r="AG46">
        <v>108</v>
      </c>
      <c r="AH46">
        <f>48*1</f>
        <v>48</v>
      </c>
      <c r="AI46">
        <f>1.34358813630951*1</f>
        <v>1.3435881363095099</v>
      </c>
      <c r="AJ46">
        <v>1</v>
      </c>
      <c r="AK46">
        <v>0</v>
      </c>
      <c r="AL46">
        <v>0</v>
      </c>
    </row>
    <row r="47" spans="1:42" hidden="1" x14ac:dyDescent="0.2">
      <c r="A47" t="s">
        <v>142</v>
      </c>
      <c r="B47" t="s">
        <v>143</v>
      </c>
      <c r="C47" t="s">
        <v>142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6.5</v>
      </c>
      <c r="AE47">
        <v>243</v>
      </c>
      <c r="AF47">
        <v>138</v>
      </c>
      <c r="AG47">
        <v>138</v>
      </c>
      <c r="AH47">
        <f>61.3333333333333*1</f>
        <v>61.3333333333333</v>
      </c>
      <c r="AI47">
        <f>1.25466909197723*1</f>
        <v>1.2546690919772301</v>
      </c>
      <c r="AJ47">
        <v>1</v>
      </c>
      <c r="AK47">
        <v>0</v>
      </c>
      <c r="AL47">
        <v>0</v>
      </c>
    </row>
    <row r="48" spans="1:42" hidden="1" x14ac:dyDescent="0.2">
      <c r="A48" t="s">
        <v>144</v>
      </c>
      <c r="B48" t="s">
        <v>145</v>
      </c>
      <c r="C48" t="s">
        <v>146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247</v>
      </c>
      <c r="AF48">
        <v>100</v>
      </c>
      <c r="AG48">
        <v>100</v>
      </c>
      <c r="AH48">
        <f>44.4444444444444*1</f>
        <v>44.4444444444444</v>
      </c>
      <c r="AI48">
        <f>0.975782832145341*1</f>
        <v>0.97578283214534101</v>
      </c>
      <c r="AJ48">
        <v>1</v>
      </c>
      <c r="AK48">
        <v>0</v>
      </c>
      <c r="AL48">
        <v>0</v>
      </c>
    </row>
    <row r="49" spans="1:38" hidden="1" x14ac:dyDescent="0.2">
      <c r="A49" t="s">
        <v>147</v>
      </c>
      <c r="B49" t="s">
        <v>148</v>
      </c>
      <c r="C49" t="s">
        <v>147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7.5</v>
      </c>
      <c r="AE49">
        <v>254</v>
      </c>
      <c r="AF49">
        <v>157</v>
      </c>
      <c r="AG49">
        <v>157</v>
      </c>
      <c r="AH49">
        <f>69.7777777777777*1</f>
        <v>69.7777777777777</v>
      </c>
      <c r="AI49">
        <f>1.35013277002091*1</f>
        <v>1.35013277002091</v>
      </c>
      <c r="AJ49">
        <v>1</v>
      </c>
      <c r="AK49">
        <v>0</v>
      </c>
      <c r="AL49">
        <v>0</v>
      </c>
    </row>
    <row r="50" spans="1:38" x14ac:dyDescent="0.2">
      <c r="A50" t="s">
        <v>246</v>
      </c>
      <c r="B50" t="s">
        <v>247</v>
      </c>
      <c r="C50" t="s">
        <v>247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25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447</v>
      </c>
      <c r="AF50">
        <v>228</v>
      </c>
      <c r="AG50">
        <v>228</v>
      </c>
      <c r="AH50">
        <f>101.333333333333*1</f>
        <v>101.333333333333</v>
      </c>
      <c r="AI50">
        <f>2.3747277199201*1</f>
        <v>2.3747277199201</v>
      </c>
      <c r="AJ50">
        <v>1</v>
      </c>
      <c r="AK50">
        <v>1</v>
      </c>
      <c r="AL50">
        <v>1</v>
      </c>
    </row>
    <row r="51" spans="1:38" hidden="1" x14ac:dyDescent="0.2">
      <c r="A51" t="s">
        <v>152</v>
      </c>
      <c r="B51" t="s">
        <v>153</v>
      </c>
      <c r="C51" t="s">
        <v>153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258</v>
      </c>
      <c r="AF51">
        <v>131</v>
      </c>
      <c r="AG51">
        <v>131</v>
      </c>
      <c r="AH51">
        <f>58.2222222222222*1</f>
        <v>58.2222222222222</v>
      </c>
      <c r="AI51">
        <f>1.91815072290013*1</f>
        <v>1.91815072290013</v>
      </c>
      <c r="AJ51">
        <v>1</v>
      </c>
      <c r="AK51">
        <v>0</v>
      </c>
      <c r="AL51">
        <v>0</v>
      </c>
    </row>
    <row r="52" spans="1:38" hidden="1" x14ac:dyDescent="0.2">
      <c r="A52" t="s">
        <v>154</v>
      </c>
      <c r="B52" t="s">
        <v>155</v>
      </c>
      <c r="C52" t="s">
        <v>155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263</v>
      </c>
      <c r="AF52">
        <v>132</v>
      </c>
      <c r="AG52">
        <v>132</v>
      </c>
      <c r="AH52">
        <f>58.6666666666666*1</f>
        <v>58.6666666666666</v>
      </c>
      <c r="AI52">
        <f>1.29704266072271*1</f>
        <v>1.2970426607227099</v>
      </c>
      <c r="AJ52">
        <v>1</v>
      </c>
      <c r="AK52">
        <v>0</v>
      </c>
      <c r="AL52">
        <v>0</v>
      </c>
    </row>
    <row r="53" spans="1:38" x14ac:dyDescent="0.2">
      <c r="A53" t="s">
        <v>90</v>
      </c>
      <c r="B53" t="s">
        <v>91</v>
      </c>
      <c r="C53" t="s">
        <v>91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7.1</v>
      </c>
      <c r="AE53">
        <v>124</v>
      </c>
      <c r="AF53">
        <v>172</v>
      </c>
      <c r="AG53">
        <v>172</v>
      </c>
      <c r="AH53">
        <f>76.4444444444444*1</f>
        <v>76.4444444444444</v>
      </c>
      <c r="AI53">
        <f>2.37299455540849*1</f>
        <v>2.3729945554084901</v>
      </c>
      <c r="AJ53">
        <v>1</v>
      </c>
      <c r="AK53">
        <v>1</v>
      </c>
      <c r="AL53">
        <v>1</v>
      </c>
    </row>
    <row r="54" spans="1:38" x14ac:dyDescent="0.2">
      <c r="A54" t="s">
        <v>342</v>
      </c>
      <c r="B54" t="s">
        <v>343</v>
      </c>
      <c r="C54" t="s">
        <v>343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30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8</v>
      </c>
      <c r="AE54">
        <v>656</v>
      </c>
      <c r="AF54">
        <v>199</v>
      </c>
      <c r="AG54">
        <v>199</v>
      </c>
      <c r="AH54">
        <f>88.4444444444444*1</f>
        <v>88.4444444444444</v>
      </c>
      <c r="AI54">
        <f>2.1525602212604*1</f>
        <v>2.1525602212604</v>
      </c>
      <c r="AJ54">
        <v>1</v>
      </c>
      <c r="AK54">
        <v>1</v>
      </c>
      <c r="AL54">
        <v>1</v>
      </c>
    </row>
    <row r="55" spans="1:38" hidden="1" x14ac:dyDescent="0.2">
      <c r="A55" t="s">
        <v>159</v>
      </c>
      <c r="B55" t="s">
        <v>160</v>
      </c>
      <c r="C55" t="s">
        <v>160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6.5</v>
      </c>
      <c r="AE55">
        <v>272</v>
      </c>
      <c r="AF55">
        <v>145</v>
      </c>
      <c r="AG55">
        <v>145</v>
      </c>
      <c r="AH55">
        <f>64.4444444444444*1</f>
        <v>64.4444444444444</v>
      </c>
      <c r="AI55">
        <f>1.61104550669269*1</f>
        <v>1.6110455066926901</v>
      </c>
      <c r="AJ55">
        <v>1</v>
      </c>
      <c r="AK55">
        <v>0</v>
      </c>
      <c r="AL55">
        <v>0</v>
      </c>
    </row>
    <row r="56" spans="1:38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275</v>
      </c>
      <c r="AF56">
        <v>81</v>
      </c>
      <c r="AG56">
        <v>81</v>
      </c>
      <c r="AH56">
        <f>36*1</f>
        <v>36</v>
      </c>
      <c r="AI56">
        <f>0.926663390592528*1</f>
        <v>0.926663390592528</v>
      </c>
      <c r="AJ56">
        <v>1</v>
      </c>
      <c r="AK56">
        <v>0</v>
      </c>
      <c r="AL56">
        <v>0</v>
      </c>
    </row>
    <row r="57" spans="1:38" hidden="1" x14ac:dyDescent="0.2">
      <c r="A57" t="s">
        <v>163</v>
      </c>
      <c r="B57" t="s">
        <v>164</v>
      </c>
      <c r="C57" t="s">
        <v>165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277</v>
      </c>
      <c r="AF57">
        <v>67</v>
      </c>
      <c r="AG57">
        <v>67</v>
      </c>
      <c r="AH57">
        <f>29.7777777777777*1</f>
        <v>29.7777777777777</v>
      </c>
      <c r="AI57">
        <f>1.02082847154676*1</f>
        <v>1.0208284715467599</v>
      </c>
      <c r="AJ57">
        <v>1</v>
      </c>
      <c r="AK57">
        <v>0</v>
      </c>
      <c r="AL57">
        <v>0</v>
      </c>
    </row>
    <row r="58" spans="1:38" hidden="1" x14ac:dyDescent="0.2">
      <c r="A58" t="s">
        <v>166</v>
      </c>
      <c r="B58" t="s">
        <v>167</v>
      </c>
      <c r="C58" t="s">
        <v>167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7.5</v>
      </c>
      <c r="AE58">
        <v>288</v>
      </c>
      <c r="AF58">
        <v>168</v>
      </c>
      <c r="AG58">
        <v>168</v>
      </c>
      <c r="AH58">
        <f>74.6666666666666*1</f>
        <v>74.6666666666666</v>
      </c>
      <c r="AI58">
        <f>1.59723463922303*1</f>
        <v>1.5972346392230301</v>
      </c>
      <c r="AJ58">
        <v>1</v>
      </c>
      <c r="AK58">
        <v>0</v>
      </c>
      <c r="AL58">
        <v>0</v>
      </c>
    </row>
    <row r="59" spans="1:38" hidden="1" x14ac:dyDescent="0.2">
      <c r="A59" t="s">
        <v>168</v>
      </c>
      <c r="B59" t="s">
        <v>169</v>
      </c>
      <c r="C59" t="s">
        <v>169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289</v>
      </c>
      <c r="AF59">
        <v>65</v>
      </c>
      <c r="AG59">
        <v>65</v>
      </c>
      <c r="AH59">
        <f>28.8888888888888*1</f>
        <v>28.8888888888888</v>
      </c>
      <c r="AI59">
        <f>0.939733802394434*1</f>
        <v>0.93973380239443405</v>
      </c>
      <c r="AJ59">
        <v>1</v>
      </c>
      <c r="AK59">
        <v>0</v>
      </c>
      <c r="AL59">
        <v>0</v>
      </c>
    </row>
    <row r="60" spans="1:38" hidden="1" x14ac:dyDescent="0.2">
      <c r="A60" t="s">
        <v>170</v>
      </c>
      <c r="B60" t="s">
        <v>171</v>
      </c>
      <c r="C60" t="s">
        <v>171</v>
      </c>
      <c r="D60" t="s">
        <v>3</v>
      </c>
      <c r="E60">
        <v>1</v>
      </c>
      <c r="F60">
        <v>0</v>
      </c>
      <c r="G60">
        <v>0</v>
      </c>
      <c r="H60">
        <v>0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294</v>
      </c>
      <c r="AF60">
        <v>150</v>
      </c>
      <c r="AG60">
        <v>150</v>
      </c>
      <c r="AH60">
        <f>66.6666666666666*1</f>
        <v>66.6666666666666</v>
      </c>
      <c r="AI60">
        <f>1.59079060077865*1</f>
        <v>1.5907906007786501</v>
      </c>
      <c r="AJ60">
        <v>1</v>
      </c>
      <c r="AK60">
        <v>0</v>
      </c>
      <c r="AL60">
        <v>0</v>
      </c>
    </row>
    <row r="61" spans="1:38" hidden="1" x14ac:dyDescent="0.2">
      <c r="A61" t="s">
        <v>172</v>
      </c>
      <c r="B61" t="s">
        <v>173</v>
      </c>
      <c r="C61" t="s">
        <v>173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297</v>
      </c>
      <c r="AF61">
        <v>122</v>
      </c>
      <c r="AG61">
        <v>122</v>
      </c>
      <c r="AH61">
        <f>54.2222222222222*1</f>
        <v>54.2222222222222</v>
      </c>
      <c r="AI61">
        <f>1.34125720419478*1</f>
        <v>1.3412572041947799</v>
      </c>
      <c r="AJ61">
        <v>1</v>
      </c>
      <c r="AK61">
        <v>0</v>
      </c>
      <c r="AL61">
        <v>0</v>
      </c>
    </row>
    <row r="62" spans="1:38" hidden="1" x14ac:dyDescent="0.2">
      <c r="A62" t="s">
        <v>174</v>
      </c>
      <c r="B62" t="s">
        <v>175</v>
      </c>
      <c r="C62" t="s">
        <v>175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298</v>
      </c>
      <c r="AF62">
        <v>115</v>
      </c>
      <c r="AG62">
        <v>115</v>
      </c>
      <c r="AH62">
        <f>51.1111111111111*1</f>
        <v>51.1111111111111</v>
      </c>
      <c r="AI62">
        <f>1.13881945690964*1</f>
        <v>1.1388194569096399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177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299</v>
      </c>
      <c r="AF63">
        <v>123</v>
      </c>
      <c r="AG63">
        <v>123</v>
      </c>
      <c r="AH63">
        <f>54.6666666666666*1</f>
        <v>54.6666666666666</v>
      </c>
      <c r="AI63">
        <f>1.86507159514511*1</f>
        <v>1.86507159514511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180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318</v>
      </c>
      <c r="AF64">
        <v>92</v>
      </c>
      <c r="AG64">
        <v>92</v>
      </c>
      <c r="AH64">
        <f>40.8888888888888*1</f>
        <v>40.8888888888888</v>
      </c>
      <c r="AI64">
        <f>1.06438789486743*1</f>
        <v>1.0643878948674299</v>
      </c>
      <c r="AJ64">
        <v>1</v>
      </c>
      <c r="AK64">
        <v>0</v>
      </c>
      <c r="AL64">
        <v>0</v>
      </c>
    </row>
    <row r="65" spans="1:38" hidden="1" x14ac:dyDescent="0.2">
      <c r="A65" t="s">
        <v>181</v>
      </c>
      <c r="B65" t="s">
        <v>182</v>
      </c>
      <c r="C65" t="s">
        <v>182</v>
      </c>
      <c r="D65" t="s">
        <v>3</v>
      </c>
      <c r="E65">
        <v>1</v>
      </c>
      <c r="F65">
        <v>0</v>
      </c>
      <c r="G65">
        <v>0</v>
      </c>
      <c r="H65">
        <v>0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324</v>
      </c>
      <c r="AF65">
        <v>112</v>
      </c>
      <c r="AG65">
        <v>112</v>
      </c>
      <c r="AH65">
        <f>49.7777777777777*1</f>
        <v>49.7777777777777</v>
      </c>
      <c r="AI65">
        <f>1.61789669986191*1</f>
        <v>1.61789669986191</v>
      </c>
      <c r="AJ65">
        <v>1</v>
      </c>
      <c r="AK65">
        <v>0</v>
      </c>
      <c r="AL65">
        <v>0</v>
      </c>
    </row>
    <row r="66" spans="1:38" hidden="1" x14ac:dyDescent="0.2">
      <c r="A66" t="s">
        <v>183</v>
      </c>
      <c r="B66" t="s">
        <v>184</v>
      </c>
      <c r="C66" t="s">
        <v>184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326</v>
      </c>
      <c r="AF66">
        <v>106</v>
      </c>
      <c r="AG66">
        <v>106</v>
      </c>
      <c r="AH66">
        <f>47.1111111111111*1</f>
        <v>47.1111111111111</v>
      </c>
      <c r="AI66">
        <f>1.13444546720087*1</f>
        <v>1.1344454672008699</v>
      </c>
      <c r="AJ66">
        <v>1</v>
      </c>
      <c r="AK66">
        <v>0</v>
      </c>
      <c r="AL66">
        <v>0</v>
      </c>
    </row>
    <row r="67" spans="1:38" hidden="1" x14ac:dyDescent="0.2">
      <c r="A67" t="s">
        <v>185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327</v>
      </c>
      <c r="AF67">
        <v>82</v>
      </c>
      <c r="AG67">
        <v>82</v>
      </c>
      <c r="AH67">
        <f>36.4444444444444*1</f>
        <v>36.4444444444444</v>
      </c>
      <c r="AI67">
        <f>1.26784353940434*1</f>
        <v>1.2678435394043399</v>
      </c>
      <c r="AJ67">
        <v>1</v>
      </c>
      <c r="AK67">
        <v>0</v>
      </c>
      <c r="AL67">
        <v>0</v>
      </c>
    </row>
    <row r="68" spans="1:38" hidden="1" x14ac:dyDescent="0.2">
      <c r="A68" t="s">
        <v>187</v>
      </c>
      <c r="B68" t="s">
        <v>188</v>
      </c>
      <c r="C68" t="s">
        <v>188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328</v>
      </c>
      <c r="AF68">
        <v>77</v>
      </c>
      <c r="AG68">
        <v>77</v>
      </c>
      <c r="AH68">
        <f>34.2222222222222*1</f>
        <v>34.2222222222222</v>
      </c>
      <c r="AI68">
        <f>0.986063381921302*1</f>
        <v>0.98606338192130205</v>
      </c>
      <c r="AJ68">
        <v>1</v>
      </c>
      <c r="AK68">
        <v>0</v>
      </c>
      <c r="AL68">
        <v>0</v>
      </c>
    </row>
    <row r="69" spans="1:38" hidden="1" x14ac:dyDescent="0.2">
      <c r="A69" t="s">
        <v>189</v>
      </c>
      <c r="B69" t="s">
        <v>190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6.5</v>
      </c>
      <c r="AE69">
        <v>334</v>
      </c>
      <c r="AF69">
        <v>148</v>
      </c>
      <c r="AG69">
        <v>148</v>
      </c>
      <c r="AH69">
        <f>65.7777777777777*1</f>
        <v>65.7777777777777</v>
      </c>
      <c r="AI69">
        <f>2.03047985019452*1</f>
        <v>2.0304798501945198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</v>
      </c>
      <c r="AE70">
        <v>335</v>
      </c>
      <c r="AF70">
        <v>117</v>
      </c>
      <c r="AG70">
        <v>117</v>
      </c>
      <c r="AH70">
        <f>52*1</f>
        <v>52</v>
      </c>
      <c r="AI70">
        <f>1.37915009529837*1</f>
        <v>1.37915009529837</v>
      </c>
      <c r="AJ70">
        <v>1</v>
      </c>
      <c r="AK70">
        <v>0</v>
      </c>
      <c r="AL70">
        <v>0</v>
      </c>
    </row>
    <row r="71" spans="1:38" hidden="1" x14ac:dyDescent="0.2">
      <c r="A71" t="s">
        <v>193</v>
      </c>
      <c r="B71" t="s">
        <v>194</v>
      </c>
      <c r="C71" t="s">
        <v>193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337</v>
      </c>
      <c r="AF71">
        <v>91</v>
      </c>
      <c r="AG71">
        <v>91</v>
      </c>
      <c r="AH71">
        <f>40.4444444444444*1</f>
        <v>40.4444444444444</v>
      </c>
      <c r="AI71">
        <f>1.42914662938436*1</f>
        <v>1.42914662938436</v>
      </c>
      <c r="AJ71">
        <v>1</v>
      </c>
      <c r="AK71">
        <v>0</v>
      </c>
      <c r="AL71">
        <v>0</v>
      </c>
    </row>
    <row r="72" spans="1:38" hidden="1" x14ac:dyDescent="0.2">
      <c r="A72" t="s">
        <v>195</v>
      </c>
      <c r="B72" t="s">
        <v>196</v>
      </c>
      <c r="C72" t="s">
        <v>196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339</v>
      </c>
      <c r="AF72">
        <v>122</v>
      </c>
      <c r="AG72">
        <v>122</v>
      </c>
      <c r="AH72">
        <f>54.2222222222222*1</f>
        <v>54.2222222222222</v>
      </c>
      <c r="AI72">
        <f>1.14747317083674*1</f>
        <v>1.1474731708367401</v>
      </c>
      <c r="AJ72">
        <v>1</v>
      </c>
      <c r="AK72">
        <v>0</v>
      </c>
      <c r="AL72">
        <v>0</v>
      </c>
    </row>
    <row r="73" spans="1:38" hidden="1" x14ac:dyDescent="0.2">
      <c r="A73" t="s">
        <v>197</v>
      </c>
      <c r="B73" t="s">
        <v>198</v>
      </c>
      <c r="C73" t="s">
        <v>198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340</v>
      </c>
      <c r="AF73">
        <v>67</v>
      </c>
      <c r="AG73">
        <v>67</v>
      </c>
      <c r="AH73">
        <f>29.7777777777777*1</f>
        <v>29.7777777777777</v>
      </c>
      <c r="AI73">
        <f>0.927100258720411*1</f>
        <v>0.92710025872041102</v>
      </c>
      <c r="AJ73">
        <v>1</v>
      </c>
      <c r="AK73">
        <v>0</v>
      </c>
      <c r="AL73">
        <v>0</v>
      </c>
    </row>
    <row r="74" spans="1:38" hidden="1" x14ac:dyDescent="0.2">
      <c r="A74" t="s">
        <v>199</v>
      </c>
      <c r="B74" t="s">
        <v>200</v>
      </c>
      <c r="C74" t="s">
        <v>200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341</v>
      </c>
      <c r="AF74">
        <v>45</v>
      </c>
      <c r="AG74">
        <v>45</v>
      </c>
      <c r="AH74">
        <f>20*1</f>
        <v>20</v>
      </c>
      <c r="AI74">
        <f>0.693700405750661*1</f>
        <v>0.69370040575066105</v>
      </c>
      <c r="AJ74">
        <v>1</v>
      </c>
      <c r="AK74">
        <v>0</v>
      </c>
      <c r="AL74">
        <v>0</v>
      </c>
    </row>
    <row r="75" spans="1:38" hidden="1" x14ac:dyDescent="0.2">
      <c r="A75" t="s">
        <v>201</v>
      </c>
      <c r="B75" t="s">
        <v>202</v>
      </c>
      <c r="C75" t="s">
        <v>202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342</v>
      </c>
      <c r="AF75">
        <v>68</v>
      </c>
      <c r="AG75">
        <v>68</v>
      </c>
      <c r="AH75">
        <f>30.2222222222222*1</f>
        <v>30.2222222222222</v>
      </c>
      <c r="AI75">
        <f>0.837268231742801*1</f>
        <v>0.83726823174280096</v>
      </c>
      <c r="AJ75">
        <v>1</v>
      </c>
      <c r="AK75">
        <v>0</v>
      </c>
      <c r="AL75">
        <v>0</v>
      </c>
    </row>
    <row r="76" spans="1:38" hidden="1" x14ac:dyDescent="0.2">
      <c r="A76" t="s">
        <v>203</v>
      </c>
      <c r="B76" t="s">
        <v>204</v>
      </c>
      <c r="C76" t="s">
        <v>205</v>
      </c>
      <c r="D76" t="s">
        <v>6</v>
      </c>
      <c r="E76">
        <v>0</v>
      </c>
      <c r="F76">
        <v>0</v>
      </c>
      <c r="G76">
        <v>0</v>
      </c>
      <c r="H76">
        <v>1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348</v>
      </c>
      <c r="AF76">
        <v>109</v>
      </c>
      <c r="AG76">
        <v>109</v>
      </c>
      <c r="AH76">
        <f>48.4444444444444*1</f>
        <v>48.4444444444444</v>
      </c>
      <c r="AI76">
        <f>1.40966078622536*1</f>
        <v>1.4096607862253601</v>
      </c>
      <c r="AJ76">
        <v>1</v>
      </c>
      <c r="AK76">
        <v>0</v>
      </c>
      <c r="AL76">
        <v>0</v>
      </c>
    </row>
    <row r="77" spans="1:38" hidden="1" x14ac:dyDescent="0.2">
      <c r="A77" t="s">
        <v>206</v>
      </c>
      <c r="B77" t="s">
        <v>207</v>
      </c>
      <c r="C77" t="s">
        <v>207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363</v>
      </c>
      <c r="AF77">
        <v>89</v>
      </c>
      <c r="AG77">
        <v>89</v>
      </c>
      <c r="AH77">
        <f>39.5555555555555*1</f>
        <v>39.5555555555555</v>
      </c>
      <c r="AI77">
        <f>1.34979973881509*1</f>
        <v>1.34979973881509</v>
      </c>
      <c r="AJ77">
        <v>1</v>
      </c>
      <c r="AK77">
        <v>0</v>
      </c>
      <c r="AL77">
        <v>0</v>
      </c>
    </row>
    <row r="78" spans="1:38" hidden="1" x14ac:dyDescent="0.2">
      <c r="A78" t="s">
        <v>208</v>
      </c>
      <c r="B78" t="s">
        <v>209</v>
      </c>
      <c r="C78" t="s">
        <v>209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380</v>
      </c>
      <c r="AF78">
        <v>106</v>
      </c>
      <c r="AG78">
        <v>106</v>
      </c>
      <c r="AH78">
        <f>47.1111111111111*1</f>
        <v>47.1111111111111</v>
      </c>
      <c r="AI78">
        <f>1.33555776822962*1</f>
        <v>1.33555776822962</v>
      </c>
      <c r="AJ78">
        <v>1</v>
      </c>
      <c r="AK78">
        <v>0</v>
      </c>
      <c r="AL78">
        <v>0</v>
      </c>
    </row>
    <row r="79" spans="1:38" hidden="1" x14ac:dyDescent="0.2">
      <c r="A79" t="s">
        <v>210</v>
      </c>
      <c r="B79" t="s">
        <v>211</v>
      </c>
      <c r="C79" t="s">
        <v>211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</v>
      </c>
      <c r="AE79">
        <v>386</v>
      </c>
      <c r="AF79">
        <v>131</v>
      </c>
      <c r="AG79">
        <v>131</v>
      </c>
      <c r="AH79">
        <f>58.2222222222222*1</f>
        <v>58.2222222222222</v>
      </c>
      <c r="AI79">
        <f>1.37207766060103*1</f>
        <v>1.3720776606010301</v>
      </c>
      <c r="AJ79">
        <v>1</v>
      </c>
      <c r="AK79">
        <v>0</v>
      </c>
      <c r="AL79">
        <v>0</v>
      </c>
    </row>
    <row r="80" spans="1:38" hidden="1" x14ac:dyDescent="0.2">
      <c r="A80" t="s">
        <v>212</v>
      </c>
      <c r="B80" t="s">
        <v>213</v>
      </c>
      <c r="C80" t="s">
        <v>213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387</v>
      </c>
      <c r="AF80">
        <v>115</v>
      </c>
      <c r="AG80">
        <v>115</v>
      </c>
      <c r="AH80">
        <f>51.1111111111111*1</f>
        <v>51.1111111111111</v>
      </c>
      <c r="AI80">
        <f>1.17470915808829*1</f>
        <v>1.17470915808829</v>
      </c>
      <c r="AJ80">
        <v>1</v>
      </c>
      <c r="AK80">
        <v>0</v>
      </c>
      <c r="AL80">
        <v>0</v>
      </c>
    </row>
    <row r="81" spans="1:38" hidden="1" x14ac:dyDescent="0.2">
      <c r="A81" t="s">
        <v>214</v>
      </c>
      <c r="B81" t="s">
        <v>215</v>
      </c>
      <c r="C81" t="s">
        <v>214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</v>
      </c>
      <c r="AE81">
        <v>388</v>
      </c>
      <c r="AF81">
        <v>146</v>
      </c>
      <c r="AG81">
        <v>146</v>
      </c>
      <c r="AH81">
        <f>64.8888888888888*1</f>
        <v>64.8888888888888</v>
      </c>
      <c r="AI81">
        <f>1.84001189409493*1</f>
        <v>1.8400118940949299</v>
      </c>
      <c r="AJ81">
        <v>1</v>
      </c>
      <c r="AK81">
        <v>0</v>
      </c>
      <c r="AL81">
        <v>0</v>
      </c>
    </row>
    <row r="82" spans="1:38" hidden="1" x14ac:dyDescent="0.2">
      <c r="A82" t="s">
        <v>216</v>
      </c>
      <c r="B82" t="s">
        <v>217</v>
      </c>
      <c r="C82" t="s">
        <v>217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5.5</v>
      </c>
      <c r="AE82">
        <v>389</v>
      </c>
      <c r="AF82">
        <v>115</v>
      </c>
      <c r="AG82">
        <v>115</v>
      </c>
      <c r="AH82">
        <f>51.1111111111111*1</f>
        <v>51.1111111111111</v>
      </c>
      <c r="AI82">
        <f>1.18379586105696*1</f>
        <v>1.1837958610569601</v>
      </c>
      <c r="AJ82">
        <v>1</v>
      </c>
      <c r="AK82">
        <v>0</v>
      </c>
      <c r="AL82">
        <v>0</v>
      </c>
    </row>
    <row r="83" spans="1:38" x14ac:dyDescent="0.2">
      <c r="A83" t="s">
        <v>263</v>
      </c>
      <c r="B83" t="s">
        <v>264</v>
      </c>
      <c r="C83" t="s">
        <v>264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488</v>
      </c>
      <c r="AF83">
        <v>144</v>
      </c>
      <c r="AG83">
        <v>144</v>
      </c>
      <c r="AH83">
        <f>64*1</f>
        <v>64</v>
      </c>
      <c r="AI83">
        <f>1.8246480787458*1</f>
        <v>1.8246480787457999</v>
      </c>
      <c r="AJ83">
        <v>1</v>
      </c>
      <c r="AK83">
        <v>1</v>
      </c>
      <c r="AL83">
        <v>1</v>
      </c>
    </row>
    <row r="84" spans="1:38" hidden="1" x14ac:dyDescent="0.2">
      <c r="A84" t="s">
        <v>221</v>
      </c>
      <c r="B84" t="s">
        <v>222</v>
      </c>
      <c r="C84" t="s">
        <v>222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7.5</v>
      </c>
      <c r="AE84">
        <v>399</v>
      </c>
      <c r="AF84">
        <v>137</v>
      </c>
      <c r="AG84">
        <v>137</v>
      </c>
      <c r="AH84">
        <f>60.8888888888888*1</f>
        <v>60.8888888888888</v>
      </c>
      <c r="AI84">
        <f>1.49444409551592*1</f>
        <v>1.4944440955159199</v>
      </c>
      <c r="AJ84">
        <v>1</v>
      </c>
      <c r="AK84">
        <v>0</v>
      </c>
      <c r="AL84">
        <v>0</v>
      </c>
    </row>
    <row r="85" spans="1:38" hidden="1" x14ac:dyDescent="0.2">
      <c r="A85" t="s">
        <v>223</v>
      </c>
      <c r="B85" t="s">
        <v>224</v>
      </c>
      <c r="C85" t="s">
        <v>224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6.5</v>
      </c>
      <c r="AE85">
        <v>401</v>
      </c>
      <c r="AF85">
        <v>136</v>
      </c>
      <c r="AG85">
        <v>136</v>
      </c>
      <c r="AH85">
        <f>60.4444444444444*1</f>
        <v>60.4444444444444</v>
      </c>
      <c r="AI85">
        <f>1.47000395019482*1</f>
        <v>1.4700039501948201</v>
      </c>
      <c r="AJ85">
        <v>1</v>
      </c>
      <c r="AK85">
        <v>0</v>
      </c>
      <c r="AL85">
        <v>0</v>
      </c>
    </row>
    <row r="86" spans="1:38" hidden="1" x14ac:dyDescent="0.2">
      <c r="A86" t="s">
        <v>225</v>
      </c>
      <c r="B86" t="s">
        <v>226</v>
      </c>
      <c r="C86" t="s">
        <v>226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6.5</v>
      </c>
      <c r="AE86">
        <v>402</v>
      </c>
      <c r="AF86">
        <v>142</v>
      </c>
      <c r="AG86">
        <v>142</v>
      </c>
      <c r="AH86">
        <f>63.1111111111111*1</f>
        <v>63.1111111111111</v>
      </c>
      <c r="AI86">
        <f>1.67879112147834*1</f>
        <v>1.67879112147834</v>
      </c>
      <c r="AJ86">
        <v>1</v>
      </c>
      <c r="AK86">
        <v>0</v>
      </c>
      <c r="AL86">
        <v>0</v>
      </c>
    </row>
    <row r="87" spans="1:38" hidden="1" x14ac:dyDescent="0.2">
      <c r="A87" t="s">
        <v>227</v>
      </c>
      <c r="B87" t="s">
        <v>228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403</v>
      </c>
      <c r="AF87">
        <v>89</v>
      </c>
      <c r="AG87">
        <v>89</v>
      </c>
      <c r="AH87">
        <f>39.5555555555555*1</f>
        <v>39.5555555555555</v>
      </c>
      <c r="AI87">
        <f>0.99051597424375*1</f>
        <v>0.99051597424375004</v>
      </c>
      <c r="AJ87">
        <v>1</v>
      </c>
      <c r="AK87">
        <v>0</v>
      </c>
      <c r="AL87">
        <v>0</v>
      </c>
    </row>
    <row r="88" spans="1:38" hidden="1" x14ac:dyDescent="0.2">
      <c r="A88" t="s">
        <v>98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405</v>
      </c>
      <c r="AF88">
        <v>90</v>
      </c>
      <c r="AG88">
        <v>90</v>
      </c>
      <c r="AH88">
        <f>40*1</f>
        <v>40</v>
      </c>
      <c r="AI88">
        <f>0.950035555253539*1</f>
        <v>0.950035555253539</v>
      </c>
      <c r="AJ88">
        <v>1</v>
      </c>
      <c r="AK88">
        <v>0</v>
      </c>
      <c r="AL88">
        <v>0</v>
      </c>
    </row>
    <row r="89" spans="1:38" hidden="1" x14ac:dyDescent="0.2">
      <c r="A89" t="s">
        <v>231</v>
      </c>
      <c r="B89" t="s">
        <v>232</v>
      </c>
      <c r="C89" t="s">
        <v>231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6.5</v>
      </c>
      <c r="AE89">
        <v>411</v>
      </c>
      <c r="AF89">
        <v>84</v>
      </c>
      <c r="AG89">
        <v>84</v>
      </c>
      <c r="AH89">
        <f>37.3333333333333*1</f>
        <v>37.3333333333333</v>
      </c>
      <c r="AI89">
        <f>1.26450574748233*1</f>
        <v>1.26450574748233</v>
      </c>
      <c r="AJ89">
        <v>1</v>
      </c>
      <c r="AK89">
        <v>0</v>
      </c>
      <c r="AL89">
        <v>0</v>
      </c>
    </row>
    <row r="90" spans="1:38" hidden="1" x14ac:dyDescent="0.2">
      <c r="A90" t="s">
        <v>233</v>
      </c>
      <c r="B90" t="s">
        <v>234</v>
      </c>
      <c r="C90" t="s">
        <v>234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</v>
      </c>
      <c r="AE90">
        <v>420</v>
      </c>
      <c r="AF90">
        <v>133</v>
      </c>
      <c r="AG90">
        <v>133</v>
      </c>
      <c r="AH90">
        <f>59.1111111111111*1</f>
        <v>59.1111111111111</v>
      </c>
      <c r="AI90">
        <f>1.22387973488013*1</f>
        <v>1.22387973488013</v>
      </c>
      <c r="AJ90">
        <v>1</v>
      </c>
      <c r="AK90">
        <v>0</v>
      </c>
      <c r="AL90">
        <v>0</v>
      </c>
    </row>
    <row r="91" spans="1:38" hidden="1" x14ac:dyDescent="0.2">
      <c r="A91" t="s">
        <v>235</v>
      </c>
      <c r="B91" t="s">
        <v>236</v>
      </c>
      <c r="C91" t="s">
        <v>236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421</v>
      </c>
      <c r="AF91">
        <v>149</v>
      </c>
      <c r="AG91">
        <v>149</v>
      </c>
      <c r="AH91">
        <f>66.2222222222222*1</f>
        <v>66.2222222222222</v>
      </c>
      <c r="AI91">
        <f>1.73602971429207*1</f>
        <v>1.73602971429207</v>
      </c>
      <c r="AJ91">
        <v>1</v>
      </c>
      <c r="AK91">
        <v>0</v>
      </c>
      <c r="AL91">
        <v>0</v>
      </c>
    </row>
    <row r="92" spans="1:38" hidden="1" x14ac:dyDescent="0.2">
      <c r="A92" t="s">
        <v>237</v>
      </c>
      <c r="B92" t="s">
        <v>100</v>
      </c>
      <c r="C92" t="s">
        <v>100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428</v>
      </c>
      <c r="AF92">
        <v>100</v>
      </c>
      <c r="AG92">
        <v>100</v>
      </c>
      <c r="AH92">
        <f>44.4444444444444*1</f>
        <v>44.4444444444444</v>
      </c>
      <c r="AI92">
        <f>1.16871217035361*1</f>
        <v>1.1687121703536101</v>
      </c>
      <c r="AJ92">
        <v>1</v>
      </c>
      <c r="AK92">
        <v>0</v>
      </c>
      <c r="AL92">
        <v>0</v>
      </c>
    </row>
    <row r="93" spans="1:38" hidden="1" x14ac:dyDescent="0.2">
      <c r="A93" t="s">
        <v>238</v>
      </c>
      <c r="B93" t="s">
        <v>239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</v>
      </c>
      <c r="AE93">
        <v>432</v>
      </c>
      <c r="AF93">
        <v>194</v>
      </c>
      <c r="AG93">
        <v>194</v>
      </c>
      <c r="AH93">
        <f>86.2222222222222*1</f>
        <v>86.2222222222222</v>
      </c>
      <c r="AI93">
        <f>1.7449768006545*1</f>
        <v>1.7449768006544999</v>
      </c>
      <c r="AJ93">
        <v>1</v>
      </c>
      <c r="AK93">
        <v>0</v>
      </c>
      <c r="AL93">
        <v>0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6.5</v>
      </c>
      <c r="AE94">
        <v>436</v>
      </c>
      <c r="AF94">
        <v>125</v>
      </c>
      <c r="AG94">
        <v>125</v>
      </c>
      <c r="AH94">
        <f>55.5555555555555*1</f>
        <v>55.5555555555555</v>
      </c>
      <c r="AI94">
        <f>1.47069592869939*1</f>
        <v>1.4706959286993899</v>
      </c>
      <c r="AJ94">
        <v>1</v>
      </c>
      <c r="AK94">
        <v>0</v>
      </c>
      <c r="AL94">
        <v>0</v>
      </c>
    </row>
    <row r="95" spans="1:38" hidden="1" x14ac:dyDescent="0.2">
      <c r="A95" t="s">
        <v>242</v>
      </c>
      <c r="B95" t="s">
        <v>243</v>
      </c>
      <c r="C95" t="s">
        <v>243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</v>
      </c>
      <c r="AE95">
        <v>439</v>
      </c>
      <c r="AF95">
        <v>122</v>
      </c>
      <c r="AG95">
        <v>122</v>
      </c>
      <c r="AH95">
        <f>54.2222222222222*1</f>
        <v>54.2222222222222</v>
      </c>
      <c r="AI95">
        <f>1.2399673722652*1</f>
        <v>1.2399673722652</v>
      </c>
      <c r="AJ95">
        <v>1</v>
      </c>
      <c r="AK95">
        <v>0</v>
      </c>
      <c r="AL95">
        <v>0</v>
      </c>
    </row>
    <row r="96" spans="1:38" hidden="1" x14ac:dyDescent="0.2">
      <c r="A96" t="s">
        <v>244</v>
      </c>
      <c r="B96" t="s">
        <v>245</v>
      </c>
      <c r="C96" t="s">
        <v>245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14</v>
      </c>
      <c r="AE96">
        <v>446</v>
      </c>
      <c r="AF96">
        <v>245</v>
      </c>
      <c r="AG96">
        <v>245</v>
      </c>
      <c r="AH96">
        <f>108.888888888888*1</f>
        <v>108.888888888888</v>
      </c>
      <c r="AI96">
        <f>3.09725803202079*1</f>
        <v>3.0972580320207901</v>
      </c>
      <c r="AJ96">
        <v>1</v>
      </c>
      <c r="AK96">
        <v>0</v>
      </c>
      <c r="AL96">
        <v>0</v>
      </c>
    </row>
    <row r="97" spans="1:38" x14ac:dyDescent="0.2">
      <c r="A97" t="s">
        <v>157</v>
      </c>
      <c r="B97" t="s">
        <v>158</v>
      </c>
      <c r="C97" t="s">
        <v>158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7.5</v>
      </c>
      <c r="AE97">
        <v>271</v>
      </c>
      <c r="AF97">
        <v>175</v>
      </c>
      <c r="AG97">
        <v>175</v>
      </c>
      <c r="AH97">
        <f>77.7777777777777*1</f>
        <v>77.7777777777777</v>
      </c>
      <c r="AI97">
        <f>1.763748648356*1</f>
        <v>1.7637486483560001</v>
      </c>
      <c r="AJ97">
        <v>1</v>
      </c>
      <c r="AK97">
        <v>1</v>
      </c>
      <c r="AL97">
        <v>1</v>
      </c>
    </row>
    <row r="98" spans="1:38" hidden="1" x14ac:dyDescent="0.2">
      <c r="A98" t="s">
        <v>248</v>
      </c>
      <c r="B98" t="s">
        <v>83</v>
      </c>
      <c r="C98" t="s">
        <v>83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449</v>
      </c>
      <c r="AF98">
        <v>131</v>
      </c>
      <c r="AG98">
        <v>131</v>
      </c>
      <c r="AH98">
        <f>58.2222222222222*1</f>
        <v>58.2222222222222</v>
      </c>
      <c r="AI98">
        <f>1.50177525823788*1</f>
        <v>1.5017752582378801</v>
      </c>
      <c r="AJ98">
        <v>1</v>
      </c>
      <c r="AK98">
        <v>0</v>
      </c>
      <c r="AL98">
        <v>0</v>
      </c>
    </row>
    <row r="99" spans="1:38" x14ac:dyDescent="0.2">
      <c r="A99" t="s">
        <v>149</v>
      </c>
      <c r="B99" t="s">
        <v>150</v>
      </c>
      <c r="C99" t="s">
        <v>151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6.5</v>
      </c>
      <c r="AE99">
        <v>256</v>
      </c>
      <c r="AF99">
        <v>165</v>
      </c>
      <c r="AG99">
        <v>165</v>
      </c>
      <c r="AH99">
        <f>73.3333333333333*1</f>
        <v>73.3333333333333</v>
      </c>
      <c r="AI99">
        <f>1.74775174685881*1</f>
        <v>1.74775174685881</v>
      </c>
      <c r="AJ99">
        <v>1</v>
      </c>
      <c r="AK99">
        <v>1</v>
      </c>
      <c r="AL99">
        <v>1</v>
      </c>
    </row>
    <row r="100" spans="1:38" hidden="1" x14ac:dyDescent="0.2">
      <c r="A100" t="s">
        <v>195</v>
      </c>
      <c r="B100" t="s">
        <v>252</v>
      </c>
      <c r="C100" t="s">
        <v>252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459</v>
      </c>
      <c r="AF100">
        <v>79</v>
      </c>
      <c r="AG100">
        <v>79</v>
      </c>
      <c r="AH100">
        <f>35.1111111111111*1</f>
        <v>35.1111111111111</v>
      </c>
      <c r="AI100">
        <f>1.32116638734552*1</f>
        <v>1.3211663873455199</v>
      </c>
      <c r="AJ100">
        <v>1</v>
      </c>
      <c r="AK100">
        <v>0</v>
      </c>
      <c r="AL100">
        <v>0</v>
      </c>
    </row>
    <row r="101" spans="1:38" hidden="1" x14ac:dyDescent="0.2">
      <c r="A101" t="s">
        <v>253</v>
      </c>
      <c r="B101" t="s">
        <v>254</v>
      </c>
      <c r="C101" t="s">
        <v>255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9</v>
      </c>
      <c r="AE101">
        <v>466</v>
      </c>
      <c r="AF101">
        <v>176</v>
      </c>
      <c r="AG101">
        <v>176</v>
      </c>
      <c r="AH101">
        <f>78.2222222222222*1</f>
        <v>78.2222222222222</v>
      </c>
      <c r="AI101">
        <f>2.17465125101594*1</f>
        <v>2.1746512510159399</v>
      </c>
      <c r="AJ101">
        <v>1</v>
      </c>
      <c r="AK101">
        <v>0</v>
      </c>
      <c r="AL101">
        <v>0</v>
      </c>
    </row>
    <row r="102" spans="1:38" hidden="1" x14ac:dyDescent="0.2">
      <c r="A102" t="s">
        <v>256</v>
      </c>
      <c r="B102" t="s">
        <v>257</v>
      </c>
      <c r="C102" t="s">
        <v>257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</v>
      </c>
      <c r="AE102">
        <v>473</v>
      </c>
      <c r="AF102">
        <v>108</v>
      </c>
      <c r="AG102">
        <v>108</v>
      </c>
      <c r="AH102">
        <f>48*1</f>
        <v>48</v>
      </c>
      <c r="AI102">
        <f>1.35281297549181*1</f>
        <v>1.3528129754918099</v>
      </c>
      <c r="AJ102">
        <v>1</v>
      </c>
      <c r="AK102">
        <v>0</v>
      </c>
      <c r="AL102">
        <v>0</v>
      </c>
    </row>
    <row r="103" spans="1:38" hidden="1" x14ac:dyDescent="0.2">
      <c r="A103" t="s">
        <v>258</v>
      </c>
      <c r="B103" t="s">
        <v>259</v>
      </c>
      <c r="C103" t="s">
        <v>259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6.5</v>
      </c>
      <c r="AE103">
        <v>482</v>
      </c>
      <c r="AF103">
        <v>102</v>
      </c>
      <c r="AG103">
        <v>102</v>
      </c>
      <c r="AH103">
        <f>45.3333333333333*1</f>
        <v>45.3333333333333</v>
      </c>
      <c r="AI103">
        <f>1.26779756420373*1</f>
        <v>1.26779756420373</v>
      </c>
      <c r="AJ103">
        <v>1</v>
      </c>
      <c r="AK103">
        <v>0</v>
      </c>
      <c r="AL103">
        <v>0</v>
      </c>
    </row>
    <row r="104" spans="1:38" hidden="1" x14ac:dyDescent="0.2">
      <c r="A104" t="s">
        <v>260</v>
      </c>
      <c r="B104" t="s">
        <v>261</v>
      </c>
      <c r="C104" t="s">
        <v>262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5.5</v>
      </c>
      <c r="AE104">
        <v>487</v>
      </c>
      <c r="AF104">
        <v>83</v>
      </c>
      <c r="AG104">
        <v>83</v>
      </c>
      <c r="AH104">
        <f>36.8888888888888*1</f>
        <v>36.8888888888888</v>
      </c>
      <c r="AI104">
        <f>1.24881632736908*1</f>
        <v>1.24881632736908</v>
      </c>
      <c r="AJ104">
        <v>1</v>
      </c>
      <c r="AK104">
        <v>0</v>
      </c>
      <c r="AL104">
        <v>0</v>
      </c>
    </row>
    <row r="105" spans="1:38" x14ac:dyDescent="0.2">
      <c r="A105" t="s">
        <v>292</v>
      </c>
      <c r="B105" t="s">
        <v>293</v>
      </c>
      <c r="C105" t="s">
        <v>293</v>
      </c>
      <c r="D105" t="s">
        <v>3</v>
      </c>
      <c r="E105">
        <v>1</v>
      </c>
      <c r="F105">
        <v>0</v>
      </c>
      <c r="G105">
        <v>0</v>
      </c>
      <c r="H105">
        <v>0</v>
      </c>
      <c r="I105" t="s">
        <v>27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523</v>
      </c>
      <c r="AF105">
        <v>143</v>
      </c>
      <c r="AG105">
        <v>143</v>
      </c>
      <c r="AH105">
        <f>63.5555555555555*1</f>
        <v>63.5555555555555</v>
      </c>
      <c r="AI105">
        <f>1.70438331880678*1</f>
        <v>1.7043833188067801</v>
      </c>
      <c r="AJ105">
        <v>1</v>
      </c>
      <c r="AK105">
        <v>1</v>
      </c>
      <c r="AL105">
        <v>1</v>
      </c>
    </row>
    <row r="106" spans="1:38" hidden="1" x14ac:dyDescent="0.2">
      <c r="A106" t="s">
        <v>100</v>
      </c>
      <c r="B106" t="s">
        <v>265</v>
      </c>
      <c r="C106" t="s">
        <v>265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491</v>
      </c>
      <c r="AF106">
        <v>133</v>
      </c>
      <c r="AG106">
        <v>133</v>
      </c>
      <c r="AH106">
        <f>59.1111111111111*1</f>
        <v>59.1111111111111</v>
      </c>
      <c r="AI106">
        <f>1.52975338253636*1</f>
        <v>1.5297533825363601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267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5.5</v>
      </c>
      <c r="AE107">
        <v>492</v>
      </c>
      <c r="AF107">
        <v>126</v>
      </c>
      <c r="AG107">
        <v>126</v>
      </c>
      <c r="AH107">
        <f>56*1</f>
        <v>56</v>
      </c>
      <c r="AI107">
        <f>1.58046249513802*1</f>
        <v>1.58046249513802</v>
      </c>
      <c r="AJ107">
        <v>1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269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494</v>
      </c>
      <c r="AF108">
        <v>122</v>
      </c>
      <c r="AG108">
        <v>122</v>
      </c>
      <c r="AH108">
        <f>54.2222222222222*1</f>
        <v>54.2222222222222</v>
      </c>
      <c r="AI108">
        <f>1.25334456161675*1</f>
        <v>1.25334456161675</v>
      </c>
      <c r="AJ108">
        <v>1</v>
      </c>
      <c r="AK108">
        <v>0</v>
      </c>
      <c r="AL108">
        <v>0</v>
      </c>
    </row>
    <row r="109" spans="1:38" hidden="1" x14ac:dyDescent="0.2">
      <c r="A109" t="s">
        <v>270</v>
      </c>
      <c r="B109" t="s">
        <v>271</v>
      </c>
      <c r="C109" t="s">
        <v>271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</v>
      </c>
      <c r="AE109">
        <v>495</v>
      </c>
      <c r="AF109">
        <v>112</v>
      </c>
      <c r="AG109">
        <v>112</v>
      </c>
      <c r="AH109">
        <f>49.7777777777777*1</f>
        <v>49.7777777777777</v>
      </c>
      <c r="AI109">
        <f>1.26061384663324*1</f>
        <v>1.2606138466332399</v>
      </c>
      <c r="AJ109">
        <v>1</v>
      </c>
      <c r="AK109">
        <v>0</v>
      </c>
      <c r="AL109">
        <v>0</v>
      </c>
    </row>
    <row r="110" spans="1:38" hidden="1" x14ac:dyDescent="0.2">
      <c r="A110" t="s">
        <v>272</v>
      </c>
      <c r="B110" t="s">
        <v>273</v>
      </c>
      <c r="C110" t="s">
        <v>273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7.5</v>
      </c>
      <c r="AE110">
        <v>503</v>
      </c>
      <c r="AF110">
        <v>148</v>
      </c>
      <c r="AG110">
        <v>148</v>
      </c>
      <c r="AH110">
        <f>65.7777777777777*1</f>
        <v>65.7777777777777</v>
      </c>
      <c r="AI110">
        <f>1.07459946385961*1</f>
        <v>1.0745994638596099</v>
      </c>
      <c r="AJ110">
        <v>1</v>
      </c>
      <c r="AK110">
        <v>0</v>
      </c>
      <c r="AL110">
        <v>0</v>
      </c>
    </row>
    <row r="111" spans="1:38" hidden="1" x14ac:dyDescent="0.2">
      <c r="A111" t="s">
        <v>272</v>
      </c>
      <c r="B111" t="s">
        <v>274</v>
      </c>
      <c r="C111" t="s">
        <v>274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</v>
      </c>
      <c r="AE111">
        <v>504</v>
      </c>
      <c r="AF111">
        <v>152</v>
      </c>
      <c r="AG111">
        <v>152</v>
      </c>
      <c r="AH111">
        <f>67.5555555555555*1</f>
        <v>67.5555555555555</v>
      </c>
      <c r="AI111">
        <f>1.78092983329906*1</f>
        <v>1.78092983329906</v>
      </c>
      <c r="AJ111">
        <v>1</v>
      </c>
      <c r="AK111">
        <v>0</v>
      </c>
      <c r="AL111">
        <v>0</v>
      </c>
    </row>
    <row r="112" spans="1:38" hidden="1" x14ac:dyDescent="0.2">
      <c r="A112" t="s">
        <v>275</v>
      </c>
      <c r="B112" t="s">
        <v>276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6.5</v>
      </c>
      <c r="AE112">
        <v>505</v>
      </c>
      <c r="AF112">
        <v>131</v>
      </c>
      <c r="AG112">
        <v>131</v>
      </c>
      <c r="AH112">
        <f>58.2222222222222*1</f>
        <v>58.2222222222222</v>
      </c>
      <c r="AI112">
        <f>1.69902840175791*1</f>
        <v>1.69902840175791</v>
      </c>
      <c r="AJ112">
        <v>1</v>
      </c>
      <c r="AK112">
        <v>0</v>
      </c>
      <c r="AL112">
        <v>0</v>
      </c>
    </row>
    <row r="113" spans="1:38" hidden="1" x14ac:dyDescent="0.2">
      <c r="A113" t="s">
        <v>253</v>
      </c>
      <c r="B113" t="s">
        <v>277</v>
      </c>
      <c r="C113" t="s">
        <v>278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6.5</v>
      </c>
      <c r="AE113">
        <v>506</v>
      </c>
      <c r="AF113">
        <v>127</v>
      </c>
      <c r="AG113">
        <v>127</v>
      </c>
      <c r="AH113">
        <f>56.4444444444444*1</f>
        <v>56.4444444444444</v>
      </c>
      <c r="AI113">
        <f>1.5663828107268*1</f>
        <v>1.5663828107268001</v>
      </c>
      <c r="AJ113">
        <v>1</v>
      </c>
      <c r="AK113">
        <v>0</v>
      </c>
      <c r="AL113">
        <v>0</v>
      </c>
    </row>
    <row r="114" spans="1:38" x14ac:dyDescent="0.2">
      <c r="A114" t="s">
        <v>260</v>
      </c>
      <c r="B114" t="s">
        <v>279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6.5</v>
      </c>
      <c r="AE114">
        <v>507</v>
      </c>
      <c r="AF114">
        <v>167</v>
      </c>
      <c r="AG114">
        <v>167</v>
      </c>
      <c r="AH114">
        <f>74.2222222222222*1</f>
        <v>74.2222222222222</v>
      </c>
      <c r="AI114">
        <f>1.64299203701552*1</f>
        <v>1.64299203701552</v>
      </c>
      <c r="AJ114">
        <v>1</v>
      </c>
      <c r="AK114">
        <v>1</v>
      </c>
      <c r="AL114">
        <v>1</v>
      </c>
    </row>
    <row r="115" spans="1:38" hidden="1" x14ac:dyDescent="0.2">
      <c r="A115" t="s">
        <v>281</v>
      </c>
      <c r="B115" t="s">
        <v>282</v>
      </c>
      <c r="C115" t="s">
        <v>283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</v>
      </c>
      <c r="AE115">
        <v>508</v>
      </c>
      <c r="AF115">
        <v>110</v>
      </c>
      <c r="AG115">
        <v>110</v>
      </c>
      <c r="AH115">
        <f>48.8888888888888*1</f>
        <v>48.8888888888888</v>
      </c>
      <c r="AI115">
        <f>1.31548411525027*1</f>
        <v>1.3154841152502701</v>
      </c>
      <c r="AJ115">
        <v>1</v>
      </c>
      <c r="AK115">
        <v>0</v>
      </c>
      <c r="AL115">
        <v>0</v>
      </c>
    </row>
    <row r="116" spans="1:38" hidden="1" x14ac:dyDescent="0.2">
      <c r="A116" t="s">
        <v>284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5.5</v>
      </c>
      <c r="AE116">
        <v>509</v>
      </c>
      <c r="AF116">
        <v>101</v>
      </c>
      <c r="AG116">
        <v>101</v>
      </c>
      <c r="AH116">
        <f>44.8888888888888*1</f>
        <v>44.8888888888888</v>
      </c>
      <c r="AI116">
        <f>1.840609262975*1</f>
        <v>1.8406092629749999</v>
      </c>
      <c r="AJ116">
        <v>1</v>
      </c>
      <c r="AK116">
        <v>0</v>
      </c>
      <c r="AL116">
        <v>0</v>
      </c>
    </row>
    <row r="117" spans="1:38" hidden="1" x14ac:dyDescent="0.2">
      <c r="A117" t="s">
        <v>286</v>
      </c>
      <c r="B117" t="s">
        <v>287</v>
      </c>
      <c r="C117" t="s">
        <v>287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511</v>
      </c>
      <c r="AF117">
        <v>54</v>
      </c>
      <c r="AG117">
        <v>54</v>
      </c>
      <c r="AH117">
        <f>24*1</f>
        <v>24</v>
      </c>
      <c r="AI117">
        <f>0.847319225222395*1</f>
        <v>0.847319225222395</v>
      </c>
      <c r="AJ117">
        <v>1</v>
      </c>
      <c r="AK117">
        <v>0</v>
      </c>
      <c r="AL117">
        <v>0</v>
      </c>
    </row>
    <row r="118" spans="1:38" hidden="1" x14ac:dyDescent="0.2">
      <c r="A118" t="s">
        <v>288</v>
      </c>
      <c r="B118" t="s">
        <v>289</v>
      </c>
      <c r="C118" t="s">
        <v>289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10.5</v>
      </c>
      <c r="AE118">
        <v>516</v>
      </c>
      <c r="AF118">
        <v>242</v>
      </c>
      <c r="AG118">
        <v>242</v>
      </c>
      <c r="AH118">
        <f>107.555555555555*1</f>
        <v>107.555555555555</v>
      </c>
      <c r="AI118">
        <f>2.52115849454855*1</f>
        <v>2.5211584945485499</v>
      </c>
      <c r="AJ118">
        <v>1</v>
      </c>
      <c r="AK118">
        <v>0</v>
      </c>
      <c r="AL118">
        <v>0</v>
      </c>
    </row>
    <row r="119" spans="1:38" hidden="1" x14ac:dyDescent="0.2">
      <c r="A119" t="s">
        <v>290</v>
      </c>
      <c r="B119" t="s">
        <v>291</v>
      </c>
      <c r="C119" t="s">
        <v>291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519</v>
      </c>
      <c r="AF119">
        <v>123</v>
      </c>
      <c r="AG119">
        <v>123</v>
      </c>
      <c r="AH119">
        <f>54.6666666666666*1</f>
        <v>54.6666666666666</v>
      </c>
      <c r="AI119">
        <f>1.55102897352042*1</f>
        <v>1.5510289735204199</v>
      </c>
      <c r="AJ119">
        <v>1</v>
      </c>
      <c r="AK119">
        <v>0</v>
      </c>
      <c r="AL119">
        <v>0</v>
      </c>
    </row>
    <row r="120" spans="1:38" x14ac:dyDescent="0.2">
      <c r="A120" t="s">
        <v>133</v>
      </c>
      <c r="B120" t="s">
        <v>134</v>
      </c>
      <c r="C120" t="s">
        <v>134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18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232</v>
      </c>
      <c r="AF120">
        <v>135</v>
      </c>
      <c r="AG120">
        <v>135</v>
      </c>
      <c r="AH120">
        <f>60*1</f>
        <v>60</v>
      </c>
      <c r="AI120">
        <f>1.6317046629181*1</f>
        <v>1.6317046629181</v>
      </c>
      <c r="AJ120">
        <v>1</v>
      </c>
      <c r="AK120">
        <v>0</v>
      </c>
      <c r="AL120">
        <v>1</v>
      </c>
    </row>
    <row r="121" spans="1:38" x14ac:dyDescent="0.2">
      <c r="A121" t="s">
        <v>294</v>
      </c>
      <c r="B121" t="s">
        <v>295</v>
      </c>
      <c r="C121" t="s">
        <v>295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528</v>
      </c>
      <c r="AF121">
        <v>133</v>
      </c>
      <c r="AG121">
        <v>133</v>
      </c>
      <c r="AH121">
        <f>59.1111111111111*1</f>
        <v>59.1111111111111</v>
      </c>
      <c r="AI121">
        <f>1.55892428849591*1</f>
        <v>1.55892428849591</v>
      </c>
      <c r="AJ121">
        <v>1</v>
      </c>
      <c r="AK121">
        <v>1</v>
      </c>
      <c r="AL121">
        <v>1</v>
      </c>
    </row>
    <row r="122" spans="1:38" hidden="1" x14ac:dyDescent="0.2">
      <c r="A122" t="s">
        <v>296</v>
      </c>
      <c r="B122" t="s">
        <v>297</v>
      </c>
      <c r="C122" t="s">
        <v>298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529</v>
      </c>
      <c r="AF122">
        <v>111</v>
      </c>
      <c r="AG122">
        <v>111</v>
      </c>
      <c r="AH122">
        <f>49.3333333333333*1</f>
        <v>49.3333333333333</v>
      </c>
      <c r="AI122">
        <f>1.00179948269009*1</f>
        <v>1.00179948269009</v>
      </c>
      <c r="AJ122">
        <v>1</v>
      </c>
      <c r="AK122">
        <v>0</v>
      </c>
      <c r="AL122">
        <v>0</v>
      </c>
    </row>
    <row r="123" spans="1:38" hidden="1" x14ac:dyDescent="0.2">
      <c r="A123" t="s">
        <v>76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7.5</v>
      </c>
      <c r="AE123">
        <v>536</v>
      </c>
      <c r="AF123">
        <v>170</v>
      </c>
      <c r="AG123">
        <v>170</v>
      </c>
      <c r="AH123">
        <f>75.5555555555555*1</f>
        <v>75.5555555555555</v>
      </c>
      <c r="AI123">
        <f>1.85568414482672*1</f>
        <v>1.8556841448267201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537</v>
      </c>
      <c r="AF124">
        <v>133</v>
      </c>
      <c r="AG124">
        <v>133</v>
      </c>
      <c r="AH124">
        <f>59.1111111111111*1</f>
        <v>59.1111111111111</v>
      </c>
      <c r="AI124">
        <f>1.35641284791269*1</f>
        <v>1.35641284791269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5.5</v>
      </c>
      <c r="AE125">
        <v>538</v>
      </c>
      <c r="AF125">
        <v>112</v>
      </c>
      <c r="AG125">
        <v>112</v>
      </c>
      <c r="AH125">
        <f>49.7777777777777*1</f>
        <v>49.7777777777777</v>
      </c>
      <c r="AI125">
        <f>1.38124789858829*1</f>
        <v>1.3812478985882899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306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</v>
      </c>
      <c r="AE126">
        <v>540</v>
      </c>
      <c r="AF126">
        <v>57</v>
      </c>
      <c r="AG126">
        <v>57</v>
      </c>
      <c r="AH126">
        <f>25.3333333333333*1</f>
        <v>25.3333333333333</v>
      </c>
      <c r="AI126">
        <f>0.835852809047796*1</f>
        <v>0.83585280904779602</v>
      </c>
      <c r="AJ126">
        <v>1</v>
      </c>
      <c r="AK126">
        <v>0</v>
      </c>
      <c r="AL126">
        <v>0</v>
      </c>
    </row>
    <row r="127" spans="1:38" hidden="1" x14ac:dyDescent="0.2">
      <c r="A127" t="s">
        <v>98</v>
      </c>
      <c r="B127" t="s">
        <v>307</v>
      </c>
      <c r="C127" t="s">
        <v>307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543</v>
      </c>
      <c r="AF127">
        <v>72</v>
      </c>
      <c r="AG127">
        <v>72</v>
      </c>
      <c r="AH127">
        <f>32*1</f>
        <v>32</v>
      </c>
      <c r="AI127">
        <f>0.832721794021206*1</f>
        <v>0.83272179402120605</v>
      </c>
      <c r="AJ127">
        <v>1</v>
      </c>
      <c r="AK127">
        <v>0</v>
      </c>
      <c r="AL127">
        <v>0</v>
      </c>
    </row>
    <row r="128" spans="1:38" x14ac:dyDescent="0.2">
      <c r="A128" t="s">
        <v>130</v>
      </c>
      <c r="B128" t="s">
        <v>156</v>
      </c>
      <c r="C128" t="s">
        <v>156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19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265</v>
      </c>
      <c r="AF128">
        <v>124</v>
      </c>
      <c r="AG128">
        <v>124</v>
      </c>
      <c r="AH128">
        <f>55.1111111111111*1</f>
        <v>55.1111111111111</v>
      </c>
      <c r="AI128">
        <f>1.40444696709149*1</f>
        <v>1.4044469670914901</v>
      </c>
      <c r="AJ128">
        <v>1</v>
      </c>
      <c r="AK128">
        <v>1</v>
      </c>
      <c r="AL128">
        <v>1</v>
      </c>
    </row>
    <row r="129" spans="1:38" hidden="1" x14ac:dyDescent="0.2">
      <c r="A129" t="s">
        <v>310</v>
      </c>
      <c r="B129" t="s">
        <v>311</v>
      </c>
      <c r="C129" t="s">
        <v>311</v>
      </c>
      <c r="D129" t="s">
        <v>6</v>
      </c>
      <c r="E129">
        <v>0</v>
      </c>
      <c r="F129">
        <v>0</v>
      </c>
      <c r="G129">
        <v>0</v>
      </c>
      <c r="H129">
        <v>1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548</v>
      </c>
      <c r="AF129">
        <v>63</v>
      </c>
      <c r="AG129">
        <v>63</v>
      </c>
      <c r="AH129">
        <f>28*1</f>
        <v>28</v>
      </c>
      <c r="AI129">
        <f>0.524184044651913*1</f>
        <v>0.52418404465191304</v>
      </c>
      <c r="AJ129">
        <v>1</v>
      </c>
      <c r="AK129">
        <v>0</v>
      </c>
      <c r="AL129">
        <v>0</v>
      </c>
    </row>
    <row r="130" spans="1:38" hidden="1" x14ac:dyDescent="0.2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5.5</v>
      </c>
      <c r="AE130">
        <v>569</v>
      </c>
      <c r="AF130">
        <v>79</v>
      </c>
      <c r="AG130">
        <v>79</v>
      </c>
      <c r="AH130">
        <f>35.1111111111111*1</f>
        <v>35.1111111111111</v>
      </c>
      <c r="AI130">
        <f>1.15769076360146*1</f>
        <v>1.1576907636014599</v>
      </c>
      <c r="AJ130">
        <v>1</v>
      </c>
      <c r="AK130">
        <v>0</v>
      </c>
      <c r="AL130">
        <v>0</v>
      </c>
    </row>
    <row r="131" spans="1:38" hidden="1" x14ac:dyDescent="0.2">
      <c r="A131" t="s">
        <v>314</v>
      </c>
      <c r="B131" t="s">
        <v>315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8.5</v>
      </c>
      <c r="AE131">
        <v>610</v>
      </c>
      <c r="AF131">
        <v>155</v>
      </c>
      <c r="AG131">
        <v>155</v>
      </c>
      <c r="AH131">
        <f>68.8888888888888*1</f>
        <v>68.8888888888888</v>
      </c>
      <c r="AI131">
        <f>2.49618621496253*1</f>
        <v>2.4961862149625298</v>
      </c>
      <c r="AJ131">
        <v>1</v>
      </c>
      <c r="AK131">
        <v>0</v>
      </c>
      <c r="AL131">
        <v>0</v>
      </c>
    </row>
    <row r="132" spans="1:38" hidden="1" x14ac:dyDescent="0.2">
      <c r="A132" t="s">
        <v>316</v>
      </c>
      <c r="B132" t="s">
        <v>317</v>
      </c>
      <c r="C132" t="s">
        <v>317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7</v>
      </c>
      <c r="AE132">
        <v>611</v>
      </c>
      <c r="AF132">
        <v>158</v>
      </c>
      <c r="AG132">
        <v>158</v>
      </c>
      <c r="AH132">
        <f>70.2222222222222*1</f>
        <v>70.2222222222222</v>
      </c>
      <c r="AI132">
        <f>1.65267139867152*1</f>
        <v>1.65267139867152</v>
      </c>
      <c r="AJ132">
        <v>1</v>
      </c>
      <c r="AK132">
        <v>0</v>
      </c>
      <c r="AL132">
        <v>0</v>
      </c>
    </row>
    <row r="133" spans="1:38" hidden="1" x14ac:dyDescent="0.2">
      <c r="A133" t="s">
        <v>174</v>
      </c>
      <c r="B133" t="s">
        <v>318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7</v>
      </c>
      <c r="AE133">
        <v>612</v>
      </c>
      <c r="AF133">
        <v>146</v>
      </c>
      <c r="AG133">
        <v>146</v>
      </c>
      <c r="AH133">
        <f>64.8888888888888*1</f>
        <v>64.8888888888888</v>
      </c>
      <c r="AI133">
        <f>1.97592358908799*1</f>
        <v>1.97592358908799</v>
      </c>
      <c r="AJ133">
        <v>1</v>
      </c>
      <c r="AK133">
        <v>0</v>
      </c>
      <c r="AL133">
        <v>0</v>
      </c>
    </row>
    <row r="134" spans="1:38" hidden="1" x14ac:dyDescent="0.2">
      <c r="A134" t="s">
        <v>319</v>
      </c>
      <c r="B134" t="s">
        <v>320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6.5</v>
      </c>
      <c r="AE134">
        <v>613</v>
      </c>
      <c r="AF134">
        <v>135</v>
      </c>
      <c r="AG134">
        <v>135</v>
      </c>
      <c r="AH134">
        <f>60*1</f>
        <v>60</v>
      </c>
      <c r="AI134">
        <f>1.59966677565911*1</f>
        <v>1.5996667756591101</v>
      </c>
      <c r="AJ134">
        <v>1</v>
      </c>
      <c r="AK134">
        <v>0</v>
      </c>
      <c r="AL134">
        <v>0</v>
      </c>
    </row>
    <row r="135" spans="1:38" hidden="1" x14ac:dyDescent="0.2">
      <c r="A135" t="s">
        <v>321</v>
      </c>
      <c r="B135" t="s">
        <v>322</v>
      </c>
      <c r="C135" t="s">
        <v>322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6.5</v>
      </c>
      <c r="AE135">
        <v>614</v>
      </c>
      <c r="AF135">
        <v>139</v>
      </c>
      <c r="AG135">
        <v>139</v>
      </c>
      <c r="AH135">
        <f>61.7777777777777*1</f>
        <v>61.7777777777777</v>
      </c>
      <c r="AI135">
        <f>1.71087125886604*1</f>
        <v>1.71087125886604</v>
      </c>
      <c r="AJ135">
        <v>1</v>
      </c>
      <c r="AK135">
        <v>0</v>
      </c>
      <c r="AL135">
        <v>0</v>
      </c>
    </row>
    <row r="136" spans="1:38" hidden="1" x14ac:dyDescent="0.2">
      <c r="A136" t="s">
        <v>203</v>
      </c>
      <c r="B136" t="s">
        <v>323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5.5</v>
      </c>
      <c r="AE136">
        <v>616</v>
      </c>
      <c r="AF136">
        <v>63</v>
      </c>
      <c r="AG136">
        <v>63</v>
      </c>
      <c r="AH136">
        <f>28*1</f>
        <v>28</v>
      </c>
      <c r="AI136">
        <f>0.783518552656575*1</f>
        <v>0.783518552656575</v>
      </c>
      <c r="AJ136">
        <v>1</v>
      </c>
      <c r="AK136">
        <v>0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325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5.5</v>
      </c>
      <c r="AE137">
        <v>618</v>
      </c>
      <c r="AF137">
        <v>64</v>
      </c>
      <c r="AG137">
        <v>64</v>
      </c>
      <c r="AH137">
        <f>28.4444444444444*1</f>
        <v>28.4444444444444</v>
      </c>
      <c r="AI137">
        <f>0.831655158203188*1</f>
        <v>0.83165515820318803</v>
      </c>
      <c r="AJ137">
        <v>1</v>
      </c>
      <c r="AK137">
        <v>0</v>
      </c>
      <c r="AL137">
        <v>0</v>
      </c>
    </row>
    <row r="138" spans="1:38" hidden="1" x14ac:dyDescent="0.2">
      <c r="A138" t="s">
        <v>326</v>
      </c>
      <c r="B138" t="s">
        <v>160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</v>
      </c>
      <c r="AE138">
        <v>624</v>
      </c>
      <c r="AF138">
        <v>77</v>
      </c>
      <c r="AG138">
        <v>77</v>
      </c>
      <c r="AH138">
        <f>34.2222222222222*1</f>
        <v>34.2222222222222</v>
      </c>
      <c r="AI138">
        <f>0.675436725904786*1</f>
        <v>0.67543672590478598</v>
      </c>
      <c r="AJ138">
        <v>1</v>
      </c>
      <c r="AK138">
        <v>0</v>
      </c>
      <c r="AL138">
        <v>0</v>
      </c>
    </row>
    <row r="139" spans="1:38" hidden="1" x14ac:dyDescent="0.2">
      <c r="A139" t="s">
        <v>328</v>
      </c>
      <c r="B139" t="s">
        <v>329</v>
      </c>
      <c r="C139" t="s">
        <v>329</v>
      </c>
      <c r="D139" t="s">
        <v>3</v>
      </c>
      <c r="E139">
        <v>1</v>
      </c>
      <c r="F139">
        <v>0</v>
      </c>
      <c r="G139">
        <v>0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4.5</v>
      </c>
      <c r="AE139">
        <v>632</v>
      </c>
      <c r="AF139">
        <v>104</v>
      </c>
      <c r="AG139">
        <v>104</v>
      </c>
      <c r="AH139">
        <f>46.2222222222222*1</f>
        <v>46.2222222222222</v>
      </c>
      <c r="AI139">
        <f>1.72643771106376*1</f>
        <v>1.7264377110637601</v>
      </c>
      <c r="AJ139">
        <v>1</v>
      </c>
      <c r="AK139">
        <v>0</v>
      </c>
      <c r="AL139">
        <v>0</v>
      </c>
    </row>
    <row r="140" spans="1:38" hidden="1" x14ac:dyDescent="0.2">
      <c r="A140" t="s">
        <v>330</v>
      </c>
      <c r="B140" t="s">
        <v>331</v>
      </c>
      <c r="C140" t="s">
        <v>330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</v>
      </c>
      <c r="AE140">
        <v>636</v>
      </c>
      <c r="AF140">
        <v>77</v>
      </c>
      <c r="AG140">
        <v>77</v>
      </c>
      <c r="AH140">
        <f>34.2222222222222*1</f>
        <v>34.2222222222222</v>
      </c>
      <c r="AI140">
        <f>0.836460704187339*1</f>
        <v>0.83646070418733898</v>
      </c>
      <c r="AJ140">
        <v>1</v>
      </c>
      <c r="AK140">
        <v>0</v>
      </c>
      <c r="AL140">
        <v>0</v>
      </c>
    </row>
    <row r="141" spans="1:38" hidden="1" x14ac:dyDescent="0.2">
      <c r="A141" t="s">
        <v>332</v>
      </c>
      <c r="B141" t="s">
        <v>333</v>
      </c>
      <c r="C141" t="s">
        <v>333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4.5</v>
      </c>
      <c r="AE141">
        <v>638</v>
      </c>
      <c r="AF141">
        <v>51</v>
      </c>
      <c r="AG141">
        <v>51</v>
      </c>
      <c r="AH141">
        <f>22.6666666666666*1</f>
        <v>22.6666666666666</v>
      </c>
      <c r="AI141">
        <f>0.786036338029672*1</f>
        <v>0.78603633802967199</v>
      </c>
      <c r="AJ141">
        <v>1</v>
      </c>
      <c r="AK141">
        <v>0</v>
      </c>
      <c r="AL141">
        <v>0</v>
      </c>
    </row>
    <row r="142" spans="1:38" x14ac:dyDescent="0.2">
      <c r="A142" t="s">
        <v>249</v>
      </c>
      <c r="B142" t="s">
        <v>250</v>
      </c>
      <c r="C142" t="s">
        <v>251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4.5</v>
      </c>
      <c r="AE142">
        <v>457</v>
      </c>
      <c r="AF142">
        <v>112</v>
      </c>
      <c r="AG142">
        <v>112</v>
      </c>
      <c r="AH142">
        <f>49.7777777777777*1</f>
        <v>49.7777777777777</v>
      </c>
      <c r="AI142">
        <f>1.34945647454039*1</f>
        <v>1.3494564745403901</v>
      </c>
      <c r="AJ142">
        <v>1</v>
      </c>
      <c r="AK142">
        <v>1</v>
      </c>
      <c r="AL142">
        <v>1</v>
      </c>
    </row>
    <row r="143" spans="1:38" hidden="1" x14ac:dyDescent="0.2">
      <c r="A143" t="s">
        <v>69</v>
      </c>
      <c r="B143" t="s">
        <v>335</v>
      </c>
      <c r="C143" t="s">
        <v>336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</v>
      </c>
      <c r="AE143">
        <v>644</v>
      </c>
      <c r="AF143">
        <v>87</v>
      </c>
      <c r="AG143">
        <v>87</v>
      </c>
      <c r="AH143">
        <f>38.6666666666666*1</f>
        <v>38.6666666666666</v>
      </c>
      <c r="AI143">
        <f>1.13200137766181*1</f>
        <v>1.1320013776618101</v>
      </c>
      <c r="AJ143">
        <v>1</v>
      </c>
      <c r="AK143">
        <v>0</v>
      </c>
      <c r="AL143">
        <v>0</v>
      </c>
    </row>
    <row r="144" spans="1:38" hidden="1" x14ac:dyDescent="0.2">
      <c r="A144" t="s">
        <v>337</v>
      </c>
      <c r="B144" t="s">
        <v>338</v>
      </c>
      <c r="C144" t="s">
        <v>338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6</v>
      </c>
      <c r="AE144">
        <v>645</v>
      </c>
      <c r="AF144">
        <v>129</v>
      </c>
      <c r="AG144">
        <v>129</v>
      </c>
      <c r="AH144">
        <f>57.3333333333333*1</f>
        <v>57.3333333333333</v>
      </c>
      <c r="AI144">
        <f>1.81515998593281*1</f>
        <v>1.81515998593281</v>
      </c>
      <c r="AJ144">
        <v>1</v>
      </c>
      <c r="AK144">
        <v>0</v>
      </c>
      <c r="AL144">
        <v>0</v>
      </c>
    </row>
    <row r="145" spans="1:38" hidden="1" x14ac:dyDescent="0.2">
      <c r="A145" t="s">
        <v>339</v>
      </c>
      <c r="B145" t="s">
        <v>340</v>
      </c>
      <c r="C145" t="s">
        <v>341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5</v>
      </c>
      <c r="AE145">
        <v>648</v>
      </c>
      <c r="AF145">
        <v>60</v>
      </c>
      <c r="AG145">
        <v>60</v>
      </c>
      <c r="AH145">
        <f>26.6666666666666*1</f>
        <v>26.6666666666666</v>
      </c>
      <c r="AI145">
        <f>0.721880466133376*1</f>
        <v>0.72188046613337598</v>
      </c>
      <c r="AJ145">
        <v>1</v>
      </c>
      <c r="AK145">
        <v>0</v>
      </c>
      <c r="AL145">
        <v>0</v>
      </c>
    </row>
    <row r="146" spans="1:38" x14ac:dyDescent="0.2">
      <c r="A146" t="s">
        <v>290</v>
      </c>
      <c r="B146" t="s">
        <v>334</v>
      </c>
      <c r="C146" t="s">
        <v>334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4.5</v>
      </c>
      <c r="AE146">
        <v>642</v>
      </c>
      <c r="AF146">
        <v>119</v>
      </c>
      <c r="AG146">
        <v>119</v>
      </c>
      <c r="AH146">
        <f>52.8888888888888*1</f>
        <v>52.8888888888888</v>
      </c>
      <c r="AI146">
        <f>1.23457478668075*1</f>
        <v>1.2345747866807499</v>
      </c>
      <c r="AJ146">
        <v>1</v>
      </c>
      <c r="AK146">
        <v>1</v>
      </c>
      <c r="AL146">
        <v>1</v>
      </c>
    </row>
    <row r="147" spans="1:38" hidden="1" x14ac:dyDescent="0.2">
      <c r="A147" t="s">
        <v>344</v>
      </c>
      <c r="B147" t="s">
        <v>345</v>
      </c>
      <c r="C147" t="s">
        <v>345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4.5</v>
      </c>
      <c r="AE147">
        <v>659</v>
      </c>
      <c r="AF147">
        <v>56</v>
      </c>
      <c r="AG147">
        <v>56</v>
      </c>
      <c r="AH147">
        <f>24.8888888888888*1</f>
        <v>24.8888888888888</v>
      </c>
      <c r="AI147">
        <f>0.962584448115273*1</f>
        <v>0.96258444811527299</v>
      </c>
      <c r="AJ147">
        <v>1</v>
      </c>
      <c r="AK147">
        <v>0</v>
      </c>
      <c r="AL147">
        <v>0</v>
      </c>
    </row>
    <row r="148" spans="1:38" hidden="1" x14ac:dyDescent="0.2">
      <c r="A148" t="s">
        <v>346</v>
      </c>
      <c r="B148" t="s">
        <v>347</v>
      </c>
      <c r="C148" t="s">
        <v>348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31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4.5</v>
      </c>
      <c r="AE148">
        <v>663</v>
      </c>
      <c r="AF148">
        <v>118</v>
      </c>
      <c r="AG148">
        <v>118</v>
      </c>
      <c r="AH148">
        <f>52.4444444444444*1</f>
        <v>52.4444444444444</v>
      </c>
      <c r="AI148">
        <f>1.90431202804104*1</f>
        <v>1.9043120280410399</v>
      </c>
      <c r="AJ148">
        <v>1</v>
      </c>
      <c r="AK148">
        <v>0</v>
      </c>
      <c r="AL148">
        <v>0</v>
      </c>
    </row>
    <row r="149" spans="1:38" hidden="1" x14ac:dyDescent="0.2">
      <c r="A149" t="s">
        <v>349</v>
      </c>
      <c r="B149" t="s">
        <v>350</v>
      </c>
      <c r="C149" t="s">
        <v>350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666</v>
      </c>
      <c r="AF149">
        <v>79</v>
      </c>
      <c r="AG149">
        <v>79</v>
      </c>
      <c r="AH149">
        <f>35.1111111111111*1</f>
        <v>35.1111111111111</v>
      </c>
      <c r="AI149">
        <f>0.985080814710969*1</f>
        <v>0.98508081471096898</v>
      </c>
      <c r="AJ149">
        <v>1</v>
      </c>
      <c r="AK149">
        <v>0</v>
      </c>
      <c r="AL149">
        <v>0</v>
      </c>
    </row>
    <row r="150" spans="1:38" hidden="1" x14ac:dyDescent="0.2">
      <c r="A150" t="s">
        <v>351</v>
      </c>
      <c r="B150" t="s">
        <v>352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5.5</v>
      </c>
      <c r="AE150">
        <v>678</v>
      </c>
      <c r="AF150">
        <v>94</v>
      </c>
      <c r="AG150">
        <v>94</v>
      </c>
      <c r="AH150">
        <f>41.7777777777777*1</f>
        <v>41.7777777777777</v>
      </c>
      <c r="AI150">
        <f>1.02413612347879*1</f>
        <v>1.02413612347879</v>
      </c>
      <c r="AJ150">
        <v>1</v>
      </c>
      <c r="AK150">
        <v>0</v>
      </c>
      <c r="AL150">
        <v>0</v>
      </c>
    </row>
    <row r="151" spans="1:38" hidden="1" x14ac:dyDescent="0.2">
      <c r="A151" t="s">
        <v>353</v>
      </c>
      <c r="B151" t="s">
        <v>354</v>
      </c>
      <c r="C151" t="s">
        <v>355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5.5</v>
      </c>
      <c r="AE151">
        <v>680</v>
      </c>
      <c r="AF151">
        <v>89</v>
      </c>
      <c r="AG151">
        <v>89</v>
      </c>
      <c r="AH151">
        <f>39.5555555555555*1</f>
        <v>39.5555555555555</v>
      </c>
      <c r="AI151">
        <f>0.925584803244967*1</f>
        <v>0.92558480324496695</v>
      </c>
      <c r="AJ151">
        <v>1</v>
      </c>
      <c r="AK151">
        <v>0</v>
      </c>
      <c r="AL151">
        <v>0</v>
      </c>
    </row>
    <row r="152" spans="1:38" hidden="1" x14ac:dyDescent="0.2">
      <c r="A152" t="s">
        <v>356</v>
      </c>
      <c r="B152" t="s">
        <v>357</v>
      </c>
      <c r="C152" t="s">
        <v>358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5.5</v>
      </c>
      <c r="AE152">
        <v>681</v>
      </c>
      <c r="AF152">
        <v>77.999999999999986</v>
      </c>
      <c r="AG152">
        <v>77.999999999999986</v>
      </c>
      <c r="AH152">
        <f>34.6666666666666*1</f>
        <v>34.6666666666666</v>
      </c>
      <c r="AI152">
        <f>0.978799596139347*1</f>
        <v>0.97879959613934697</v>
      </c>
      <c r="AJ152">
        <v>1</v>
      </c>
      <c r="AK152">
        <v>0</v>
      </c>
      <c r="AL152">
        <v>0</v>
      </c>
    </row>
    <row r="153" spans="1:38" hidden="1" x14ac:dyDescent="0.2">
      <c r="A153" t="s">
        <v>359</v>
      </c>
      <c r="B153" t="s">
        <v>360</v>
      </c>
      <c r="C153" t="s">
        <v>360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31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6.5</v>
      </c>
      <c r="AE153">
        <v>688</v>
      </c>
      <c r="AF153">
        <v>0</v>
      </c>
      <c r="AG153">
        <v>0</v>
      </c>
      <c r="AH153">
        <f>0*1</f>
        <v>0</v>
      </c>
      <c r="AI153">
        <f>0*1</f>
        <v>0</v>
      </c>
      <c r="AJ153">
        <v>1</v>
      </c>
      <c r="AK153">
        <v>0</v>
      </c>
      <c r="AL15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2025-08-21T21:08:44Z</dcterms:created>
  <dcterms:modified xsi:type="dcterms:W3CDTF">2025-08-21T21:11:17Z</dcterms:modified>
</cp:coreProperties>
</file>