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6DC9BCD8-5C72-459F-814E-B5C5CDA23DD2}" xr6:coauthVersionLast="47" xr6:coauthVersionMax="47" xr10:uidLastSave="{00000000-0000-0000-0000-000000000000}"/>
  <bookViews>
    <workbookView xWindow="-108" yWindow="-108" windowWidth="23256" windowHeight="12576" firstSheet="3" activeTab="19" xr2:uid="{00000000-000D-0000-FFFF-FFFF00000000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CHE" sheetId="6" r:id="rId6"/>
    <sheet name="CRY" sheetId="7" r:id="rId7"/>
    <sheet name="EVE" sheetId="8" r:id="rId8"/>
    <sheet name="FUL" sheetId="9" r:id="rId9"/>
    <sheet name="LEE" sheetId="10" r:id="rId10"/>
    <sheet name="LEI" sheetId="11" r:id="rId11"/>
    <sheet name="LIV" sheetId="12" r:id="rId12"/>
    <sheet name="MCI" sheetId="13" r:id="rId13"/>
    <sheet name="MUN" sheetId="14" r:id="rId14"/>
    <sheet name="NEW" sheetId="15" r:id="rId15"/>
    <sheet name="NFO" sheetId="16" r:id="rId16"/>
    <sheet name="SOU" sheetId="17" r:id="rId17"/>
    <sheet name="TOT" sheetId="18" r:id="rId18"/>
    <sheet name="WHU" sheetId="19" r:id="rId19"/>
    <sheet name="WOL" sheetId="20" r:id="rId20"/>
  </sheets>
  <definedNames>
    <definedName name="solver_adj" localSheetId="0" hidden="1">ARS!$I$2:$I$3</definedName>
    <definedName name="solver_adj" localSheetId="1" hidden="1">AVL!$H$2:$H$3</definedName>
    <definedName name="solver_adj" localSheetId="4" hidden="1">BHA!$H$2:$H$3</definedName>
    <definedName name="solver_adj" localSheetId="2" hidden="1">BOU!$H$2:$H$3</definedName>
    <definedName name="solver_adj" localSheetId="3" hidden="1">BRE!$H$2:$H$3</definedName>
    <definedName name="solver_adj" localSheetId="5" hidden="1">CHE!$H$2:$H$3</definedName>
    <definedName name="solver_adj" localSheetId="6" hidden="1">CRY!$H$2:$H$3</definedName>
    <definedName name="solver_adj" localSheetId="7" hidden="1">EVE!$H$2:$H$3</definedName>
    <definedName name="solver_adj" localSheetId="8" hidden="1">FUL!$H$2:$H$3</definedName>
    <definedName name="solver_adj" localSheetId="9" hidden="1">LEE!$H$2:$H$3</definedName>
    <definedName name="solver_adj" localSheetId="10" hidden="1">LEI!$H$2:$H$3</definedName>
    <definedName name="solver_adj" localSheetId="11" hidden="1">LIV!$H$2:$H$3</definedName>
    <definedName name="solver_adj" localSheetId="12" hidden="1">MCI!$H$2:$H$3</definedName>
    <definedName name="solver_adj" localSheetId="13" hidden="1">MUN!$H$2:$H$3</definedName>
    <definedName name="solver_adj" localSheetId="14" hidden="1">NEW!$H$2:$H$3</definedName>
    <definedName name="solver_adj" localSheetId="15" hidden="1">NFO!$H$2:$H$3</definedName>
    <definedName name="solver_adj" localSheetId="16" hidden="1">SOU!$H$2:$H$3</definedName>
    <definedName name="solver_adj" localSheetId="17" hidden="1">TOT!$H$2:$H$3</definedName>
    <definedName name="solver_adj" localSheetId="18" hidden="1">WHU!$H$2:$H$3</definedName>
    <definedName name="solver_adj" localSheetId="19" hidden="1">WOL!$H$2:$H$3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18" hidden="1">0.0001</definedName>
    <definedName name="solver_cvg" localSheetId="19" hidden="1">0.0001</definedName>
    <definedName name="solver_drv" localSheetId="0" hidden="1">1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18" hidden="1">1</definedName>
    <definedName name="solver_drv" localSheetId="19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eng" localSheetId="19" hidden="1">1</definedName>
    <definedName name="solver_est" localSheetId="0" hidden="1">1</definedName>
    <definedName name="solver_est" localSheetId="1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est" localSheetId="17" hidden="1">1</definedName>
    <definedName name="solver_est" localSheetId="18" hidden="1">1</definedName>
    <definedName name="solver_est" localSheetId="19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itr" localSheetId="17" hidden="1">2147483647</definedName>
    <definedName name="solver_itr" localSheetId="18" hidden="1">2147483647</definedName>
    <definedName name="solver_itr" localSheetId="19" hidden="1">2147483647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ip" localSheetId="19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ni" localSheetId="19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18" hidden="1">0.075</definedName>
    <definedName name="solver_mrt" localSheetId="19" hidden="1">0.075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18" hidden="1">2</definedName>
    <definedName name="solver_msl" localSheetId="19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eg" localSheetId="17" hidden="1">1</definedName>
    <definedName name="solver_neg" localSheetId="18" hidden="1">1</definedName>
    <definedName name="solver_neg" localSheetId="19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od" localSheetId="19" hidden="1">2147483647</definedName>
    <definedName name="solver_num" localSheetId="0" hidden="1">0</definedName>
    <definedName name="solver_num" localSheetId="1" hidden="1">0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um" localSheetId="17" hidden="1">0</definedName>
    <definedName name="solver_num" localSheetId="18" hidden="1">0</definedName>
    <definedName name="solver_num" localSheetId="19" hidden="1">0</definedName>
    <definedName name="solver_nwt" localSheetId="0" hidden="1">1</definedName>
    <definedName name="solver_nwt" localSheetId="1" hidden="1">1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nwt" localSheetId="17" hidden="1">1</definedName>
    <definedName name="solver_nwt" localSheetId="18" hidden="1">1</definedName>
    <definedName name="solver_nwt" localSheetId="19" hidden="1">1</definedName>
    <definedName name="solver_opt" localSheetId="0" hidden="1">ARS!$I$5</definedName>
    <definedName name="solver_opt" localSheetId="1" hidden="1">AVL!$H$5</definedName>
    <definedName name="solver_opt" localSheetId="4" hidden="1">BHA!$H$5</definedName>
    <definedName name="solver_opt" localSheetId="2" hidden="1">BOU!$H$5</definedName>
    <definedName name="solver_opt" localSheetId="3" hidden="1">BRE!$H$5</definedName>
    <definedName name="solver_opt" localSheetId="5" hidden="1">CHE!$H$5</definedName>
    <definedName name="solver_opt" localSheetId="6" hidden="1">CRY!$H$5</definedName>
    <definedName name="solver_opt" localSheetId="7" hidden="1">EVE!$H$5</definedName>
    <definedName name="solver_opt" localSheetId="8" hidden="1">FUL!$H$5</definedName>
    <definedName name="solver_opt" localSheetId="9" hidden="1">LEE!$H$5</definedName>
    <definedName name="solver_opt" localSheetId="10" hidden="1">LEI!$H$5</definedName>
    <definedName name="solver_opt" localSheetId="11" hidden="1">LIV!$H$5</definedName>
    <definedName name="solver_opt" localSheetId="12" hidden="1">MCI!$H$5</definedName>
    <definedName name="solver_opt" localSheetId="13" hidden="1">MUN!$H$5</definedName>
    <definedName name="solver_opt" localSheetId="14" hidden="1">NEW!$H$5</definedName>
    <definedName name="solver_opt" localSheetId="15" hidden="1">NFO!$H$5</definedName>
    <definedName name="solver_opt" localSheetId="16" hidden="1">SOU!$H$5</definedName>
    <definedName name="solver_opt" localSheetId="17" hidden="1">TOT!$H$5</definedName>
    <definedName name="solver_opt" localSheetId="18" hidden="1">WHU!$H$5</definedName>
    <definedName name="solver_opt" localSheetId="19" hidden="1">WOL!$H$5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18" hidden="1">0.000001</definedName>
    <definedName name="solver_pre" localSheetId="19" hidden="1">0.000001</definedName>
    <definedName name="solver_rbv" localSheetId="0" hidden="1">1</definedName>
    <definedName name="solver_rbv" localSheetId="1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18" hidden="1">1</definedName>
    <definedName name="solver_rbv" localSheetId="19" hidden="1">1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lx" localSheetId="17" hidden="1">2</definedName>
    <definedName name="solver_rlx" localSheetId="18" hidden="1">2</definedName>
    <definedName name="solver_rlx" localSheetId="19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rsd" localSheetId="19" hidden="1">0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cl" localSheetId="17" hidden="1">1</definedName>
    <definedName name="solver_scl" localSheetId="18" hidden="1">1</definedName>
    <definedName name="solver_scl" localSheetId="19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ho" localSheetId="19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ssz" localSheetId="19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im" localSheetId="17" hidden="1">2147483647</definedName>
    <definedName name="solver_tim" localSheetId="18" hidden="1">2147483647</definedName>
    <definedName name="solver_tim" localSheetId="19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ol" localSheetId="17" hidden="1">0.01</definedName>
    <definedName name="solver_tol" localSheetId="18" hidden="1">0.01</definedName>
    <definedName name="solver_tol" localSheetId="19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typ" localSheetId="18" hidden="1">2</definedName>
    <definedName name="solver_typ" localSheetId="19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al" localSheetId="19" hidden="1">0</definedName>
    <definedName name="solver_ver" localSheetId="0" hidden="1">3</definedName>
    <definedName name="solver_ver" localSheetId="1" hidden="1">3</definedName>
    <definedName name="solver_ver" localSheetId="4" hidden="1">3</definedName>
    <definedName name="solver_ver" localSheetId="2" hidden="1">3</definedName>
    <definedName name="solver_ver" localSheetId="3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  <definedName name="solver_ver" localSheetId="17" hidden="1">3</definedName>
    <definedName name="solver_ver" localSheetId="18" hidden="1">3</definedName>
    <definedName name="solver_ver" localSheetId="19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0" l="1"/>
  <c r="F5" i="20" s="1"/>
  <c r="D4" i="20"/>
  <c r="F4" i="20" s="1"/>
  <c r="D3" i="20"/>
  <c r="F3" i="20" s="1"/>
  <c r="D2" i="20"/>
  <c r="F2" i="20" s="1"/>
  <c r="D9" i="19"/>
  <c r="F9" i="19" s="1"/>
  <c r="D8" i="19"/>
  <c r="F8" i="19" s="1"/>
  <c r="D7" i="19"/>
  <c r="F7" i="19" s="1"/>
  <c r="D6" i="19"/>
  <c r="F6" i="19" s="1"/>
  <c r="D5" i="19"/>
  <c r="F5" i="19" s="1"/>
  <c r="D4" i="19"/>
  <c r="F4" i="19" s="1"/>
  <c r="D3" i="19"/>
  <c r="F3" i="19" s="1"/>
  <c r="D2" i="19"/>
  <c r="F2" i="19" s="1"/>
  <c r="D10" i="18"/>
  <c r="F10" i="18" s="1"/>
  <c r="D9" i="18"/>
  <c r="F9" i="18" s="1"/>
  <c r="D8" i="18"/>
  <c r="F8" i="18" s="1"/>
  <c r="D7" i="18"/>
  <c r="F7" i="18" s="1"/>
  <c r="D6" i="18"/>
  <c r="F6" i="18" s="1"/>
  <c r="D5" i="18"/>
  <c r="F5" i="18" s="1"/>
  <c r="D4" i="18"/>
  <c r="F4" i="18" s="1"/>
  <c r="D3" i="18"/>
  <c r="F3" i="18" s="1"/>
  <c r="D2" i="18"/>
  <c r="D5" i="17"/>
  <c r="F5" i="17" s="1"/>
  <c r="D4" i="17"/>
  <c r="F4" i="17" s="1"/>
  <c r="D3" i="17"/>
  <c r="F3" i="17" s="1"/>
  <c r="D2" i="17"/>
  <c r="F2" i="17" s="1"/>
  <c r="D8" i="16"/>
  <c r="F8" i="16" s="1"/>
  <c r="D7" i="16"/>
  <c r="F7" i="16" s="1"/>
  <c r="D6" i="16"/>
  <c r="F6" i="16" s="1"/>
  <c r="D5" i="16"/>
  <c r="F5" i="16" s="1"/>
  <c r="D4" i="16"/>
  <c r="F4" i="16" s="1"/>
  <c r="D3" i="16"/>
  <c r="F3" i="16" s="1"/>
  <c r="D2" i="16"/>
  <c r="F2" i="16" s="1"/>
  <c r="D15" i="15"/>
  <c r="F15" i="15" s="1"/>
  <c r="D14" i="15"/>
  <c r="F14" i="15" s="1"/>
  <c r="D13" i="15"/>
  <c r="F13" i="15" s="1"/>
  <c r="D12" i="15"/>
  <c r="F12" i="15" s="1"/>
  <c r="D11" i="15"/>
  <c r="F11" i="15" s="1"/>
  <c r="D10" i="15"/>
  <c r="F10" i="15" s="1"/>
  <c r="D9" i="15"/>
  <c r="F9" i="15" s="1"/>
  <c r="D8" i="15"/>
  <c r="F8" i="15" s="1"/>
  <c r="D7" i="15"/>
  <c r="F7" i="15" s="1"/>
  <c r="D6" i="15"/>
  <c r="F6" i="15" s="1"/>
  <c r="D5" i="15"/>
  <c r="F5" i="15" s="1"/>
  <c r="D4" i="15"/>
  <c r="F4" i="15" s="1"/>
  <c r="D3" i="15"/>
  <c r="F3" i="15" s="1"/>
  <c r="D2" i="15"/>
  <c r="D11" i="14"/>
  <c r="F11" i="14" s="1"/>
  <c r="D10" i="14"/>
  <c r="F10" i="14" s="1"/>
  <c r="D9" i="14"/>
  <c r="F9" i="14" s="1"/>
  <c r="D8" i="14"/>
  <c r="F8" i="14" s="1"/>
  <c r="D7" i="14"/>
  <c r="F7" i="14" s="1"/>
  <c r="D6" i="14"/>
  <c r="F6" i="14" s="1"/>
  <c r="D5" i="14"/>
  <c r="F5" i="14" s="1"/>
  <c r="D4" i="14"/>
  <c r="F4" i="14" s="1"/>
  <c r="D3" i="14"/>
  <c r="F3" i="14" s="1"/>
  <c r="D2" i="14"/>
  <c r="F2" i="14" s="1"/>
  <c r="D14" i="13"/>
  <c r="F14" i="13" s="1"/>
  <c r="D13" i="13"/>
  <c r="F13" i="13" s="1"/>
  <c r="D12" i="13"/>
  <c r="F12" i="13" s="1"/>
  <c r="D11" i="13"/>
  <c r="F11" i="13" s="1"/>
  <c r="D10" i="13"/>
  <c r="F10" i="13" s="1"/>
  <c r="D9" i="13"/>
  <c r="F9" i="13" s="1"/>
  <c r="D8" i="13"/>
  <c r="F8" i="13" s="1"/>
  <c r="D7" i="13"/>
  <c r="F7" i="13" s="1"/>
  <c r="D6" i="13"/>
  <c r="F6" i="13" s="1"/>
  <c r="D5" i="13"/>
  <c r="F5" i="13" s="1"/>
  <c r="D4" i="13"/>
  <c r="F4" i="13" s="1"/>
  <c r="D3" i="13"/>
  <c r="F3" i="13" s="1"/>
  <c r="D2" i="13"/>
  <c r="F2" i="13" s="1"/>
  <c r="D10" i="12"/>
  <c r="F10" i="12" s="1"/>
  <c r="D9" i="12"/>
  <c r="F9" i="12" s="1"/>
  <c r="D8" i="12"/>
  <c r="F8" i="12" s="1"/>
  <c r="D7" i="12"/>
  <c r="F7" i="12" s="1"/>
  <c r="D6" i="12"/>
  <c r="F6" i="12" s="1"/>
  <c r="D5" i="12"/>
  <c r="F5" i="12" s="1"/>
  <c r="D4" i="12"/>
  <c r="F4" i="12" s="1"/>
  <c r="D3" i="12"/>
  <c r="F3" i="12" s="1"/>
  <c r="D2" i="12"/>
  <c r="F2" i="12" s="1"/>
  <c r="D10" i="11"/>
  <c r="F10" i="11" s="1"/>
  <c r="D9" i="11"/>
  <c r="F9" i="11" s="1"/>
  <c r="D8" i="11"/>
  <c r="F8" i="11" s="1"/>
  <c r="D7" i="11"/>
  <c r="F7" i="11" s="1"/>
  <c r="D6" i="11"/>
  <c r="F6" i="11" s="1"/>
  <c r="D5" i="11"/>
  <c r="F5" i="11" s="1"/>
  <c r="D4" i="11"/>
  <c r="F4" i="11" s="1"/>
  <c r="D3" i="11"/>
  <c r="F3" i="11" s="1"/>
  <c r="D2" i="11"/>
  <c r="D8" i="10"/>
  <c r="F8" i="10" s="1"/>
  <c r="D7" i="10"/>
  <c r="F7" i="10" s="1"/>
  <c r="D6" i="10"/>
  <c r="F6" i="10" s="1"/>
  <c r="D5" i="10"/>
  <c r="F5" i="10" s="1"/>
  <c r="D4" i="10"/>
  <c r="F4" i="10" s="1"/>
  <c r="D3" i="10"/>
  <c r="F3" i="10" s="1"/>
  <c r="D2" i="10"/>
  <c r="D11" i="9"/>
  <c r="F11" i="9" s="1"/>
  <c r="D10" i="9"/>
  <c r="F10" i="9" s="1"/>
  <c r="D9" i="9"/>
  <c r="F9" i="9" s="1"/>
  <c r="D8" i="9"/>
  <c r="F8" i="9" s="1"/>
  <c r="D7" i="9"/>
  <c r="F7" i="9" s="1"/>
  <c r="D6" i="9"/>
  <c r="F6" i="9" s="1"/>
  <c r="D5" i="9"/>
  <c r="F5" i="9" s="1"/>
  <c r="D4" i="9"/>
  <c r="F4" i="9" s="1"/>
  <c r="D3" i="9"/>
  <c r="F3" i="9" s="1"/>
  <c r="D2" i="9"/>
  <c r="F2" i="9" s="1"/>
  <c r="D11" i="8"/>
  <c r="F11" i="8" s="1"/>
  <c r="D10" i="8"/>
  <c r="F10" i="8" s="1"/>
  <c r="D9" i="8"/>
  <c r="F9" i="8" s="1"/>
  <c r="D8" i="8"/>
  <c r="F8" i="8" s="1"/>
  <c r="D7" i="8"/>
  <c r="F7" i="8" s="1"/>
  <c r="D6" i="8"/>
  <c r="F6" i="8" s="1"/>
  <c r="D5" i="8"/>
  <c r="F5" i="8" s="1"/>
  <c r="D4" i="8"/>
  <c r="F4" i="8" s="1"/>
  <c r="D3" i="8"/>
  <c r="F3" i="8" s="1"/>
  <c r="D2" i="8"/>
  <c r="F2" i="8" s="1"/>
  <c r="D8" i="7"/>
  <c r="F8" i="7" s="1"/>
  <c r="D7" i="7"/>
  <c r="F7" i="7" s="1"/>
  <c r="D6" i="7"/>
  <c r="F6" i="7" s="1"/>
  <c r="D5" i="7"/>
  <c r="F5" i="7" s="1"/>
  <c r="D4" i="7"/>
  <c r="F4" i="7" s="1"/>
  <c r="D3" i="7"/>
  <c r="F3" i="7" s="1"/>
  <c r="D2" i="7"/>
  <c r="F2" i="7" s="1"/>
  <c r="D14" i="6"/>
  <c r="F14" i="6" s="1"/>
  <c r="D13" i="6"/>
  <c r="F13" i="6" s="1"/>
  <c r="D12" i="6"/>
  <c r="F12" i="6" s="1"/>
  <c r="D11" i="6"/>
  <c r="F11" i="6" s="1"/>
  <c r="D10" i="6"/>
  <c r="F10" i="6" s="1"/>
  <c r="D9" i="6"/>
  <c r="F9" i="6" s="1"/>
  <c r="D8" i="6"/>
  <c r="F8" i="6" s="1"/>
  <c r="D7" i="6"/>
  <c r="F7" i="6" s="1"/>
  <c r="D6" i="6"/>
  <c r="F6" i="6" s="1"/>
  <c r="D5" i="6"/>
  <c r="F5" i="6" s="1"/>
  <c r="D4" i="6"/>
  <c r="F4" i="6" s="1"/>
  <c r="D3" i="6"/>
  <c r="F3" i="6" s="1"/>
  <c r="D2" i="6"/>
  <c r="F2" i="6" s="1"/>
  <c r="D10" i="5"/>
  <c r="F10" i="5" s="1"/>
  <c r="D9" i="5"/>
  <c r="F9" i="5" s="1"/>
  <c r="D8" i="5"/>
  <c r="F8" i="5" s="1"/>
  <c r="D7" i="5"/>
  <c r="F7" i="5" s="1"/>
  <c r="D6" i="5"/>
  <c r="F6" i="5" s="1"/>
  <c r="D5" i="5"/>
  <c r="F5" i="5" s="1"/>
  <c r="D4" i="5"/>
  <c r="F4" i="5" s="1"/>
  <c r="D3" i="5"/>
  <c r="D2" i="5"/>
  <c r="F2" i="5" s="1"/>
  <c r="D11" i="4"/>
  <c r="F11" i="4" s="1"/>
  <c r="D10" i="4"/>
  <c r="F10" i="4" s="1"/>
  <c r="D9" i="4"/>
  <c r="F9" i="4" s="1"/>
  <c r="D8" i="4"/>
  <c r="F8" i="4" s="1"/>
  <c r="D7" i="4"/>
  <c r="F7" i="4" s="1"/>
  <c r="D6" i="4"/>
  <c r="F6" i="4" s="1"/>
  <c r="D5" i="4"/>
  <c r="F5" i="4" s="1"/>
  <c r="D4" i="4"/>
  <c r="F4" i="4" s="1"/>
  <c r="D3" i="4"/>
  <c r="F3" i="4" s="1"/>
  <c r="D2" i="4"/>
  <c r="F2" i="4" s="1"/>
  <c r="D11" i="3"/>
  <c r="F11" i="3" s="1"/>
  <c r="D10" i="3"/>
  <c r="F10" i="3" s="1"/>
  <c r="D9" i="3"/>
  <c r="F9" i="3" s="1"/>
  <c r="D8" i="3"/>
  <c r="F8" i="3" s="1"/>
  <c r="D7" i="3"/>
  <c r="F7" i="3" s="1"/>
  <c r="D6" i="3"/>
  <c r="F6" i="3" s="1"/>
  <c r="D5" i="3"/>
  <c r="F5" i="3" s="1"/>
  <c r="D4" i="3"/>
  <c r="F4" i="3" s="1"/>
  <c r="D3" i="3"/>
  <c r="F3" i="3" s="1"/>
  <c r="D2" i="3"/>
  <c r="F2" i="3" s="1"/>
  <c r="D10" i="2"/>
  <c r="F10" i="2" s="1"/>
  <c r="D9" i="2"/>
  <c r="F9" i="2" s="1"/>
  <c r="D8" i="2"/>
  <c r="F8" i="2" s="1"/>
  <c r="D7" i="2"/>
  <c r="F7" i="2" s="1"/>
  <c r="D6" i="2"/>
  <c r="F6" i="2" s="1"/>
  <c r="D5" i="2"/>
  <c r="F5" i="2" s="1"/>
  <c r="D4" i="2"/>
  <c r="F4" i="2" s="1"/>
  <c r="D3" i="2"/>
  <c r="F3" i="2" s="1"/>
  <c r="D2" i="2"/>
  <c r="F2" i="2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H7" i="20" l="1"/>
  <c r="H5" i="20" a="1"/>
  <c r="H5" i="20" s="1"/>
  <c r="H7" i="19"/>
  <c r="H5" i="19" a="1"/>
  <c r="H5" i="19" s="1"/>
  <c r="H5" i="18" a="1"/>
  <c r="H5" i="18" s="1"/>
  <c r="F2" i="18"/>
  <c r="H7" i="18" s="1"/>
  <c r="H5" i="17" a="1"/>
  <c r="H5" i="17" s="1"/>
  <c r="H7" i="17"/>
  <c r="H7" i="16"/>
  <c r="H5" i="16" a="1"/>
  <c r="H5" i="16" s="1"/>
  <c r="H5" i="15" a="1"/>
  <c r="H5" i="15" s="1"/>
  <c r="F2" i="15"/>
  <c r="H7" i="15" s="1"/>
  <c r="H7" i="14"/>
  <c r="H5" i="14" a="1"/>
  <c r="H5" i="14" s="1"/>
  <c r="H5" i="13" a="1"/>
  <c r="H5" i="13" s="1"/>
  <c r="H7" i="13"/>
  <c r="H7" i="12"/>
  <c r="H5" i="12" a="1"/>
  <c r="H5" i="12" s="1"/>
  <c r="H5" i="11" a="1"/>
  <c r="H5" i="11" s="1"/>
  <c r="F2" i="11"/>
  <c r="H7" i="11" s="1"/>
  <c r="H5" i="10" a="1"/>
  <c r="H5" i="10" s="1"/>
  <c r="F2" i="10"/>
  <c r="H7" i="10" s="1"/>
  <c r="H7" i="9"/>
  <c r="H5" i="9" a="1"/>
  <c r="H5" i="9" s="1"/>
  <c r="H5" i="8" a="1"/>
  <c r="H5" i="8" s="1"/>
  <c r="H7" i="8"/>
  <c r="H7" i="7"/>
  <c r="H5" i="7" a="1"/>
  <c r="H5" i="7" s="1"/>
  <c r="H7" i="6"/>
  <c r="H5" i="6" a="1"/>
  <c r="H5" i="6" s="1"/>
  <c r="H5" i="5" a="1"/>
  <c r="H5" i="5" s="1"/>
  <c r="F3" i="5"/>
  <c r="H7" i="5" s="1"/>
  <c r="H7" i="4"/>
  <c r="H5" i="4" a="1"/>
  <c r="H5" i="4" s="1"/>
  <c r="H7" i="3"/>
  <c r="H5" i="3" a="1"/>
  <c r="H5" i="3" s="1"/>
  <c r="H7" i="2"/>
  <c r="H5" i="2" a="1"/>
  <c r="H5" i="2" s="1"/>
  <c r="I7" i="1"/>
  <c r="I5" i="1" a="1"/>
  <c r="I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<sst xmlns="http://schemas.openxmlformats.org/spreadsheetml/2006/main" count="383" uniqueCount="191">
  <si>
    <t>Name</t>
  </si>
  <si>
    <t>ARIMAPP</t>
  </si>
  <si>
    <t>LSTMPP</t>
  </si>
  <si>
    <t>PP</t>
  </si>
  <si>
    <t>AP</t>
  </si>
  <si>
    <t>DIFF</t>
  </si>
  <si>
    <t>Xhaka</t>
  </si>
  <si>
    <t>ARIMA</t>
  </si>
  <si>
    <t>Partey</t>
  </si>
  <si>
    <t>LSTM</t>
  </si>
  <si>
    <t>Ødegaard</t>
  </si>
  <si>
    <t>White</t>
  </si>
  <si>
    <t>OFF</t>
  </si>
  <si>
    <t>Saka</t>
  </si>
  <si>
    <t>Ramsdale</t>
  </si>
  <si>
    <t>AVG</t>
  </si>
  <si>
    <t>Gabriel</t>
  </si>
  <si>
    <t>Martinelli</t>
  </si>
  <si>
    <t>Saliba</t>
  </si>
  <si>
    <t>Jesus</t>
  </si>
  <si>
    <t>Zinchenko</t>
  </si>
  <si>
    <t>Ings</t>
  </si>
  <si>
    <t>Martínez</t>
  </si>
  <si>
    <t>Digne</t>
  </si>
  <si>
    <t>Watkins</t>
  </si>
  <si>
    <t>Buendía</t>
  </si>
  <si>
    <t>Konsa</t>
  </si>
  <si>
    <t>Bailey</t>
  </si>
  <si>
    <t>Douglas Luiz</t>
  </si>
  <si>
    <t>Ramsey</t>
  </si>
  <si>
    <t>Smith</t>
  </si>
  <si>
    <t>Stanislas</t>
  </si>
  <si>
    <t>Moore</t>
  </si>
  <si>
    <t>Solanke</t>
  </si>
  <si>
    <t>Cook</t>
  </si>
  <si>
    <t>Billing</t>
  </si>
  <si>
    <t>Travers</t>
  </si>
  <si>
    <t>Kelly</t>
  </si>
  <si>
    <t>Zemura</t>
  </si>
  <si>
    <t>Tavernier</t>
  </si>
  <si>
    <t>Jansson</t>
  </si>
  <si>
    <t>Nørgaard</t>
  </si>
  <si>
    <t>Toney</t>
  </si>
  <si>
    <t>Raya</t>
  </si>
  <si>
    <t>Dasilva</t>
  </si>
  <si>
    <t>Janelt</t>
  </si>
  <si>
    <t>Jensen</t>
  </si>
  <si>
    <t>Wissa</t>
  </si>
  <si>
    <t>Mbeumo</t>
  </si>
  <si>
    <t>Mee</t>
  </si>
  <si>
    <t>Lallana</t>
  </si>
  <si>
    <t>Groß</t>
  </si>
  <si>
    <t>March</t>
  </si>
  <si>
    <t>Webster</t>
  </si>
  <si>
    <t>Veltman</t>
  </si>
  <si>
    <t>Trossard</t>
  </si>
  <si>
    <t>Sánchez</t>
  </si>
  <si>
    <t>Mac Allister</t>
  </si>
  <si>
    <t>Mwepu</t>
  </si>
  <si>
    <t>Cucurella</t>
  </si>
  <si>
    <t>Azpilicueta</t>
  </si>
  <si>
    <t>Thiago Silva</t>
  </si>
  <si>
    <t>Jorginho</t>
  </si>
  <si>
    <t>Kanté</t>
  </si>
  <si>
    <t>Chilwell</t>
  </si>
  <si>
    <t>Mount</t>
  </si>
  <si>
    <t>Havertz</t>
  </si>
  <si>
    <t>James</t>
  </si>
  <si>
    <t>Mendy</t>
  </si>
  <si>
    <t>Broja</t>
  </si>
  <si>
    <t>Sterling</t>
  </si>
  <si>
    <t>Koulibaly</t>
  </si>
  <si>
    <t>Guaita</t>
  </si>
  <si>
    <t>Zaha</t>
  </si>
  <si>
    <t>Andersen</t>
  </si>
  <si>
    <t>Edouard</t>
  </si>
  <si>
    <t>Guéhi</t>
  </si>
  <si>
    <t>Eze</t>
  </si>
  <si>
    <t>Mitchell</t>
  </si>
  <si>
    <t>Pickford</t>
  </si>
  <si>
    <t>Iwobi</t>
  </si>
  <si>
    <t>Mina</t>
  </si>
  <si>
    <t>Gray</t>
  </si>
  <si>
    <t>Holgate</t>
  </si>
  <si>
    <t>Godfrey</t>
  </si>
  <si>
    <t>Mykolenko</t>
  </si>
  <si>
    <t>Gordon</t>
  </si>
  <si>
    <t>Tarkowski</t>
  </si>
  <si>
    <t>McNeil</t>
  </si>
  <si>
    <t>Ream</t>
  </si>
  <si>
    <t>Kebano</t>
  </si>
  <si>
    <t>De Cordova-Reid</t>
  </si>
  <si>
    <t>Tosin</t>
  </si>
  <si>
    <t>Mitrović</t>
  </si>
  <si>
    <t>Reed</t>
  </si>
  <si>
    <t>Tete</t>
  </si>
  <si>
    <t>Robinson</t>
  </si>
  <si>
    <t>Palhinha</t>
  </si>
  <si>
    <t>Andreas</t>
  </si>
  <si>
    <t>Rodrigo</t>
  </si>
  <si>
    <t>Harrison</t>
  </si>
  <si>
    <t>Struijk</t>
  </si>
  <si>
    <t>Greenwood</t>
  </si>
  <si>
    <t>Meslier</t>
  </si>
  <si>
    <t>Roca</t>
  </si>
  <si>
    <t>Aaronson</t>
  </si>
  <si>
    <t>Ward</t>
  </si>
  <si>
    <t>Vardy</t>
  </si>
  <si>
    <t>Amartey</t>
  </si>
  <si>
    <t>Castagne</t>
  </si>
  <si>
    <t>Tielemans</t>
  </si>
  <si>
    <t>Maddison</t>
  </si>
  <si>
    <t>Dewsbury-Hall</t>
  </si>
  <si>
    <t>Justin</t>
  </si>
  <si>
    <t>Daka</t>
  </si>
  <si>
    <t>Firmino</t>
  </si>
  <si>
    <t>Van Dijk</t>
  </si>
  <si>
    <t>Alisson</t>
  </si>
  <si>
    <t>Fabinho</t>
  </si>
  <si>
    <t>Salah</t>
  </si>
  <si>
    <t>Robertson</t>
  </si>
  <si>
    <t>Luis Díaz</t>
  </si>
  <si>
    <t>Elliott</t>
  </si>
  <si>
    <t>Darwin</t>
  </si>
  <si>
    <t>Walker</t>
  </si>
  <si>
    <t>Gündogan</t>
  </si>
  <si>
    <t>De Bruyne</t>
  </si>
  <si>
    <t>Mahrez</t>
  </si>
  <si>
    <t>Grealish</t>
  </si>
  <si>
    <t>Ederson</t>
  </si>
  <si>
    <t>Aké</t>
  </si>
  <si>
    <t>Bernardo</t>
  </si>
  <si>
    <t>Dias</t>
  </si>
  <si>
    <t>Foden</t>
  </si>
  <si>
    <t>Rodri</t>
  </si>
  <si>
    <t>Haaland</t>
  </si>
  <si>
    <t>Álvarez</t>
  </si>
  <si>
    <t>Ronaldo</t>
  </si>
  <si>
    <t>De Gea</t>
  </si>
  <si>
    <t>Fred</t>
  </si>
  <si>
    <t>Shaw</t>
  </si>
  <si>
    <t>Fernandes</t>
  </si>
  <si>
    <t>Rashford</t>
  </si>
  <si>
    <t>Sancho</t>
  </si>
  <si>
    <t>Dalot</t>
  </si>
  <si>
    <t>Eriksen</t>
  </si>
  <si>
    <t>Wood</t>
  </si>
  <si>
    <t>Wilson</t>
  </si>
  <si>
    <t>Trippier</t>
  </si>
  <si>
    <t>Burn</t>
  </si>
  <si>
    <t>Murphy</t>
  </si>
  <si>
    <t>Schär</t>
  </si>
  <si>
    <t>Saint-Maximin</t>
  </si>
  <si>
    <t>Almirón</t>
  </si>
  <si>
    <t>S.Longstaff</t>
  </si>
  <si>
    <t>Joelinton</t>
  </si>
  <si>
    <t>Willock</t>
  </si>
  <si>
    <t>Bruno Guimarães</t>
  </si>
  <si>
    <t>Pope</t>
  </si>
  <si>
    <t>Botman</t>
  </si>
  <si>
    <t>N.Williams</t>
  </si>
  <si>
    <t>McKenna</t>
  </si>
  <si>
    <t>Worrall</t>
  </si>
  <si>
    <t>Johnson</t>
  </si>
  <si>
    <t>Awoniyi</t>
  </si>
  <si>
    <t>Henderson</t>
  </si>
  <si>
    <t>Gibbs-White</t>
  </si>
  <si>
    <t>Romeu</t>
  </si>
  <si>
    <t>Redmond</t>
  </si>
  <si>
    <t>S.Armstrong</t>
  </si>
  <si>
    <t>Ward-Prowse</t>
  </si>
  <si>
    <t>Kane</t>
  </si>
  <si>
    <t>Son</t>
  </si>
  <si>
    <t>Davies</t>
  </si>
  <si>
    <t>Højbjerg</t>
  </si>
  <si>
    <t>R.Sessegnon</t>
  </si>
  <si>
    <t>Bentancur</t>
  </si>
  <si>
    <t>Romero</t>
  </si>
  <si>
    <t>Kulusevski</t>
  </si>
  <si>
    <t>Lenglet</t>
  </si>
  <si>
    <t>Fabianski</t>
  </si>
  <si>
    <t>Cresswell</t>
  </si>
  <si>
    <t>Zouma</t>
  </si>
  <si>
    <t>Benrahma</t>
  </si>
  <si>
    <t>Bowen</t>
  </si>
  <si>
    <t>Rice</t>
  </si>
  <si>
    <t>Soucek</t>
  </si>
  <si>
    <t>Neves</t>
  </si>
  <si>
    <t>Podence</t>
  </si>
  <si>
    <t>Neto</t>
  </si>
  <si>
    <t>Aït-Nouri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</si>
</sst>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RS" displayName="TableARS" ref="A1:F12">
  <autoFilter ref="A1:F12" xr:uid="{00000000-0009-0000-0100-000001000000}"/>
  <tableColumns count="6">
    <tableColumn id="1" xr3:uid="{00000000-0010-0000-0000-000001000000}" name="Name" totalsRowLabel="Total"/>
    <tableColumn id="2" xr3:uid="{00000000-0010-0000-0000-000002000000}" name="ARIMAPP"/>
    <tableColumn id="3" xr3:uid="{00000000-0010-0000-0000-000003000000}" name="LSTMPP"/>
    <tableColumn id="4" xr3:uid="{00000000-0010-0000-0000-000004000000}" name="PP"/>
    <tableColumn id="5" xr3:uid="{00000000-0010-0000-0000-000005000000}" name="AP"/>
    <tableColumn id="6" xr3:uid="{00000000-0010-0000-0000-000006000000}" name="DIF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VL" displayName="TableAVL" ref="A1:F10">
  <autoFilter ref="A1:F10" xr:uid="{00000000-0009-0000-0100-000002000000}"/>
  <tableColumns count="6">
    <tableColumn id="1" xr3:uid="{00000000-0010-0000-0100-000001000000}" name="Name" totalsRowLabel="Total"/>
    <tableColumn id="2" xr3:uid="{00000000-0010-0000-0100-000002000000}" name="ARIMAPP"/>
    <tableColumn id="3" xr3:uid="{00000000-0010-0000-0100-000003000000}" name="LSTMPP"/>
    <tableColumn id="4" xr3:uid="{00000000-0010-0000-0100-000004000000}" name="PP"/>
    <tableColumn id="5" xr3:uid="{00000000-0010-0000-0100-000005000000}" name="AP"/>
    <tableColumn id="6" xr3:uid="{00000000-0010-0000-0100-000006000000}" name="DIF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U" displayName="TableBOU" ref="A1:F11">
  <autoFilter ref="A1:F11" xr:uid="{00000000-0009-0000-0100-000003000000}"/>
  <tableColumns count="6">
    <tableColumn id="1" xr3:uid="{00000000-0010-0000-0200-000001000000}" name="Name" totalsRowLabel="Total"/>
    <tableColumn id="2" xr3:uid="{00000000-0010-0000-0200-000002000000}" name="ARIMAPP"/>
    <tableColumn id="3" xr3:uid="{00000000-0010-0000-0200-000003000000}" name="LSTMPP"/>
    <tableColumn id="4" xr3:uid="{00000000-0010-0000-0200-000004000000}" name="PP"/>
    <tableColumn id="5" xr3:uid="{00000000-0010-0000-0200-000005000000}" name="AP"/>
    <tableColumn id="6" xr3:uid="{00000000-0010-0000-0200-000006000000}" name="DIFF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BRE" displayName="TableBRE" ref="A1:F11">
  <autoFilter ref="A1:F11" xr:uid="{00000000-0009-0000-0100-000004000000}"/>
  <tableColumns count="6">
    <tableColumn id="1" xr3:uid="{00000000-0010-0000-0300-000001000000}" name="Name" totalsRowLabel="Total"/>
    <tableColumn id="2" xr3:uid="{00000000-0010-0000-0300-000002000000}" name="ARIMAPP"/>
    <tableColumn id="3" xr3:uid="{00000000-0010-0000-0300-000003000000}" name="LSTMPP"/>
    <tableColumn id="4" xr3:uid="{00000000-0010-0000-0300-000004000000}" name="PP"/>
    <tableColumn id="5" xr3:uid="{00000000-0010-0000-0300-000005000000}" name="AP"/>
    <tableColumn id="6" xr3:uid="{00000000-0010-0000-0300-000006000000}" name="DIFF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BHA" displayName="TableBHA" ref="A1:F10">
  <autoFilter ref="A1:F10" xr:uid="{00000000-0009-0000-0100-000005000000}"/>
  <tableColumns count="6">
    <tableColumn id="1" xr3:uid="{00000000-0010-0000-0400-000001000000}" name="Name" totalsRowLabel="Total"/>
    <tableColumn id="2" xr3:uid="{00000000-0010-0000-0400-000002000000}" name="ARIMAPP"/>
    <tableColumn id="3" xr3:uid="{00000000-0010-0000-0400-000003000000}" name="LSTMPP"/>
    <tableColumn id="4" xr3:uid="{00000000-0010-0000-0400-000004000000}" name="PP"/>
    <tableColumn id="5" xr3:uid="{00000000-0010-0000-0400-000005000000}" name="AP"/>
    <tableColumn id="6" xr3:uid="{00000000-0010-0000-0400-000006000000}" name="DIFF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CHE" displayName="TableCHE" ref="A1:F14">
  <autoFilter ref="A1:F14" xr:uid="{00000000-0009-0000-0100-000006000000}"/>
  <tableColumns count="6">
    <tableColumn id="1" xr3:uid="{00000000-0010-0000-0500-000001000000}" name="Name" totalsRowLabel="Total"/>
    <tableColumn id="2" xr3:uid="{00000000-0010-0000-0500-000002000000}" name="ARIMAPP"/>
    <tableColumn id="3" xr3:uid="{00000000-0010-0000-0500-000003000000}" name="LSTMPP"/>
    <tableColumn id="4" xr3:uid="{00000000-0010-0000-0500-000004000000}" name="PP"/>
    <tableColumn id="5" xr3:uid="{00000000-0010-0000-0500-000005000000}" name="AP"/>
    <tableColumn id="6" xr3:uid="{00000000-0010-0000-0500-000006000000}" name="DIF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RY" displayName="TableCRY" ref="A1:F8">
  <autoFilter ref="A1:F8" xr:uid="{00000000-0009-0000-0100-000007000000}"/>
  <tableColumns count="6">
    <tableColumn id="1" xr3:uid="{00000000-0010-0000-0600-000001000000}" name="Name" totalsRowLabel="Total"/>
    <tableColumn id="2" xr3:uid="{00000000-0010-0000-0600-000002000000}" name="ARIMAPP"/>
    <tableColumn id="3" xr3:uid="{00000000-0010-0000-0600-000003000000}" name="LSTMPP"/>
    <tableColumn id="4" xr3:uid="{00000000-0010-0000-0600-000004000000}" name="PP"/>
    <tableColumn id="5" xr3:uid="{00000000-0010-0000-0600-000005000000}" name="AP"/>
    <tableColumn id="6" xr3:uid="{00000000-0010-0000-0600-000006000000}" name="DIFF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EVE" displayName="TableEVE" ref="A1:F11">
  <autoFilter ref="A1:F11" xr:uid="{00000000-0009-0000-0100-000008000000}"/>
  <tableColumns count="6">
    <tableColumn id="1" xr3:uid="{00000000-0010-0000-0700-000001000000}" name="Name" totalsRowLabel="Total"/>
    <tableColumn id="2" xr3:uid="{00000000-0010-0000-0700-000002000000}" name="ARIMAPP"/>
    <tableColumn id="3" xr3:uid="{00000000-0010-0000-0700-000003000000}" name="LSTMPP"/>
    <tableColumn id="4" xr3:uid="{00000000-0010-0000-0700-000004000000}" name="PP"/>
    <tableColumn id="5" xr3:uid="{00000000-0010-0000-0700-000005000000}" name="AP"/>
    <tableColumn id="6" xr3:uid="{00000000-0010-0000-0700-000006000000}" name="DIFF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FUL" displayName="TableFUL" ref="A1:F11">
  <autoFilter ref="A1:F11" xr:uid="{00000000-0009-0000-0100-000009000000}"/>
  <tableColumns count="6">
    <tableColumn id="1" xr3:uid="{00000000-0010-0000-0800-000001000000}" name="Name" totalsRowLabel="Total"/>
    <tableColumn id="2" xr3:uid="{00000000-0010-0000-0800-000002000000}" name="ARIMAPP"/>
    <tableColumn id="3" xr3:uid="{00000000-0010-0000-0800-000003000000}" name="LSTMPP"/>
    <tableColumn id="4" xr3:uid="{00000000-0010-0000-0800-000004000000}" name="PP"/>
    <tableColumn id="5" xr3:uid="{00000000-0010-0000-0800-000005000000}" name="AP"/>
    <tableColumn id="6" xr3:uid="{00000000-0010-0000-0800-000006000000}" name="DIFF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LEE" displayName="TableLEE" ref="A1:F8">
  <autoFilter ref="A1:F8" xr:uid="{00000000-0009-0000-0100-00000A000000}"/>
  <tableColumns count="6">
    <tableColumn id="1" xr3:uid="{00000000-0010-0000-0900-000001000000}" name="Name" totalsRowLabel="Total"/>
    <tableColumn id="2" xr3:uid="{00000000-0010-0000-0900-000002000000}" name="ARIMAPP"/>
    <tableColumn id="3" xr3:uid="{00000000-0010-0000-0900-000003000000}" name="LSTMPP"/>
    <tableColumn id="4" xr3:uid="{00000000-0010-0000-0900-000004000000}" name="PP"/>
    <tableColumn id="5" xr3:uid="{00000000-0010-0000-0900-000005000000}" name="AP"/>
    <tableColumn id="6" xr3:uid="{00000000-0010-0000-0900-000006000000}" name="DIFF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LEI" displayName="TableLEI" ref="A1:F10">
  <autoFilter ref="A1:F10" xr:uid="{00000000-0009-0000-0100-00000B000000}"/>
  <tableColumns count="6">
    <tableColumn id="1" xr3:uid="{00000000-0010-0000-0A00-000001000000}" name="Name" totalsRowLabel="Total"/>
    <tableColumn id="2" xr3:uid="{00000000-0010-0000-0A00-000002000000}" name="ARIMAPP"/>
    <tableColumn id="3" xr3:uid="{00000000-0010-0000-0A00-000003000000}" name="LSTMPP"/>
    <tableColumn id="4" xr3:uid="{00000000-0010-0000-0A00-000004000000}" name="PP"/>
    <tableColumn id="5" xr3:uid="{00000000-0010-0000-0A00-000005000000}" name="AP"/>
    <tableColumn id="6" xr3:uid="{00000000-0010-0000-0A00-000006000000}" name="DIFF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LIV" displayName="TableLIV" ref="A1:F10">
  <autoFilter ref="A1:F10" xr:uid="{00000000-0009-0000-0100-00000C000000}"/>
  <tableColumns count="6">
    <tableColumn id="1" xr3:uid="{00000000-0010-0000-0B00-000001000000}" name="Name" totalsRowLabel="Total"/>
    <tableColumn id="2" xr3:uid="{00000000-0010-0000-0B00-000002000000}" name="ARIMAPP"/>
    <tableColumn id="3" xr3:uid="{00000000-0010-0000-0B00-000003000000}" name="LSTMPP"/>
    <tableColumn id="4" xr3:uid="{00000000-0010-0000-0B00-000004000000}" name="PP"/>
    <tableColumn id="5" xr3:uid="{00000000-0010-0000-0B00-000005000000}" name="AP"/>
    <tableColumn id="6" xr3:uid="{00000000-0010-0000-0B00-000006000000}" name="DIFF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MCI" displayName="TableMCI" ref="A1:F14">
  <autoFilter ref="A1:F14" xr:uid="{00000000-0009-0000-0100-00000D000000}"/>
  <tableColumns count="6">
    <tableColumn id="1" xr3:uid="{00000000-0010-0000-0C00-000001000000}" name="Name" totalsRowLabel="Total"/>
    <tableColumn id="2" xr3:uid="{00000000-0010-0000-0C00-000002000000}" name="ARIMAPP"/>
    <tableColumn id="3" xr3:uid="{00000000-0010-0000-0C00-000003000000}" name="LSTMPP"/>
    <tableColumn id="4" xr3:uid="{00000000-0010-0000-0C00-000004000000}" name="PP"/>
    <tableColumn id="5" xr3:uid="{00000000-0010-0000-0C00-000005000000}" name="AP"/>
    <tableColumn id="6" xr3:uid="{00000000-0010-0000-0C00-000006000000}" name="DIFF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MUN" displayName="TableMUN" ref="A1:F11">
  <autoFilter ref="A1:F11" xr:uid="{00000000-0009-0000-0100-00000E000000}"/>
  <tableColumns count="6">
    <tableColumn id="1" xr3:uid="{00000000-0010-0000-0D00-000001000000}" name="Name" totalsRowLabel="Total"/>
    <tableColumn id="2" xr3:uid="{00000000-0010-0000-0D00-000002000000}" name="ARIMAPP"/>
    <tableColumn id="3" xr3:uid="{00000000-0010-0000-0D00-000003000000}" name="LSTMPP"/>
    <tableColumn id="4" xr3:uid="{00000000-0010-0000-0D00-000004000000}" name="PP"/>
    <tableColumn id="5" xr3:uid="{00000000-0010-0000-0D00-000005000000}" name="AP"/>
    <tableColumn id="6" xr3:uid="{00000000-0010-0000-0D00-000006000000}" name="DIFF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NEW" displayName="TableNEW" ref="A1:F15">
  <autoFilter ref="A1:F15" xr:uid="{00000000-0009-0000-0100-00000F000000}"/>
  <tableColumns count="6">
    <tableColumn id="1" xr3:uid="{00000000-0010-0000-0E00-000001000000}" name="Name" totalsRowLabel="Total"/>
    <tableColumn id="2" xr3:uid="{00000000-0010-0000-0E00-000002000000}" name="ARIMAPP"/>
    <tableColumn id="3" xr3:uid="{00000000-0010-0000-0E00-000003000000}" name="LSTMPP"/>
    <tableColumn id="4" xr3:uid="{00000000-0010-0000-0E00-000004000000}" name="PP"/>
    <tableColumn id="5" xr3:uid="{00000000-0010-0000-0E00-000005000000}" name="AP"/>
    <tableColumn id="6" xr3:uid="{00000000-0010-0000-0E00-000006000000}" name="DIFF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NFO" displayName="TableNFO" ref="A1:F8">
  <autoFilter ref="A1:F8" xr:uid="{00000000-0009-0000-0100-000010000000}"/>
  <tableColumns count="6">
    <tableColumn id="1" xr3:uid="{00000000-0010-0000-0F00-000001000000}" name="Name" totalsRowLabel="Total"/>
    <tableColumn id="2" xr3:uid="{00000000-0010-0000-0F00-000002000000}" name="ARIMAPP"/>
    <tableColumn id="3" xr3:uid="{00000000-0010-0000-0F00-000003000000}" name="LSTMPP"/>
    <tableColumn id="4" xr3:uid="{00000000-0010-0000-0F00-000004000000}" name="PP"/>
    <tableColumn id="5" xr3:uid="{00000000-0010-0000-0F00-000005000000}" name="AP"/>
    <tableColumn id="6" xr3:uid="{00000000-0010-0000-0F00-000006000000}" name="DIFF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SOU" displayName="TableSOU" ref="A1:F5">
  <autoFilter ref="A1:F5" xr:uid="{00000000-0009-0000-0100-000011000000}"/>
  <tableColumns count="6">
    <tableColumn id="1" xr3:uid="{00000000-0010-0000-1000-000001000000}" name="Name" totalsRowLabel="Total"/>
    <tableColumn id="2" xr3:uid="{00000000-0010-0000-1000-000002000000}" name="ARIMAPP"/>
    <tableColumn id="3" xr3:uid="{00000000-0010-0000-1000-000003000000}" name="LSTMPP"/>
    <tableColumn id="4" xr3:uid="{00000000-0010-0000-1000-000004000000}" name="PP"/>
    <tableColumn id="5" xr3:uid="{00000000-0010-0000-1000-000005000000}" name="AP"/>
    <tableColumn id="6" xr3:uid="{00000000-0010-0000-1000-000006000000}" name="DIFF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TOT" displayName="TableTOT" ref="A1:F10">
  <autoFilter ref="A1:F10" xr:uid="{00000000-0009-0000-0100-000012000000}"/>
  <tableColumns count="6">
    <tableColumn id="1" xr3:uid="{00000000-0010-0000-1100-000001000000}" name="Name" totalsRowLabel="Total"/>
    <tableColumn id="2" xr3:uid="{00000000-0010-0000-1100-000002000000}" name="ARIMAPP"/>
    <tableColumn id="3" xr3:uid="{00000000-0010-0000-1100-000003000000}" name="LSTMPP"/>
    <tableColumn id="4" xr3:uid="{00000000-0010-0000-1100-000004000000}" name="PP"/>
    <tableColumn id="5" xr3:uid="{00000000-0010-0000-1100-000005000000}" name="AP"/>
    <tableColumn id="6" xr3:uid="{00000000-0010-0000-1100-000006000000}" name="DIFF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WHU" displayName="TableWHU" ref="A1:F9">
  <autoFilter ref="A1:F9" xr:uid="{00000000-0009-0000-0100-000013000000}"/>
  <tableColumns count="6">
    <tableColumn id="1" xr3:uid="{00000000-0010-0000-1200-000001000000}" name="Name" totalsRowLabel="Total"/>
    <tableColumn id="2" xr3:uid="{00000000-0010-0000-1200-000002000000}" name="ARIMAPP"/>
    <tableColumn id="3" xr3:uid="{00000000-0010-0000-1200-000003000000}" name="LSTMPP"/>
    <tableColumn id="4" xr3:uid="{00000000-0010-0000-1200-000004000000}" name="PP"/>
    <tableColumn id="5" xr3:uid="{00000000-0010-0000-1200-000005000000}" name="AP"/>
    <tableColumn id="6" xr3:uid="{00000000-0010-0000-1200-000006000000}" name="DIFF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WOL" displayName="TableWOL" ref="A1:F5">
  <autoFilter ref="A1:F5" xr:uid="{00000000-0009-0000-0100-000014000000}"/>
  <tableColumns count="6">
    <tableColumn id="1" xr3:uid="{00000000-0010-0000-1300-000001000000}" name="Name" totalsRowLabel="Total"/>
    <tableColumn id="2" xr3:uid="{00000000-0010-0000-1300-000002000000}" name="ARIMAPP"/>
    <tableColumn id="3" xr3:uid="{00000000-0010-0000-1300-000003000000}" name="LSTMPP"/>
    <tableColumn id="4" xr3:uid="{00000000-0010-0000-1300-000004000000}" name="PP"/>
    <tableColumn id="5" xr3:uid="{00000000-0010-0000-1300-000005000000}" name="AP"/>
    <tableColumn id="6" xr3:uid="{00000000-0010-0000-1300-000006000000}" name="DI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</v>
      </c>
      <c r="B2">
        <v>13.278688468480853</v>
      </c>
      <c r="C2">
        <v>31.223788867076845</v>
      </c>
      <c r="D2">
        <f>B2*$I$2+C2*$I$3</f>
        <v>20.085704163756017</v>
      </c>
      <c r="E2">
        <v>22</v>
      </c>
      <c r="F2">
        <f t="shared" ref="F2:F12" si="0">ABS(D2-E2)</f>
        <v>1.9142958362439835</v>
      </c>
      <c r="H2" t="s">
        <v>7</v>
      </c>
      <c r="I2">
        <v>0.28268595875870789</v>
      </c>
    </row>
    <row r="3" spans="1:9" x14ac:dyDescent="0.3">
      <c r="A3" t="s">
        <v>8</v>
      </c>
      <c r="B3">
        <v>11.923076923076923</v>
      </c>
      <c r="C3">
        <v>25.480584056505883</v>
      </c>
      <c r="D3">
        <f>B3*$I$2+C3*$I$3</f>
        <v>16.698434482247219</v>
      </c>
      <c r="E3">
        <v>18</v>
      </c>
      <c r="F3">
        <f t="shared" si="0"/>
        <v>1.3015655177527812</v>
      </c>
      <c r="H3" t="s">
        <v>9</v>
      </c>
      <c r="I3">
        <v>0.52306289452931154</v>
      </c>
    </row>
    <row r="4" spans="1:9" x14ac:dyDescent="0.3">
      <c r="A4" s="1" t="s">
        <v>10</v>
      </c>
      <c r="B4" s="2">
        <v>20.518518483551617</v>
      </c>
      <c r="C4" s="2">
        <v>35.625814745866599</v>
      </c>
      <c r="D4" s="2">
        <f>B4*$I$2+C4*$I$3</f>
        <v>24.434838850769069</v>
      </c>
      <c r="E4" s="2">
        <v>42</v>
      </c>
      <c r="F4" s="3">
        <f>ABS(D4-E4)</f>
        <v>17.565161149230931</v>
      </c>
    </row>
    <row r="5" spans="1:9" x14ac:dyDescent="0.3">
      <c r="A5" t="s">
        <v>11</v>
      </c>
      <c r="B5">
        <v>20.090908799480637</v>
      </c>
      <c r="C5">
        <v>39.301993091125844</v>
      </c>
      <c r="D5">
        <f>B5*$I$2+C5*$I$3</f>
        <v>26.236832083330235</v>
      </c>
      <c r="E5">
        <v>27</v>
      </c>
      <c r="F5">
        <f t="shared" si="0"/>
        <v>0.76316791666976513</v>
      </c>
      <c r="H5" t="s">
        <v>12</v>
      </c>
      <c r="I5" cm="1">
        <f t="array" ref="I5">(SUM(TableARS[PP]-TableARS[AP]))^2</f>
        <v>0</v>
      </c>
    </row>
    <row r="6" spans="1:9" x14ac:dyDescent="0.3">
      <c r="A6" t="s">
        <v>13</v>
      </c>
      <c r="B6">
        <v>19.726050771054332</v>
      </c>
      <c r="C6">
        <v>56.865454704216965</v>
      </c>
      <c r="D6">
        <f>B6*$I$2+C6*$I$3</f>
        <v>35.320486911051624</v>
      </c>
      <c r="E6">
        <v>22</v>
      </c>
      <c r="F6">
        <f t="shared" si="0"/>
        <v>13.320486911051624</v>
      </c>
    </row>
    <row r="7" spans="1:9" x14ac:dyDescent="0.3">
      <c r="A7" t="s">
        <v>14</v>
      </c>
      <c r="B7">
        <v>21.787610599194306</v>
      </c>
      <c r="C7">
        <v>33.676762310576272</v>
      </c>
      <c r="D7">
        <f>B7*$I$2+C7*$I$3</f>
        <v>23.774116363840278</v>
      </c>
      <c r="E7">
        <v>23</v>
      </c>
      <c r="F7">
        <f t="shared" si="0"/>
        <v>0.77411636384027815</v>
      </c>
      <c r="H7" t="s">
        <v>15</v>
      </c>
      <c r="I7">
        <f>AVERAGE(TableARS[DIFF])/5</f>
        <v>1.0921970210262981</v>
      </c>
    </row>
    <row r="8" spans="1:9" x14ac:dyDescent="0.3">
      <c r="A8" t="s">
        <v>16</v>
      </c>
      <c r="B8">
        <v>6.4563222980268229</v>
      </c>
      <c r="C8">
        <v>39.254888458604619</v>
      </c>
      <c r="D8">
        <f>B8*$I$2+C8*$I$3</f>
        <v>22.357887240455934</v>
      </c>
      <c r="E8">
        <v>30</v>
      </c>
      <c r="F8">
        <f t="shared" si="0"/>
        <v>7.6421127595440659</v>
      </c>
    </row>
    <row r="9" spans="1:9" x14ac:dyDescent="0.3">
      <c r="A9" t="s">
        <v>17</v>
      </c>
      <c r="B9">
        <v>27.908702170668043</v>
      </c>
      <c r="C9">
        <v>44.361897683400976</v>
      </c>
      <c r="D9">
        <f>B9*$I$2+C9*$I$3</f>
        <v>31.093460839919402</v>
      </c>
      <c r="E9">
        <v>27</v>
      </c>
      <c r="F9">
        <f t="shared" si="0"/>
        <v>4.0934608399194019</v>
      </c>
    </row>
    <row r="10" spans="1:9" x14ac:dyDescent="0.3">
      <c r="A10" t="s">
        <v>18</v>
      </c>
      <c r="B10">
        <v>28.636373277872895</v>
      </c>
      <c r="C10">
        <v>39.062957089832629</v>
      </c>
      <c r="D10">
        <f>B10*$I$2+C10*$I$3</f>
        <v>28.527484039709886</v>
      </c>
      <c r="E10">
        <v>25</v>
      </c>
      <c r="F10">
        <f t="shared" si="0"/>
        <v>3.5274840397098863</v>
      </c>
    </row>
    <row r="11" spans="1:9" x14ac:dyDescent="0.3">
      <c r="A11" t="s">
        <v>19</v>
      </c>
      <c r="B11">
        <v>21.596887314910482</v>
      </c>
      <c r="C11">
        <v>36.735033832161832</v>
      </c>
      <c r="D11">
        <f>B11*$I$2+C11*$I$3</f>
        <v>25.319869923702001</v>
      </c>
      <c r="E11">
        <v>17</v>
      </c>
      <c r="F11">
        <f t="shared" si="0"/>
        <v>8.3198699237020008</v>
      </c>
    </row>
    <row r="12" spans="1:9" x14ac:dyDescent="0.3">
      <c r="A12" t="s">
        <v>20</v>
      </c>
      <c r="B12">
        <v>24.09375</v>
      </c>
      <c r="C12">
        <v>19.768024821719191</v>
      </c>
      <c r="D12">
        <f>B12*$I$2+C12*$I$3</f>
        <v>17.150885101218336</v>
      </c>
      <c r="E12">
        <v>18</v>
      </c>
      <c r="F12">
        <f t="shared" si="0"/>
        <v>0.84911489878166435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H3" sqref="H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21</v>
      </c>
      <c r="B2">
        <v>11.631230499014178</v>
      </c>
      <c r="C2">
        <v>7.911548348635578</v>
      </c>
      <c r="D2">
        <f t="shared" ref="D2:D10" si="0">B2*$H$2+C2*$H$3</f>
        <v>12.926571388013155</v>
      </c>
      <c r="E2">
        <v>29</v>
      </c>
      <c r="F2">
        <f t="shared" ref="F2:F10" si="1">ABS(D2-E2)</f>
        <v>16.073428611986845</v>
      </c>
      <c r="G2" t="s">
        <v>7</v>
      </c>
      <c r="H2">
        <v>0.73550535142747842</v>
      </c>
    </row>
    <row r="3" spans="1:8" x14ac:dyDescent="0.3">
      <c r="A3" t="s">
        <v>22</v>
      </c>
      <c r="B3">
        <v>22.86245039414688</v>
      </c>
      <c r="C3">
        <v>24.022316287344673</v>
      </c>
      <c r="D3">
        <f t="shared" si="0"/>
        <v>30.089632440507266</v>
      </c>
      <c r="E3">
        <v>13</v>
      </c>
      <c r="F3">
        <f t="shared" si="1"/>
        <v>17.089632440507266</v>
      </c>
      <c r="G3" t="s">
        <v>9</v>
      </c>
      <c r="H3">
        <v>0.55257693180320067</v>
      </c>
    </row>
    <row r="4" spans="1:8" x14ac:dyDescent="0.3">
      <c r="A4" t="s">
        <v>23</v>
      </c>
      <c r="B4">
        <v>28.138800147830651</v>
      </c>
      <c r="C4">
        <v>8.0732771038537496</v>
      </c>
      <c r="D4">
        <f t="shared" si="0"/>
        <v>25.157344783122298</v>
      </c>
      <c r="E4">
        <v>21</v>
      </c>
      <c r="F4">
        <f t="shared" si="1"/>
        <v>4.1573447831222978</v>
      </c>
    </row>
    <row r="5" spans="1:8" x14ac:dyDescent="0.3">
      <c r="A5" t="s">
        <v>24</v>
      </c>
      <c r="B5">
        <v>20.802631623509143</v>
      </c>
      <c r="C5">
        <v>14.099914722694527</v>
      </c>
      <c r="D5">
        <f t="shared" si="0"/>
        <v>23.091734499018788</v>
      </c>
      <c r="E5">
        <v>20</v>
      </c>
      <c r="F5">
        <f t="shared" si="1"/>
        <v>3.0917344990187878</v>
      </c>
      <c r="G5" t="s">
        <v>12</v>
      </c>
      <c r="H5" cm="1">
        <f t="array" ref="H5">(SUM(TableAVL[PP]-TableAVL[AP]))^2</f>
        <v>1.2621774483536189E-29</v>
      </c>
    </row>
    <row r="6" spans="1:8" x14ac:dyDescent="0.3">
      <c r="A6" t="s">
        <v>25</v>
      </c>
      <c r="B6">
        <v>15.095238066790424</v>
      </c>
      <c r="C6">
        <v>8.3441183785499611</v>
      </c>
      <c r="D6">
        <f t="shared" si="0"/>
        <v>15.713395711417975</v>
      </c>
      <c r="E6">
        <v>11</v>
      </c>
      <c r="F6">
        <f t="shared" si="1"/>
        <v>4.7133957114179754</v>
      </c>
    </row>
    <row r="7" spans="1:8" x14ac:dyDescent="0.3">
      <c r="A7" t="s">
        <v>26</v>
      </c>
      <c r="B7">
        <v>13.999999945392901</v>
      </c>
      <c r="C7">
        <v>10.792534250331311</v>
      </c>
      <c r="D7">
        <f t="shared" si="0"/>
        <v>16.260780342249916</v>
      </c>
      <c r="E7">
        <v>11</v>
      </c>
      <c r="F7">
        <f t="shared" si="1"/>
        <v>5.260780342249916</v>
      </c>
      <c r="G7" t="s">
        <v>15</v>
      </c>
      <c r="H7">
        <f>AVERAGE(TableAVL[DIFF])/5</f>
        <v>1.5250172345029442</v>
      </c>
    </row>
    <row r="8" spans="1:8" x14ac:dyDescent="0.3">
      <c r="A8" t="s">
        <v>27</v>
      </c>
      <c r="B8">
        <v>11.178407521855361</v>
      </c>
      <c r="C8">
        <v>10.955280622798904</v>
      </c>
      <c r="D8">
        <f t="shared" si="0"/>
        <v>14.275413906351073</v>
      </c>
      <c r="E8">
        <v>24</v>
      </c>
      <c r="F8">
        <f t="shared" si="1"/>
        <v>9.7245860936489272</v>
      </c>
    </row>
    <row r="9" spans="1:8" x14ac:dyDescent="0.3">
      <c r="A9" t="s">
        <v>28</v>
      </c>
      <c r="B9">
        <v>11.420903593520563</v>
      </c>
      <c r="C9">
        <v>8.6570569017679517</v>
      </c>
      <c r="D9">
        <f t="shared" si="0"/>
        <v>13.183825652396351</v>
      </c>
      <c r="E9">
        <v>21</v>
      </c>
      <c r="F9">
        <f t="shared" si="1"/>
        <v>7.8161743476036492</v>
      </c>
    </row>
    <row r="10" spans="1:8" x14ac:dyDescent="0.3">
      <c r="A10" t="s">
        <v>29</v>
      </c>
      <c r="B10">
        <v>12.612896657373748</v>
      </c>
      <c r="C10">
        <v>18.141271760496185</v>
      </c>
      <c r="D10">
        <f t="shared" si="0"/>
        <v>19.301301276923176</v>
      </c>
      <c r="E10">
        <v>20</v>
      </c>
      <c r="F10">
        <f t="shared" si="1"/>
        <v>0.69869872307682357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>
      <selection activeCell="H3" sqref="H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30</v>
      </c>
      <c r="B2">
        <v>11.902774915540521</v>
      </c>
      <c r="C2">
        <v>13.341962287554198</v>
      </c>
      <c r="D2">
        <f t="shared" ref="D2:D11" si="0">B2*$H$2+C2*$H$3</f>
        <v>11.888609615560362</v>
      </c>
      <c r="E2">
        <v>15</v>
      </c>
      <c r="F2">
        <f t="shared" ref="F2:F11" si="1">ABS(D2-E2)</f>
        <v>3.1113903844396376</v>
      </c>
      <c r="G2" t="s">
        <v>7</v>
      </c>
      <c r="H2">
        <v>0.34269753947835374</v>
      </c>
    </row>
    <row r="3" spans="1:8" x14ac:dyDescent="0.3">
      <c r="A3" t="s">
        <v>31</v>
      </c>
      <c r="B3">
        <v>16.24133664974098</v>
      </c>
      <c r="C3">
        <v>22.017180957434558</v>
      </c>
      <c r="D3">
        <f t="shared" si="0"/>
        <v>18.453359464047253</v>
      </c>
      <c r="E3">
        <v>10</v>
      </c>
      <c r="F3">
        <f t="shared" si="1"/>
        <v>8.4533594640472529</v>
      </c>
      <c r="G3" t="s">
        <v>9</v>
      </c>
      <c r="H3">
        <v>0.58533803129731199</v>
      </c>
    </row>
    <row r="4" spans="1:8" x14ac:dyDescent="0.3">
      <c r="A4" t="s">
        <v>32</v>
      </c>
      <c r="B4">
        <v>8.988749301507502</v>
      </c>
      <c r="C4">
        <v>13.723333932142692</v>
      </c>
      <c r="D4">
        <f t="shared" si="0"/>
        <v>11.113211535290395</v>
      </c>
      <c r="E4">
        <v>24</v>
      </c>
      <c r="F4">
        <f t="shared" si="1"/>
        <v>12.886788464709605</v>
      </c>
    </row>
    <row r="5" spans="1:8" x14ac:dyDescent="0.3">
      <c r="A5" t="s">
        <v>33</v>
      </c>
      <c r="B5">
        <v>12.251131220292191</v>
      </c>
      <c r="C5">
        <v>25.06289095728464</v>
      </c>
      <c r="D5">
        <f t="shared" si="0"/>
        <v>18.868695776576772</v>
      </c>
      <c r="E5">
        <v>16</v>
      </c>
      <c r="F5">
        <f t="shared" si="1"/>
        <v>2.8686957765767716</v>
      </c>
      <c r="G5" t="s">
        <v>12</v>
      </c>
      <c r="H5" cm="1">
        <f t="array" ref="H5">(SUM(TableBOU[PP]-TableBOU[AP]))^2</f>
        <v>1.2621774483536189E-29</v>
      </c>
    </row>
    <row r="6" spans="1:8" x14ac:dyDescent="0.3">
      <c r="A6" t="s">
        <v>34</v>
      </c>
      <c r="B6">
        <v>8.7001515364717541</v>
      </c>
      <c r="C6">
        <v>11.726436799060911</v>
      </c>
      <c r="D6">
        <f t="shared" si="0"/>
        <v>9.8454499547323557</v>
      </c>
      <c r="E6">
        <v>12</v>
      </c>
      <c r="F6">
        <f t="shared" si="1"/>
        <v>2.1545500452676443</v>
      </c>
    </row>
    <row r="7" spans="1:8" x14ac:dyDescent="0.3">
      <c r="A7" t="s">
        <v>35</v>
      </c>
      <c r="B7">
        <v>12.081688948513026</v>
      </c>
      <c r="C7">
        <v>20.377475232678528</v>
      </c>
      <c r="D7">
        <f t="shared" si="0"/>
        <v>16.068076310904019</v>
      </c>
      <c r="E7">
        <v>16</v>
      </c>
      <c r="F7">
        <f t="shared" si="1"/>
        <v>6.8076310904018555E-2</v>
      </c>
      <c r="G7" t="s">
        <v>15</v>
      </c>
      <c r="H7">
        <f>AVERAGE(TableBOU[DIFF])/5</f>
        <v>1.5903734128308766</v>
      </c>
    </row>
    <row r="8" spans="1:8" x14ac:dyDescent="0.3">
      <c r="A8" t="s">
        <v>36</v>
      </c>
      <c r="B8">
        <v>15.565879830860711</v>
      </c>
      <c r="C8">
        <v>20.026468929080153</v>
      </c>
      <c r="D8">
        <f t="shared" si="0"/>
        <v>17.056642614636264</v>
      </c>
      <c r="E8">
        <v>13</v>
      </c>
      <c r="F8">
        <f t="shared" si="1"/>
        <v>4.0566426146362637</v>
      </c>
    </row>
    <row r="9" spans="1:8" x14ac:dyDescent="0.3">
      <c r="A9" t="s">
        <v>37</v>
      </c>
      <c r="B9">
        <v>17.974303059921844</v>
      </c>
      <c r="C9">
        <v>32.725822155611382</v>
      </c>
      <c r="D9">
        <f t="shared" si="0"/>
        <v>25.315417745624984</v>
      </c>
      <c r="E9">
        <v>12</v>
      </c>
      <c r="F9">
        <f t="shared" si="1"/>
        <v>13.315417745624984</v>
      </c>
    </row>
    <row r="10" spans="1:8" x14ac:dyDescent="0.3">
      <c r="A10" t="s">
        <v>38</v>
      </c>
      <c r="B10">
        <v>9.7142852075339459</v>
      </c>
      <c r="C10">
        <v>30.184407685608914</v>
      </c>
      <c r="D10">
        <f t="shared" si="0"/>
        <v>20.997143408982627</v>
      </c>
      <c r="E10">
        <v>10</v>
      </c>
      <c r="F10">
        <f t="shared" si="1"/>
        <v>10.997143408982627</v>
      </c>
    </row>
    <row r="11" spans="1:8" x14ac:dyDescent="0.3">
      <c r="A11" t="s">
        <v>39</v>
      </c>
      <c r="B11">
        <v>10.976963362569599</v>
      </c>
      <c r="C11">
        <v>23.288449595759133</v>
      </c>
      <c r="D11">
        <f t="shared" si="0"/>
        <v>17.393393573644968</v>
      </c>
      <c r="E11">
        <v>39</v>
      </c>
      <c r="F11">
        <f t="shared" si="1"/>
        <v>21.606606426355032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workbookViewId="0">
      <selection activeCell="H3" sqref="H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40</v>
      </c>
      <c r="B2">
        <v>22.99999999821971</v>
      </c>
      <c r="C2">
        <v>27.65649087929275</v>
      </c>
      <c r="D2">
        <f t="shared" ref="D2:D11" si="0">B2*$H$2+C2*$H$3</f>
        <v>19.071002717241921</v>
      </c>
      <c r="E2">
        <v>15</v>
      </c>
      <c r="F2">
        <f t="shared" ref="F2:F11" si="1">ABS(D2-E2)</f>
        <v>4.071002717241921</v>
      </c>
      <c r="G2" t="s">
        <v>7</v>
      </c>
      <c r="H2">
        <v>0.37065016291109731</v>
      </c>
    </row>
    <row r="3" spans="1:8" x14ac:dyDescent="0.3">
      <c r="A3" t="s">
        <v>41</v>
      </c>
      <c r="B3">
        <v>11.732008103428718</v>
      </c>
      <c r="C3">
        <v>18.727353991499239</v>
      </c>
      <c r="D3">
        <f t="shared" si="0"/>
        <v>11.489636712788464</v>
      </c>
      <c r="E3">
        <v>20</v>
      </c>
      <c r="F3">
        <f t="shared" si="1"/>
        <v>8.5103632872115362</v>
      </c>
      <c r="G3" t="s">
        <v>9</v>
      </c>
      <c r="H3">
        <v>0.38132274325672649</v>
      </c>
    </row>
    <row r="4" spans="1:8" x14ac:dyDescent="0.3">
      <c r="A4" t="s">
        <v>42</v>
      </c>
      <c r="B4">
        <v>21.14977320738728</v>
      </c>
      <c r="C4">
        <v>34.025342799395858</v>
      </c>
      <c r="D4">
        <f t="shared" si="0"/>
        <v>20.813803941366992</v>
      </c>
      <c r="E4">
        <v>23</v>
      </c>
      <c r="F4">
        <f t="shared" si="1"/>
        <v>2.1861960586330085</v>
      </c>
    </row>
    <row r="5" spans="1:8" x14ac:dyDescent="0.3">
      <c r="A5" t="s">
        <v>43</v>
      </c>
      <c r="B5">
        <v>55.323529403029539</v>
      </c>
      <c r="C5">
        <v>35.001801298411728</v>
      </c>
      <c r="D5">
        <f t="shared" si="0"/>
        <v>33.852658076086996</v>
      </c>
      <c r="E5">
        <v>13</v>
      </c>
      <c r="F5">
        <f t="shared" si="1"/>
        <v>20.852658076086996</v>
      </c>
      <c r="G5" t="s">
        <v>12</v>
      </c>
      <c r="H5" cm="1">
        <f t="array" ref="H5">(SUM(TableBRE[PP]-TableBRE[AP]))^2</f>
        <v>2.0194839173657902E-28</v>
      </c>
    </row>
    <row r="6" spans="1:8" x14ac:dyDescent="0.3">
      <c r="A6" t="s">
        <v>44</v>
      </c>
      <c r="B6">
        <v>10.856982694040681</v>
      </c>
      <c r="C6">
        <v>16.1840551549239</v>
      </c>
      <c r="D6">
        <f t="shared" si="0"/>
        <v>10.19549071296289</v>
      </c>
      <c r="E6">
        <v>10</v>
      </c>
      <c r="F6">
        <f t="shared" si="1"/>
        <v>0.19549071296289</v>
      </c>
    </row>
    <row r="7" spans="1:8" x14ac:dyDescent="0.3">
      <c r="A7" t="s">
        <v>45</v>
      </c>
      <c r="B7">
        <v>15.747136137856307</v>
      </c>
      <c r="C7">
        <v>17.660993722610367</v>
      </c>
      <c r="D7">
        <f t="shared" si="0"/>
        <v>12.57121714982528</v>
      </c>
      <c r="E7">
        <v>14</v>
      </c>
      <c r="F7">
        <f t="shared" si="1"/>
        <v>1.42878285017472</v>
      </c>
      <c r="G7" t="s">
        <v>15</v>
      </c>
      <c r="H7">
        <f>AVERAGE(TableBRE[DIFF])/5</f>
        <v>1.1648792056224195</v>
      </c>
    </row>
    <row r="8" spans="1:8" x14ac:dyDescent="0.3">
      <c r="A8" t="s">
        <v>46</v>
      </c>
      <c r="B8">
        <v>21.382718333506862</v>
      </c>
      <c r="C8">
        <v>16.89677244001658</v>
      </c>
      <c r="D8">
        <f t="shared" si="0"/>
        <v>14.368631652808201</v>
      </c>
      <c r="E8">
        <v>13</v>
      </c>
      <c r="F8">
        <f t="shared" si="1"/>
        <v>1.368631652808201</v>
      </c>
    </row>
    <row r="9" spans="1:8" x14ac:dyDescent="0.3">
      <c r="A9" t="s">
        <v>47</v>
      </c>
      <c r="B9">
        <v>12.355384886539486</v>
      </c>
      <c r="C9">
        <v>16.506655422754648</v>
      </c>
      <c r="D9">
        <f t="shared" si="0"/>
        <v>10.873888548823494</v>
      </c>
      <c r="E9">
        <v>17</v>
      </c>
      <c r="F9">
        <f t="shared" si="1"/>
        <v>6.1261114511765058</v>
      </c>
    </row>
    <row r="10" spans="1:8" x14ac:dyDescent="0.3">
      <c r="A10" t="s">
        <v>48</v>
      </c>
      <c r="B10">
        <v>26.972168802150691</v>
      </c>
      <c r="C10">
        <v>17.405094079084002</v>
      </c>
      <c r="D10">
        <f t="shared" si="0"/>
        <v>16.634196981460491</v>
      </c>
      <c r="E10">
        <v>14</v>
      </c>
      <c r="F10">
        <f t="shared" si="1"/>
        <v>2.6341969814604909</v>
      </c>
    </row>
    <row r="11" spans="1:8" x14ac:dyDescent="0.3">
      <c r="A11" t="s">
        <v>49</v>
      </c>
      <c r="B11">
        <v>15.123920987496124</v>
      </c>
      <c r="C11">
        <v>19.730765766834612</v>
      </c>
      <c r="D11">
        <f t="shared" si="0"/>
        <v>13.129473506635286</v>
      </c>
      <c r="E11">
        <v>24</v>
      </c>
      <c r="F11">
        <f t="shared" si="1"/>
        <v>10.870526493364714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workbookViewId="0">
      <selection activeCell="H3" sqref="H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50</v>
      </c>
      <c r="B2">
        <v>11.827958823123625</v>
      </c>
      <c r="C2">
        <v>14.400994741977394</v>
      </c>
      <c r="D2">
        <f t="shared" ref="D2:D10" si="0">B2*$H$2+C2*$H$3</f>
        <v>11.564708394659785</v>
      </c>
      <c r="E2">
        <v>26</v>
      </c>
      <c r="F2">
        <f t="shared" ref="F2:F10" si="1">ABS(D2-E2)</f>
        <v>14.435291605340215</v>
      </c>
      <c r="G2" t="s">
        <v>7</v>
      </c>
      <c r="H2">
        <v>0.40778876230713174</v>
      </c>
    </row>
    <row r="3" spans="1:8" x14ac:dyDescent="0.3">
      <c r="A3" t="s">
        <v>51</v>
      </c>
      <c r="B3">
        <v>15.752984383233787</v>
      </c>
      <c r="C3">
        <v>23.419182400032668</v>
      </c>
      <c r="D3">
        <f t="shared" si="0"/>
        <v>17.386887503045717</v>
      </c>
      <c r="E3">
        <v>20</v>
      </c>
      <c r="F3">
        <f t="shared" si="1"/>
        <v>2.6131124969542832</v>
      </c>
      <c r="G3" t="s">
        <v>9</v>
      </c>
      <c r="H3">
        <v>0.46812041989766234</v>
      </c>
    </row>
    <row r="4" spans="1:8" x14ac:dyDescent="0.3">
      <c r="A4" t="s">
        <v>52</v>
      </c>
      <c r="B4">
        <v>16.44355497458983</v>
      </c>
      <c r="C4">
        <v>25.311027222224009</v>
      </c>
      <c r="D4">
        <f t="shared" si="0"/>
        <v>18.554105622325931</v>
      </c>
      <c r="E4">
        <v>24</v>
      </c>
      <c r="F4">
        <f t="shared" si="1"/>
        <v>5.4458943776740689</v>
      </c>
    </row>
    <row r="5" spans="1:8" x14ac:dyDescent="0.3">
      <c r="A5" t="s">
        <v>53</v>
      </c>
      <c r="B5">
        <v>13.53759804655866</v>
      </c>
      <c r="C5">
        <v>13.380762766706008</v>
      </c>
      <c r="D5">
        <f t="shared" si="0"/>
        <v>11.784288636919023</v>
      </c>
      <c r="E5">
        <v>11</v>
      </c>
      <c r="F5">
        <f t="shared" si="1"/>
        <v>0.78428863691902251</v>
      </c>
      <c r="G5" t="s">
        <v>12</v>
      </c>
      <c r="H5" cm="1">
        <f t="array" ref="H5">(SUM(TableBHA[PP]-TableBHA[AP]))^2</f>
        <v>0</v>
      </c>
    </row>
    <row r="6" spans="1:8" x14ac:dyDescent="0.3">
      <c r="A6" t="s">
        <v>54</v>
      </c>
      <c r="B6">
        <v>27.089620630959146</v>
      </c>
      <c r="C6">
        <v>21.399640464671947</v>
      </c>
      <c r="D6">
        <f t="shared" si="0"/>
        <v>21.06445154844981</v>
      </c>
      <c r="E6">
        <v>15</v>
      </c>
      <c r="F6">
        <f t="shared" si="1"/>
        <v>6.06445154844981</v>
      </c>
    </row>
    <row r="7" spans="1:8" x14ac:dyDescent="0.3">
      <c r="A7" t="s">
        <v>55</v>
      </c>
      <c r="B7">
        <v>19.920282503730448</v>
      </c>
      <c r="C7">
        <v>26.879623679574554</v>
      </c>
      <c r="D7">
        <f t="shared" si="0"/>
        <v>20.706168070578236</v>
      </c>
      <c r="E7">
        <v>23</v>
      </c>
      <c r="F7">
        <f t="shared" si="1"/>
        <v>2.2938319294217635</v>
      </c>
      <c r="G7" t="s">
        <v>15</v>
      </c>
      <c r="H7">
        <f>AVERAGE(TableBHA[DIFF])/5</f>
        <v>1.1016946848617928</v>
      </c>
    </row>
    <row r="8" spans="1:8" x14ac:dyDescent="0.3">
      <c r="A8" t="s">
        <v>56</v>
      </c>
      <c r="B8">
        <v>18.449316095246211</v>
      </c>
      <c r="C8">
        <v>24.363597089580086</v>
      </c>
      <c r="D8">
        <f t="shared" si="0"/>
        <v>18.92852107568519</v>
      </c>
      <c r="E8">
        <v>18</v>
      </c>
      <c r="F8">
        <f t="shared" si="1"/>
        <v>0.9285210756851896</v>
      </c>
    </row>
    <row r="9" spans="1:8" x14ac:dyDescent="0.3">
      <c r="A9" t="s">
        <v>57</v>
      </c>
      <c r="B9">
        <v>33.298886772285627</v>
      </c>
      <c r="C9">
        <v>26.375949631195382</v>
      </c>
      <c r="D9">
        <f t="shared" si="0"/>
        <v>25.926032439630454</v>
      </c>
      <c r="E9">
        <v>17</v>
      </c>
      <c r="F9">
        <f t="shared" si="1"/>
        <v>8.926032439630454</v>
      </c>
    </row>
    <row r="10" spans="1:8" x14ac:dyDescent="0.3">
      <c r="A10" t="s">
        <v>58</v>
      </c>
      <c r="B10">
        <v>17.194130836563403</v>
      </c>
      <c r="C10">
        <v>23.654732639814227</v>
      </c>
      <c r="D10">
        <f t="shared" si="0"/>
        <v>18.084836708705854</v>
      </c>
      <c r="E10">
        <v>10</v>
      </c>
      <c r="F10">
        <f t="shared" si="1"/>
        <v>8.0848367087058541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workbookViewId="0">
      <selection activeCell="H3" sqref="H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59</v>
      </c>
      <c r="B2">
        <v>12.773788152632585</v>
      </c>
      <c r="C2">
        <v>15.670161782665438</v>
      </c>
      <c r="D2">
        <f t="shared" ref="D2:D14" si="0">B2*$H$2+C2*$H$3</f>
        <v>11.245429006007051</v>
      </c>
      <c r="E2">
        <v>11</v>
      </c>
      <c r="F2">
        <f t="shared" ref="F2:F14" si="1">ABS(D2-E2)</f>
        <v>0.24542900600705053</v>
      </c>
      <c r="G2" t="s">
        <v>7</v>
      </c>
      <c r="H2">
        <v>0.43882907981164238</v>
      </c>
    </row>
    <row r="3" spans="1:8" x14ac:dyDescent="0.3">
      <c r="A3" t="s">
        <v>60</v>
      </c>
      <c r="B3">
        <v>21.027847548159802</v>
      </c>
      <c r="C3">
        <v>8.0628448897124212</v>
      </c>
      <c r="D3">
        <f t="shared" si="0"/>
        <v>12.129566220746693</v>
      </c>
      <c r="E3">
        <v>14</v>
      </c>
      <c r="F3">
        <f t="shared" si="1"/>
        <v>1.8704337792533074</v>
      </c>
      <c r="G3" t="s">
        <v>9</v>
      </c>
      <c r="H3">
        <v>0.3599145550314225</v>
      </c>
    </row>
    <row r="4" spans="1:8" x14ac:dyDescent="0.3">
      <c r="A4" t="s">
        <v>61</v>
      </c>
      <c r="B4">
        <v>20.138888888888889</v>
      </c>
      <c r="C4">
        <v>14.59711963820962</v>
      </c>
      <c r="D4">
        <f t="shared" si="0"/>
        <v>14.091245898866674</v>
      </c>
      <c r="E4">
        <v>12</v>
      </c>
      <c r="F4">
        <f t="shared" si="1"/>
        <v>2.0912458988666742</v>
      </c>
    </row>
    <row r="5" spans="1:8" x14ac:dyDescent="0.3">
      <c r="A5" t="s">
        <v>62</v>
      </c>
      <c r="B5">
        <v>17.748825922582309</v>
      </c>
      <c r="C5">
        <v>8.3033692307991362</v>
      </c>
      <c r="D5">
        <f t="shared" si="0"/>
        <v>10.777204389308494</v>
      </c>
      <c r="E5">
        <v>17</v>
      </c>
      <c r="F5">
        <f t="shared" si="1"/>
        <v>6.2227956106915059</v>
      </c>
      <c r="G5" t="s">
        <v>12</v>
      </c>
      <c r="H5" cm="1">
        <f t="array" ref="H5">(SUM(TableCHE[PP]-TableCHE[AP]))^2</f>
        <v>1.135959703518257E-28</v>
      </c>
    </row>
    <row r="6" spans="1:8" x14ac:dyDescent="0.3">
      <c r="A6" t="s">
        <v>63</v>
      </c>
      <c r="B6">
        <v>14.116856501820624</v>
      </c>
      <c r="C6">
        <v>15.120041402625466</v>
      </c>
      <c r="D6">
        <f t="shared" si="0"/>
        <v>11.636810122009575</v>
      </c>
      <c r="E6">
        <v>10</v>
      </c>
      <c r="F6">
        <f t="shared" si="1"/>
        <v>1.6368101220095745</v>
      </c>
    </row>
    <row r="7" spans="1:8" x14ac:dyDescent="0.3">
      <c r="A7" t="s">
        <v>64</v>
      </c>
      <c r="B7">
        <v>14.600000086876497</v>
      </c>
      <c r="C7">
        <v>32.286440240961539</v>
      </c>
      <c r="D7">
        <f t="shared" si="0"/>
        <v>18.027264376248198</v>
      </c>
      <c r="E7">
        <v>20</v>
      </c>
      <c r="F7">
        <f t="shared" si="1"/>
        <v>1.9727356237518023</v>
      </c>
      <c r="G7" t="s">
        <v>15</v>
      </c>
      <c r="H7">
        <f>AVERAGE(TableCHE[DIFF])/5</f>
        <v>0.79380660355112131</v>
      </c>
    </row>
    <row r="8" spans="1:8" x14ac:dyDescent="0.3">
      <c r="A8" t="s">
        <v>65</v>
      </c>
      <c r="B8">
        <v>21.898148146960175</v>
      </c>
      <c r="C8">
        <v>22.600036798591091</v>
      </c>
      <c r="D8">
        <f t="shared" si="0"/>
        <v>17.743626388968242</v>
      </c>
      <c r="E8">
        <v>18</v>
      </c>
      <c r="F8">
        <f t="shared" si="1"/>
        <v>0.25637361103175849</v>
      </c>
    </row>
    <row r="9" spans="1:8" x14ac:dyDescent="0.3">
      <c r="A9" t="s">
        <v>66</v>
      </c>
      <c r="B9">
        <v>35.308844343453359</v>
      </c>
      <c r="C9">
        <v>10.114501261943406</v>
      </c>
      <c r="D9">
        <f t="shared" si="0"/>
        <v>19.134903893507275</v>
      </c>
      <c r="E9">
        <v>26</v>
      </c>
      <c r="F9">
        <f t="shared" si="1"/>
        <v>6.8650961064927252</v>
      </c>
    </row>
    <row r="10" spans="1:8" x14ac:dyDescent="0.3">
      <c r="A10" t="s">
        <v>67</v>
      </c>
      <c r="B10">
        <v>19.812499975271564</v>
      </c>
      <c r="C10">
        <v>24.099997929370538</v>
      </c>
      <c r="D10">
        <f t="shared" si="0"/>
        <v>17.368241163924207</v>
      </c>
      <c r="E10">
        <v>12</v>
      </c>
      <c r="F10">
        <f t="shared" si="1"/>
        <v>5.3682411639242069</v>
      </c>
    </row>
    <row r="11" spans="1:8" x14ac:dyDescent="0.3">
      <c r="A11" t="s">
        <v>68</v>
      </c>
      <c r="B11">
        <v>27.241935483594911</v>
      </c>
      <c r="C11">
        <v>13.347957049687523</v>
      </c>
      <c r="D11">
        <f t="shared" si="0"/>
        <v>16.758677502670906</v>
      </c>
      <c r="E11">
        <v>10</v>
      </c>
      <c r="F11">
        <f t="shared" si="1"/>
        <v>6.7586775026709063</v>
      </c>
    </row>
    <row r="12" spans="1:8" x14ac:dyDescent="0.3">
      <c r="A12" t="s">
        <v>69</v>
      </c>
      <c r="B12">
        <v>13.240070016836889</v>
      </c>
      <c r="C12">
        <v>5.1085851426395648</v>
      </c>
      <c r="D12">
        <f t="shared" si="0"/>
        <v>7.6487818905835034</v>
      </c>
      <c r="E12">
        <v>10</v>
      </c>
      <c r="F12">
        <f t="shared" si="1"/>
        <v>2.3512181094164966</v>
      </c>
    </row>
    <row r="13" spans="1:8" x14ac:dyDescent="0.3">
      <c r="A13" t="s">
        <v>70</v>
      </c>
      <c r="B13">
        <v>34.227825423950712</v>
      </c>
      <c r="C13">
        <v>18.554808895139448</v>
      </c>
      <c r="D13">
        <f t="shared" si="0"/>
        <v>21.698310921933022</v>
      </c>
      <c r="E13">
        <v>12</v>
      </c>
      <c r="F13">
        <f t="shared" si="1"/>
        <v>9.6983109219330217</v>
      </c>
    </row>
    <row r="14" spans="1:8" x14ac:dyDescent="0.3">
      <c r="A14" t="s">
        <v>71</v>
      </c>
      <c r="B14">
        <v>10.8</v>
      </c>
      <c r="C14">
        <v>27.785995379895951</v>
      </c>
      <c r="D14">
        <f t="shared" si="0"/>
        <v>14.739938225226151</v>
      </c>
      <c r="E14">
        <v>21</v>
      </c>
      <c r="F14">
        <f t="shared" si="1"/>
        <v>6.260061774773849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workbookViewId="0">
      <selection activeCell="H3" sqref="H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72</v>
      </c>
      <c r="B2">
        <v>17.553265060414994</v>
      </c>
      <c r="C2">
        <v>28.304705492619217</v>
      </c>
      <c r="D2">
        <f t="shared" ref="D2:D8" si="0">B2*$H$2+C2*$H$3</f>
        <v>13.17171301549039</v>
      </c>
      <c r="E2">
        <v>18</v>
      </c>
      <c r="F2">
        <f t="shared" ref="F2:F8" si="1">ABS(D2-E2)</f>
        <v>4.8282869845096101</v>
      </c>
      <c r="G2" t="s">
        <v>7</v>
      </c>
      <c r="H2">
        <v>0.23108814774254877</v>
      </c>
    </row>
    <row r="3" spans="1:8" x14ac:dyDescent="0.3">
      <c r="A3" t="s">
        <v>73</v>
      </c>
      <c r="B3">
        <v>44.360185240136389</v>
      </c>
      <c r="C3">
        <v>35.655973186789026</v>
      </c>
      <c r="D3">
        <f t="shared" si="0"/>
        <v>21.733906441391142</v>
      </c>
      <c r="E3">
        <v>17</v>
      </c>
      <c r="F3">
        <f t="shared" si="1"/>
        <v>4.7339064413911416</v>
      </c>
      <c r="G3" t="s">
        <v>9</v>
      </c>
      <c r="H3">
        <v>0.32204403286308803</v>
      </c>
    </row>
    <row r="4" spans="1:8" x14ac:dyDescent="0.3">
      <c r="A4" t="s">
        <v>74</v>
      </c>
      <c r="B4">
        <v>16.029411743783967</v>
      </c>
      <c r="C4">
        <v>25.904281757211912</v>
      </c>
      <c r="D4">
        <f t="shared" si="0"/>
        <v>12.046526434787941</v>
      </c>
      <c r="E4">
        <v>12</v>
      </c>
      <c r="F4">
        <f t="shared" si="1"/>
        <v>4.6526434787940829E-2</v>
      </c>
    </row>
    <row r="5" spans="1:8" x14ac:dyDescent="0.3">
      <c r="A5" t="s">
        <v>75</v>
      </c>
      <c r="B5">
        <v>16.068341225660671</v>
      </c>
      <c r="C5">
        <v>27.641200721909911</v>
      </c>
      <c r="D5">
        <f t="shared" si="0"/>
        <v>12.614886964795129</v>
      </c>
      <c r="E5">
        <v>16</v>
      </c>
      <c r="F5">
        <f t="shared" si="1"/>
        <v>3.3851130352048706</v>
      </c>
      <c r="G5" t="s">
        <v>12</v>
      </c>
      <c r="H5" cm="1">
        <f t="array" ref="H5">(SUM(TableCRY[PP]-TableCRY[AP]))^2</f>
        <v>2.8398992587956425E-29</v>
      </c>
    </row>
    <row r="6" spans="1:8" x14ac:dyDescent="0.3">
      <c r="A6" t="s">
        <v>76</v>
      </c>
      <c r="B6">
        <v>15.5540306762899</v>
      </c>
      <c r="C6">
        <v>22.659994330886022</v>
      </c>
      <c r="D6">
        <f t="shared" si="0"/>
        <v>10.891868097887862</v>
      </c>
      <c r="E6">
        <v>10</v>
      </c>
      <c r="F6">
        <f t="shared" si="1"/>
        <v>0.89186809788786192</v>
      </c>
    </row>
    <row r="7" spans="1:8" x14ac:dyDescent="0.3">
      <c r="A7" t="s">
        <v>77</v>
      </c>
      <c r="B7">
        <v>17.264150884591658</v>
      </c>
      <c r="C7">
        <v>40.723592381931994</v>
      </c>
      <c r="D7">
        <f t="shared" si="0"/>
        <v>17.104330573618078</v>
      </c>
      <c r="E7">
        <v>14</v>
      </c>
      <c r="F7">
        <f t="shared" si="1"/>
        <v>3.1043305736180784</v>
      </c>
      <c r="G7" t="s">
        <v>15</v>
      </c>
      <c r="H7">
        <f>AVERAGE(TableCRY[DIFF])/5</f>
        <v>0.50152180272485836</v>
      </c>
    </row>
    <row r="8" spans="1:8" x14ac:dyDescent="0.3">
      <c r="A8" t="s">
        <v>78</v>
      </c>
      <c r="B8">
        <v>17.311942446966047</v>
      </c>
      <c r="C8">
        <v>19.985415351169433</v>
      </c>
      <c r="D8">
        <f t="shared" si="0"/>
        <v>10.436768472029463</v>
      </c>
      <c r="E8">
        <v>11</v>
      </c>
      <c r="F8">
        <f t="shared" si="1"/>
        <v>0.56323152797053666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workbookViewId="0">
      <selection activeCell="H3" sqref="H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79</v>
      </c>
      <c r="B2">
        <v>17.793103446715296</v>
      </c>
      <c r="C2">
        <v>24.249251996155813</v>
      </c>
      <c r="D2">
        <f t="shared" ref="D2:D11" si="0">B2*$H$2+C2*$H$3</f>
        <v>21.23022263444242</v>
      </c>
      <c r="E2">
        <v>23</v>
      </c>
      <c r="F2">
        <f t="shared" ref="F2:F11" si="1">ABS(D2-E2)</f>
        <v>1.7697773655575801</v>
      </c>
      <c r="G2" t="s">
        <v>7</v>
      </c>
      <c r="H2">
        <v>0.42521045022647019</v>
      </c>
    </row>
    <row r="3" spans="1:8" x14ac:dyDescent="0.3">
      <c r="A3" t="s">
        <v>80</v>
      </c>
      <c r="B3">
        <v>12.701087353615133</v>
      </c>
      <c r="C3">
        <v>26.326816023987824</v>
      </c>
      <c r="D3">
        <f t="shared" si="0"/>
        <v>20.235747705239756</v>
      </c>
      <c r="E3">
        <v>21</v>
      </c>
      <c r="F3">
        <f t="shared" si="1"/>
        <v>0.7642522947602437</v>
      </c>
      <c r="G3" t="s">
        <v>9</v>
      </c>
      <c r="H3">
        <v>0.56349816930867158</v>
      </c>
    </row>
    <row r="4" spans="1:8" x14ac:dyDescent="0.3">
      <c r="A4" t="s">
        <v>81</v>
      </c>
      <c r="B4">
        <v>16.069718439077889</v>
      </c>
      <c r="C4">
        <v>10.86006442612301</v>
      </c>
      <c r="D4">
        <f t="shared" si="0"/>
        <v>12.952638635187464</v>
      </c>
      <c r="E4">
        <v>20</v>
      </c>
      <c r="F4">
        <f t="shared" si="1"/>
        <v>7.0473613648125362</v>
      </c>
    </row>
    <row r="5" spans="1:8" x14ac:dyDescent="0.3">
      <c r="A5" t="s">
        <v>82</v>
      </c>
      <c r="B5">
        <v>13.28125</v>
      </c>
      <c r="C5">
        <v>20.892215406118442</v>
      </c>
      <c r="D5">
        <f t="shared" si="0"/>
        <v>17.420051426220475</v>
      </c>
      <c r="E5">
        <v>10</v>
      </c>
      <c r="F5">
        <f t="shared" si="1"/>
        <v>7.4200514262204749</v>
      </c>
      <c r="G5" t="s">
        <v>12</v>
      </c>
      <c r="H5" cm="1">
        <f t="array" ref="H5">(SUM(TableEVE[PP]-TableEVE[AP]))^2</f>
        <v>3.1554436208840472E-28</v>
      </c>
    </row>
    <row r="6" spans="1:8" x14ac:dyDescent="0.3">
      <c r="A6" t="s">
        <v>83</v>
      </c>
      <c r="B6">
        <v>12.266666575559022</v>
      </c>
      <c r="C6">
        <v>19.723759537855688</v>
      </c>
      <c r="D6">
        <f t="shared" si="0"/>
        <v>16.330217208837574</v>
      </c>
      <c r="E6">
        <v>16</v>
      </c>
      <c r="F6">
        <f t="shared" si="1"/>
        <v>0.33021720883757411</v>
      </c>
    </row>
    <row r="7" spans="1:8" x14ac:dyDescent="0.3">
      <c r="A7" t="s">
        <v>84</v>
      </c>
      <c r="B7">
        <v>9.8026315219429261</v>
      </c>
      <c r="C7">
        <v>12.302713871485773</v>
      </c>
      <c r="D7">
        <f t="shared" si="0"/>
        <v>11.100738106960172</v>
      </c>
      <c r="E7">
        <v>10</v>
      </c>
      <c r="F7">
        <f t="shared" si="1"/>
        <v>1.100738106960172</v>
      </c>
      <c r="G7" t="s">
        <v>15</v>
      </c>
      <c r="H7">
        <f>AVERAGE(TableEVE[DIFF])/5</f>
        <v>0.44806780011038655</v>
      </c>
    </row>
    <row r="8" spans="1:8" x14ac:dyDescent="0.3">
      <c r="A8" t="s">
        <v>85</v>
      </c>
      <c r="B8">
        <v>14.026813568985514</v>
      </c>
      <c r="C8">
        <v>21.502935374625327</v>
      </c>
      <c r="D8">
        <f t="shared" si="0"/>
        <v>18.081212431275137</v>
      </c>
      <c r="E8">
        <v>19</v>
      </c>
      <c r="F8">
        <f t="shared" si="1"/>
        <v>0.91878756872486278</v>
      </c>
    </row>
    <row r="9" spans="1:8" x14ac:dyDescent="0.3">
      <c r="A9" t="s">
        <v>86</v>
      </c>
      <c r="B9">
        <v>15.138851084816462</v>
      </c>
      <c r="C9">
        <v>19.36739313358262</v>
      </c>
      <c r="D9">
        <f t="shared" si="0"/>
        <v>17.350688260741435</v>
      </c>
      <c r="E9">
        <v>15</v>
      </c>
      <c r="F9">
        <f t="shared" si="1"/>
        <v>2.3506882607414354</v>
      </c>
    </row>
    <row r="10" spans="1:8" x14ac:dyDescent="0.3">
      <c r="A10" t="s">
        <v>87</v>
      </c>
      <c r="B10">
        <v>15</v>
      </c>
      <c r="C10">
        <v>16.772192351019402</v>
      </c>
      <c r="D10">
        <f t="shared" si="0"/>
        <v>15.829256438489391</v>
      </c>
      <c r="E10">
        <v>16</v>
      </c>
      <c r="F10">
        <f t="shared" si="1"/>
        <v>0.17074356151060854</v>
      </c>
    </row>
    <row r="11" spans="1:8" x14ac:dyDescent="0.3">
      <c r="A11" t="s">
        <v>88</v>
      </c>
      <c r="B11">
        <v>14.70838554705097</v>
      </c>
      <c r="C11">
        <v>14.578694944331003</v>
      </c>
      <c r="D11">
        <f t="shared" si="0"/>
        <v>14.469227152606157</v>
      </c>
      <c r="E11">
        <v>15</v>
      </c>
      <c r="F11">
        <f t="shared" si="1"/>
        <v>0.53077284739384289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"/>
  <sheetViews>
    <sheetView workbookViewId="0">
      <selection activeCell="H3" sqref="H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89</v>
      </c>
      <c r="B2">
        <v>9.3181819181286301</v>
      </c>
      <c r="C2">
        <v>10.984410595459057</v>
      </c>
      <c r="D2">
        <f t="shared" ref="D2:D11" si="0">B2*$H$2+C2*$H$3</f>
        <v>11.985797876217681</v>
      </c>
      <c r="E2">
        <v>23</v>
      </c>
      <c r="F2">
        <f t="shared" ref="F2:F11" si="1">ABS(D2-E2)</f>
        <v>11.014202123782319</v>
      </c>
      <c r="G2" t="s">
        <v>7</v>
      </c>
      <c r="H2">
        <v>0.49421720953340031</v>
      </c>
    </row>
    <row r="3" spans="1:8" x14ac:dyDescent="0.3">
      <c r="A3" t="s">
        <v>90</v>
      </c>
      <c r="B3">
        <v>7.7977834445340219</v>
      </c>
      <c r="C3">
        <v>22.341907247993625</v>
      </c>
      <c r="D3">
        <f t="shared" si="0"/>
        <v>18.865664973938564</v>
      </c>
      <c r="E3">
        <v>17</v>
      </c>
      <c r="F3">
        <f t="shared" si="1"/>
        <v>1.8656649739385642</v>
      </c>
      <c r="G3" t="s">
        <v>9</v>
      </c>
      <c r="H3">
        <v>0.67191516072484492</v>
      </c>
    </row>
    <row r="4" spans="1:8" x14ac:dyDescent="0.3">
      <c r="A4" t="s">
        <v>91</v>
      </c>
      <c r="B4">
        <v>17.636363284163121</v>
      </c>
      <c r="C4">
        <v>26.577411217221059</v>
      </c>
      <c r="D4">
        <f t="shared" si="0"/>
        <v>26.573959778285797</v>
      </c>
      <c r="E4">
        <v>23</v>
      </c>
      <c r="F4">
        <f t="shared" si="1"/>
        <v>3.573959778285797</v>
      </c>
    </row>
    <row r="5" spans="1:8" x14ac:dyDescent="0.3">
      <c r="A5" t="s">
        <v>92</v>
      </c>
      <c r="B5">
        <v>15.56263792445114</v>
      </c>
      <c r="C5">
        <v>14.06771073903905</v>
      </c>
      <c r="D5">
        <f t="shared" si="0"/>
        <v>17.14363161025296</v>
      </c>
      <c r="E5">
        <v>10</v>
      </c>
      <c r="F5">
        <f t="shared" si="1"/>
        <v>7.1436316102529602</v>
      </c>
      <c r="G5" t="s">
        <v>12</v>
      </c>
      <c r="H5" cm="1">
        <f t="array" ref="H5">(SUM(TableFUL[PP]-TableFUL[AP]))^2</f>
        <v>1.135959703518257E-28</v>
      </c>
    </row>
    <row r="6" spans="1:8" x14ac:dyDescent="0.3">
      <c r="A6" t="s">
        <v>93</v>
      </c>
      <c r="B6">
        <v>15.015184541831909</v>
      </c>
      <c r="C6">
        <v>29.661825482556576</v>
      </c>
      <c r="D6">
        <f t="shared" si="0"/>
        <v>27.350992841397517</v>
      </c>
      <c r="E6">
        <v>35</v>
      </c>
      <c r="F6">
        <f t="shared" si="1"/>
        <v>7.6490071586024833</v>
      </c>
    </row>
    <row r="7" spans="1:8" x14ac:dyDescent="0.3">
      <c r="A7" t="s">
        <v>94</v>
      </c>
      <c r="B7">
        <v>9.7828735107511218</v>
      </c>
      <c r="C7">
        <v>18.209707986451964</v>
      </c>
      <c r="D7">
        <f t="shared" si="0"/>
        <v>17.070243316171002</v>
      </c>
      <c r="E7">
        <v>23</v>
      </c>
      <c r="F7">
        <f t="shared" si="1"/>
        <v>5.9297566838289981</v>
      </c>
      <c r="G7" t="s">
        <v>15</v>
      </c>
      <c r="H7">
        <f>AVERAGE(TableFUL[DIFF])/5</f>
        <v>1.0233531049282185</v>
      </c>
    </row>
    <row r="8" spans="1:8" x14ac:dyDescent="0.3">
      <c r="A8" t="s">
        <v>95</v>
      </c>
      <c r="B8">
        <v>17.999999980415968</v>
      </c>
      <c r="C8">
        <v>11.502448597003127</v>
      </c>
      <c r="D8">
        <f t="shared" si="0"/>
        <v>16.624579359707063</v>
      </c>
      <c r="E8">
        <v>13</v>
      </c>
      <c r="F8">
        <f t="shared" si="1"/>
        <v>3.624579359707063</v>
      </c>
    </row>
    <row r="9" spans="1:8" x14ac:dyDescent="0.3">
      <c r="A9" t="s">
        <v>96</v>
      </c>
      <c r="B9">
        <v>11.137037716886859</v>
      </c>
      <c r="C9">
        <v>12.265194259626107</v>
      </c>
      <c r="D9">
        <f t="shared" si="0"/>
        <v>13.745285675186175</v>
      </c>
      <c r="E9">
        <v>13</v>
      </c>
      <c r="F9">
        <f t="shared" si="1"/>
        <v>0.7452856751861745</v>
      </c>
    </row>
    <row r="10" spans="1:8" x14ac:dyDescent="0.3">
      <c r="A10" t="s">
        <v>97</v>
      </c>
      <c r="B10">
        <v>14.909094037614349</v>
      </c>
      <c r="C10">
        <v>19.738169562340246</v>
      </c>
      <c r="D10">
        <f t="shared" si="0"/>
        <v>20.630706225834906</v>
      </c>
      <c r="E10">
        <v>12</v>
      </c>
      <c r="F10">
        <f t="shared" si="1"/>
        <v>8.6307062258349063</v>
      </c>
    </row>
    <row r="11" spans="1:8" x14ac:dyDescent="0.3">
      <c r="A11" t="s">
        <v>98</v>
      </c>
      <c r="B11">
        <v>17.941724627685783</v>
      </c>
      <c r="C11">
        <v>21.047343608143517</v>
      </c>
      <c r="D11">
        <f t="shared" si="0"/>
        <v>23.009138343008345</v>
      </c>
      <c r="E11">
        <v>24</v>
      </c>
      <c r="F11">
        <f t="shared" si="1"/>
        <v>0.99086165699165463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"/>
  <sheetViews>
    <sheetView workbookViewId="0">
      <selection activeCell="H3" sqref="H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99</v>
      </c>
      <c r="B2">
        <v>15.926402078345994</v>
      </c>
      <c r="C2">
        <v>11.510062512574244</v>
      </c>
      <c r="D2">
        <f t="shared" ref="D2:D8" si="0">B2*$H$2+C2*$H$3</f>
        <v>15.307953597263637</v>
      </c>
      <c r="E2">
        <v>35</v>
      </c>
      <c r="F2">
        <f t="shared" ref="F2:F8" si="1">ABS(D2-E2)</f>
        <v>19.692046402736363</v>
      </c>
      <c r="G2" t="s">
        <v>7</v>
      </c>
      <c r="H2">
        <v>0.5970583934769661</v>
      </c>
    </row>
    <row r="3" spans="1:8" x14ac:dyDescent="0.3">
      <c r="A3" t="s">
        <v>100</v>
      </c>
      <c r="B3">
        <v>24.412492010875077</v>
      </c>
      <c r="C3">
        <v>13.797173872358652</v>
      </c>
      <c r="D3">
        <f t="shared" si="0"/>
        <v>21.526929686622026</v>
      </c>
      <c r="E3">
        <v>11</v>
      </c>
      <c r="F3">
        <f t="shared" si="1"/>
        <v>10.526929686622026</v>
      </c>
      <c r="G3" t="s">
        <v>9</v>
      </c>
      <c r="H3">
        <v>0.50381668667420776</v>
      </c>
    </row>
    <row r="4" spans="1:8" x14ac:dyDescent="0.3">
      <c r="A4" t="s">
        <v>101</v>
      </c>
      <c r="B4">
        <v>10.824829754759444</v>
      </c>
      <c r="C4">
        <v>10.737343098144608</v>
      </c>
      <c r="D4">
        <f t="shared" si="0"/>
        <v>11.872708086429725</v>
      </c>
      <c r="E4">
        <v>14</v>
      </c>
      <c r="F4">
        <f t="shared" si="1"/>
        <v>2.127291913570275</v>
      </c>
    </row>
    <row r="5" spans="1:8" x14ac:dyDescent="0.3">
      <c r="A5" t="s">
        <v>102</v>
      </c>
      <c r="B5">
        <v>11.375</v>
      </c>
      <c r="C5">
        <v>14.300287358311738</v>
      </c>
      <c r="D5">
        <f t="shared" si="0"/>
        <v>13.99626262115417</v>
      </c>
      <c r="E5">
        <v>17</v>
      </c>
      <c r="F5">
        <f t="shared" si="1"/>
        <v>3.0037373788458304</v>
      </c>
      <c r="G5" t="s">
        <v>12</v>
      </c>
      <c r="H5" cm="1">
        <f t="array" ref="H5">(SUM(TableLEE[PP]-TableLEE[AP]))^2</f>
        <v>3.1554436208840472E-30</v>
      </c>
    </row>
    <row r="6" spans="1:8" x14ac:dyDescent="0.3">
      <c r="A6" t="s">
        <v>103</v>
      </c>
      <c r="B6">
        <v>18.076923068521822</v>
      </c>
      <c r="C6">
        <v>13.400331626918073</v>
      </c>
      <c r="D6">
        <f t="shared" si="0"/>
        <v>17.544289326907808</v>
      </c>
      <c r="E6">
        <v>13</v>
      </c>
      <c r="F6">
        <f t="shared" si="1"/>
        <v>4.5442893269078084</v>
      </c>
    </row>
    <row r="7" spans="1:8" x14ac:dyDescent="0.3">
      <c r="A7" t="s">
        <v>104</v>
      </c>
      <c r="B7">
        <v>13.090909105402655</v>
      </c>
      <c r="C7">
        <v>13.70854540801531</v>
      </c>
      <c r="D7">
        <f t="shared" si="0"/>
        <v>14.722631086213896</v>
      </c>
      <c r="E7">
        <v>11</v>
      </c>
      <c r="F7">
        <f t="shared" si="1"/>
        <v>3.7226310862138963</v>
      </c>
      <c r="G7" t="s">
        <v>15</v>
      </c>
      <c r="H7">
        <f>AVERAGE(TableLEE[DIFF])/5</f>
        <v>1.4184614682944268</v>
      </c>
    </row>
    <row r="8" spans="1:8" x14ac:dyDescent="0.3">
      <c r="A8" t="s">
        <v>105</v>
      </c>
      <c r="B8">
        <v>17.818181515052171</v>
      </c>
      <c r="C8">
        <v>16.654332790641707</v>
      </c>
      <c r="D8">
        <f t="shared" si="0"/>
        <v>19.029225595408739</v>
      </c>
      <c r="E8">
        <v>13</v>
      </c>
      <c r="F8">
        <f t="shared" si="1"/>
        <v>6.0292255954087395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"/>
  <sheetViews>
    <sheetView workbookViewId="0">
      <selection activeCell="H3" sqref="H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106</v>
      </c>
      <c r="B2">
        <v>12.925193753199503</v>
      </c>
      <c r="C2">
        <v>16.459402471611995</v>
      </c>
      <c r="D2">
        <f t="shared" ref="D2:D10" si="0">B2*$H$2+C2*$H$3</f>
        <v>14.545800296647903</v>
      </c>
      <c r="E2">
        <v>29</v>
      </c>
      <c r="F2">
        <f t="shared" ref="F2:F10" si="1">ABS(D2-E2)</f>
        <v>14.454199703352097</v>
      </c>
      <c r="G2" t="s">
        <v>7</v>
      </c>
      <c r="H2">
        <v>0.55219424270505224</v>
      </c>
    </row>
    <row r="3" spans="1:8" x14ac:dyDescent="0.3">
      <c r="A3" t="s">
        <v>107</v>
      </c>
      <c r="B3">
        <v>67.091674780448329</v>
      </c>
      <c r="C3">
        <v>13.249381351444155</v>
      </c>
      <c r="D3">
        <f t="shared" si="0"/>
        <v>43.011348650607914</v>
      </c>
      <c r="E3">
        <v>15</v>
      </c>
      <c r="F3">
        <f t="shared" si="1"/>
        <v>28.011348650607914</v>
      </c>
      <c r="G3" t="s">
        <v>9</v>
      </c>
      <c r="H3">
        <v>0.45011249546036841</v>
      </c>
    </row>
    <row r="4" spans="1:8" x14ac:dyDescent="0.3">
      <c r="A4" t="s">
        <v>108</v>
      </c>
      <c r="B4">
        <v>10.335677980235403</v>
      </c>
      <c r="C4">
        <v>13.747016101816627</v>
      </c>
      <c r="D4">
        <f t="shared" si="0"/>
        <v>11.895005597861919</v>
      </c>
      <c r="E4">
        <v>22</v>
      </c>
      <c r="F4">
        <f t="shared" si="1"/>
        <v>10.104994402138081</v>
      </c>
    </row>
    <row r="5" spans="1:8" x14ac:dyDescent="0.3">
      <c r="A5" t="s">
        <v>109</v>
      </c>
      <c r="B5">
        <v>17.795859622621798</v>
      </c>
      <c r="C5">
        <v>22.274220513508308</v>
      </c>
      <c r="D5">
        <f t="shared" si="0"/>
        <v>19.852676207368813</v>
      </c>
      <c r="E5">
        <v>27</v>
      </c>
      <c r="F5">
        <f t="shared" si="1"/>
        <v>7.1473237926311874</v>
      </c>
      <c r="G5" t="s">
        <v>12</v>
      </c>
      <c r="H5" cm="1">
        <f t="array" ref="H5">(SUM(TableLEI[PP]-TableLEI[AP]))^2</f>
        <v>3.1554436208840472E-28</v>
      </c>
    </row>
    <row r="6" spans="1:8" x14ac:dyDescent="0.3">
      <c r="A6" t="s">
        <v>110</v>
      </c>
      <c r="B6">
        <v>34.541396932640509</v>
      </c>
      <c r="C6">
        <v>14.755332862523378</v>
      </c>
      <c r="D6">
        <f t="shared" si="0"/>
        <v>25.715120217292817</v>
      </c>
      <c r="E6">
        <v>22</v>
      </c>
      <c r="F6">
        <f t="shared" si="1"/>
        <v>3.7151202172928173</v>
      </c>
    </row>
    <row r="7" spans="1:8" x14ac:dyDescent="0.3">
      <c r="A7" t="s">
        <v>111</v>
      </c>
      <c r="B7">
        <v>23.57686067146053</v>
      </c>
      <c r="C7">
        <v>44.392869534766994</v>
      </c>
      <c r="D7">
        <f t="shared" si="0"/>
        <v>33.000792010780216</v>
      </c>
      <c r="E7">
        <v>29</v>
      </c>
      <c r="F7">
        <f t="shared" si="1"/>
        <v>4.0007920107802164</v>
      </c>
      <c r="G7" t="s">
        <v>15</v>
      </c>
      <c r="H7">
        <f>AVERAGE(TableLEI[DIFF])/5</f>
        <v>1.7887356762441342</v>
      </c>
    </row>
    <row r="8" spans="1:8" x14ac:dyDescent="0.3">
      <c r="A8" t="s">
        <v>112</v>
      </c>
      <c r="B8">
        <v>12.767633875042176</v>
      </c>
      <c r="C8">
        <v>17.276776748793701</v>
      </c>
      <c r="D8">
        <f t="shared" si="0"/>
        <v>14.826707014675488</v>
      </c>
      <c r="E8">
        <v>15</v>
      </c>
      <c r="F8">
        <f t="shared" si="1"/>
        <v>0.17329298532451176</v>
      </c>
    </row>
    <row r="9" spans="1:8" x14ac:dyDescent="0.3">
      <c r="A9" t="s">
        <v>113</v>
      </c>
      <c r="B9">
        <v>20.165619601231771</v>
      </c>
      <c r="C9">
        <v>18.879545023252383</v>
      </c>
      <c r="D9">
        <f t="shared" si="0"/>
        <v>19.633258167952846</v>
      </c>
      <c r="E9">
        <v>28</v>
      </c>
      <c r="F9">
        <f t="shared" si="1"/>
        <v>8.366741832047154</v>
      </c>
    </row>
    <row r="10" spans="1:8" x14ac:dyDescent="0.3">
      <c r="A10" t="s">
        <v>114</v>
      </c>
      <c r="B10">
        <v>16.22907063108692</v>
      </c>
      <c r="C10">
        <v>14.569007828065534</v>
      </c>
      <c r="D10">
        <f t="shared" si="0"/>
        <v>15.519291836812066</v>
      </c>
      <c r="E10">
        <v>11</v>
      </c>
      <c r="F10">
        <f t="shared" si="1"/>
        <v>4.5192918368120658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"/>
  <sheetViews>
    <sheetView workbookViewId="0">
      <selection activeCell="H3" sqref="H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115</v>
      </c>
      <c r="B2">
        <v>54.707187745221141</v>
      </c>
      <c r="C2">
        <v>34.98580047302513</v>
      </c>
      <c r="D2">
        <f t="shared" ref="D2:D10" si="0">B2*$H$2+C2*$H$3</f>
        <v>27.980439289582527</v>
      </c>
      <c r="E2">
        <v>14</v>
      </c>
      <c r="F2">
        <f t="shared" ref="F2:F10" si="1">ABS(D2-E2)</f>
        <v>13.980439289582527</v>
      </c>
      <c r="G2" t="s">
        <v>7</v>
      </c>
      <c r="H2">
        <v>0.30113562481032957</v>
      </c>
    </row>
    <row r="3" spans="1:8" x14ac:dyDescent="0.3">
      <c r="A3" t="s">
        <v>116</v>
      </c>
      <c r="B3">
        <v>25.289256133093016</v>
      </c>
      <c r="C3">
        <v>41.024350564892991</v>
      </c>
      <c r="D3">
        <f t="shared" si="0"/>
        <v>21.107614926270443</v>
      </c>
      <c r="E3">
        <v>16</v>
      </c>
      <c r="F3">
        <f t="shared" si="1"/>
        <v>5.1076149262704433</v>
      </c>
      <c r="G3" t="s">
        <v>9</v>
      </c>
      <c r="H3">
        <v>0.32888074506629816</v>
      </c>
    </row>
    <row r="4" spans="1:8" x14ac:dyDescent="0.3">
      <c r="A4" t="s">
        <v>117</v>
      </c>
      <c r="B4">
        <v>23.858418833339726</v>
      </c>
      <c r="C4">
        <v>78.349497501317529</v>
      </c>
      <c r="D4">
        <f t="shared" si="0"/>
        <v>32.952260976167665</v>
      </c>
      <c r="E4">
        <v>15</v>
      </c>
      <c r="F4">
        <f t="shared" si="1"/>
        <v>17.952260976167665</v>
      </c>
    </row>
    <row r="5" spans="1:8" x14ac:dyDescent="0.3">
      <c r="A5" t="s">
        <v>118</v>
      </c>
      <c r="B5">
        <v>13.235294033207145</v>
      </c>
      <c r="C5">
        <v>17.312271949236422</v>
      </c>
      <c r="D5">
        <f t="shared" si="0"/>
        <v>9.6792914356935089</v>
      </c>
      <c r="E5">
        <v>10</v>
      </c>
      <c r="F5">
        <f t="shared" si="1"/>
        <v>0.32070856430649108</v>
      </c>
      <c r="G5" t="s">
        <v>12</v>
      </c>
      <c r="H5" cm="1">
        <f t="array" ref="H5">(SUM(TableLIV[PP]-TableLIV[AP]))^2</f>
        <v>3.1554436208840472E-30</v>
      </c>
    </row>
    <row r="6" spans="1:8" x14ac:dyDescent="0.3">
      <c r="A6" t="s">
        <v>119</v>
      </c>
      <c r="B6">
        <v>86.228896439309153</v>
      </c>
      <c r="C6">
        <v>36.261975715089513</v>
      </c>
      <c r="D6">
        <f t="shared" si="0"/>
        <v>37.89245819671121</v>
      </c>
      <c r="E6">
        <v>38</v>
      </c>
      <c r="F6">
        <f t="shared" si="1"/>
        <v>0.10754180328878959</v>
      </c>
    </row>
    <row r="7" spans="1:8" x14ac:dyDescent="0.3">
      <c r="A7" t="s">
        <v>120</v>
      </c>
      <c r="B7">
        <v>29.910683271491187</v>
      </c>
      <c r="C7">
        <v>23.209942249201674</v>
      </c>
      <c r="D7">
        <f t="shared" si="0"/>
        <v>16.64047539532757</v>
      </c>
      <c r="E7">
        <v>28</v>
      </c>
      <c r="F7">
        <f t="shared" si="1"/>
        <v>11.35952460467243</v>
      </c>
      <c r="G7" t="s">
        <v>15</v>
      </c>
      <c r="H7">
        <f>AVERAGE(TableLIV[DIFF])/5</f>
        <v>1.6462362307564731</v>
      </c>
    </row>
    <row r="8" spans="1:8" x14ac:dyDescent="0.3">
      <c r="A8" t="s">
        <v>121</v>
      </c>
      <c r="B8">
        <v>28</v>
      </c>
      <c r="C8">
        <v>22.209722329325615</v>
      </c>
      <c r="D8">
        <f t="shared" si="0"/>
        <v>15.736147522073434</v>
      </c>
      <c r="E8">
        <v>26</v>
      </c>
      <c r="F8">
        <f t="shared" si="1"/>
        <v>10.263852477926566</v>
      </c>
    </row>
    <row r="9" spans="1:8" x14ac:dyDescent="0.3">
      <c r="A9" t="s">
        <v>122</v>
      </c>
      <c r="B9">
        <v>9.8243700286761566</v>
      </c>
      <c r="C9">
        <v>21.495710091104236</v>
      </c>
      <c r="D9">
        <f t="shared" si="0"/>
        <v>10.027992957444775</v>
      </c>
      <c r="E9">
        <v>11</v>
      </c>
      <c r="F9">
        <f t="shared" si="1"/>
        <v>0.97200704255522474</v>
      </c>
    </row>
    <row r="10" spans="1:8" x14ac:dyDescent="0.3">
      <c r="A10" t="s">
        <v>123</v>
      </c>
      <c r="B10">
        <v>12.142857820822348</v>
      </c>
      <c r="C10">
        <v>34.440058877844059</v>
      </c>
      <c r="D10">
        <f t="shared" si="0"/>
        <v>14.983319300728866</v>
      </c>
      <c r="E10">
        <v>29</v>
      </c>
      <c r="F10">
        <f t="shared" si="1"/>
        <v>14.016680699271134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4"/>
  <sheetViews>
    <sheetView workbookViewId="0">
      <selection activeCell="H3" sqref="H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124</v>
      </c>
      <c r="B2">
        <v>18.116533119513768</v>
      </c>
      <c r="C2">
        <v>32.199222280311275</v>
      </c>
      <c r="D2">
        <f t="shared" ref="D2:D14" si="0">B2*$H$2+C2*$H$3</f>
        <v>18.472135177555913</v>
      </c>
      <c r="E2">
        <v>11</v>
      </c>
      <c r="F2">
        <f t="shared" ref="F2:F14" si="1">ABS(D2-E2)</f>
        <v>7.4721351775559128</v>
      </c>
      <c r="G2" t="s">
        <v>7</v>
      </c>
      <c r="H2">
        <v>0.36496465088118962</v>
      </c>
    </row>
    <row r="3" spans="1:8" x14ac:dyDescent="0.3">
      <c r="A3" t="s">
        <v>125</v>
      </c>
      <c r="B3">
        <v>15.480695754547572</v>
      </c>
      <c r="C3">
        <v>15.835284058006483</v>
      </c>
      <c r="D3">
        <f t="shared" si="0"/>
        <v>11.482665148859283</v>
      </c>
      <c r="E3">
        <v>14</v>
      </c>
      <c r="F3">
        <f t="shared" si="1"/>
        <v>2.517334851140717</v>
      </c>
      <c r="G3" t="s">
        <v>9</v>
      </c>
      <c r="H3">
        <v>0.3683393620245044</v>
      </c>
    </row>
    <row r="4" spans="1:8" x14ac:dyDescent="0.3">
      <c r="A4" t="s">
        <v>126</v>
      </c>
      <c r="B4">
        <v>29.507316795315525</v>
      </c>
      <c r="C4">
        <v>28.686317726930668</v>
      </c>
      <c r="D4">
        <f t="shared" si="0"/>
        <v>21.335427543012869</v>
      </c>
      <c r="E4">
        <v>31</v>
      </c>
      <c r="F4">
        <f t="shared" si="1"/>
        <v>9.6645724569871305</v>
      </c>
    </row>
    <row r="5" spans="1:8" x14ac:dyDescent="0.3">
      <c r="A5" t="s">
        <v>127</v>
      </c>
      <c r="B5">
        <v>26.94158056880854</v>
      </c>
      <c r="C5">
        <v>17.925897374748118</v>
      </c>
      <c r="D5">
        <f t="shared" si="0"/>
        <v>16.435538149214111</v>
      </c>
      <c r="E5">
        <v>17</v>
      </c>
      <c r="F5">
        <f t="shared" si="1"/>
        <v>0.5644618507858894</v>
      </c>
      <c r="G5" t="s">
        <v>12</v>
      </c>
      <c r="H5" cm="1">
        <f t="array" ref="H5">(SUM(TableMCI[PP]-TableMCI[AP]))^2</f>
        <v>2.8398992587956425E-29</v>
      </c>
    </row>
    <row r="6" spans="1:8" x14ac:dyDescent="0.3">
      <c r="A6" t="s">
        <v>128</v>
      </c>
      <c r="B6">
        <v>21.199348467765844</v>
      </c>
      <c r="C6">
        <v>20.056527385000997</v>
      </c>
      <c r="D6">
        <f t="shared" si="0"/>
        <v>15.124621313865113</v>
      </c>
      <c r="E6">
        <v>20</v>
      </c>
      <c r="F6">
        <f t="shared" si="1"/>
        <v>4.8753786861348871</v>
      </c>
    </row>
    <row r="7" spans="1:8" x14ac:dyDescent="0.3">
      <c r="A7" t="s">
        <v>129</v>
      </c>
      <c r="B7">
        <v>21.306583048578787</v>
      </c>
      <c r="C7">
        <v>19.39146960567825</v>
      </c>
      <c r="D7">
        <f t="shared" si="0"/>
        <v>14.918791187068724</v>
      </c>
      <c r="E7">
        <v>20</v>
      </c>
      <c r="F7">
        <f t="shared" si="1"/>
        <v>5.0812088129312762</v>
      </c>
      <c r="G7" t="s">
        <v>15</v>
      </c>
      <c r="H7">
        <f>AVERAGE(TableMCI[DIFF])/5</f>
        <v>0.88242136108855096</v>
      </c>
    </row>
    <row r="8" spans="1:8" x14ac:dyDescent="0.3">
      <c r="A8" t="s">
        <v>130</v>
      </c>
      <c r="B8">
        <v>26.631578947368421</v>
      </c>
      <c r="C8">
        <v>17.955210933178392</v>
      </c>
      <c r="D8">
        <f t="shared" si="0"/>
        <v>16.333195853083488</v>
      </c>
      <c r="E8">
        <v>13</v>
      </c>
      <c r="F8">
        <f t="shared" si="1"/>
        <v>3.3331958530834882</v>
      </c>
    </row>
    <row r="9" spans="1:8" x14ac:dyDescent="0.3">
      <c r="A9" t="s">
        <v>131</v>
      </c>
      <c r="B9">
        <v>29.904068235981661</v>
      </c>
      <c r="C9">
        <v>23.382801115542843</v>
      </c>
      <c r="D9">
        <f t="shared" si="0"/>
        <v>19.52673386891724</v>
      </c>
      <c r="E9">
        <v>17</v>
      </c>
      <c r="F9">
        <f t="shared" si="1"/>
        <v>2.5267338689172405</v>
      </c>
    </row>
    <row r="10" spans="1:8" x14ac:dyDescent="0.3">
      <c r="A10" t="s">
        <v>132</v>
      </c>
      <c r="B10">
        <v>16.833334975408423</v>
      </c>
      <c r="C10">
        <v>21.247115335879286</v>
      </c>
      <c r="D10">
        <f t="shared" si="0"/>
        <v>13.969721130144894</v>
      </c>
      <c r="E10">
        <v>12</v>
      </c>
      <c r="F10">
        <f t="shared" si="1"/>
        <v>1.9697211301448938</v>
      </c>
    </row>
    <row r="11" spans="1:8" x14ac:dyDescent="0.3">
      <c r="A11" t="s">
        <v>133</v>
      </c>
      <c r="B11">
        <v>20.578037253283025</v>
      </c>
      <c r="C11">
        <v>35.709235799902871</v>
      </c>
      <c r="D11">
        <f t="shared" si="0"/>
        <v>20.663373314883373</v>
      </c>
      <c r="E11">
        <v>13</v>
      </c>
      <c r="F11">
        <f t="shared" si="1"/>
        <v>7.6633733148833727</v>
      </c>
    </row>
    <row r="12" spans="1:8" x14ac:dyDescent="0.3">
      <c r="A12" t="s">
        <v>134</v>
      </c>
      <c r="B12">
        <v>14.716981076278568</v>
      </c>
      <c r="C12">
        <v>17.052908203500493</v>
      </c>
      <c r="D12">
        <f t="shared" si="0"/>
        <v>11.652435188868891</v>
      </c>
      <c r="E12">
        <v>17</v>
      </c>
      <c r="F12">
        <f t="shared" si="1"/>
        <v>5.3475648111311092</v>
      </c>
    </row>
    <row r="13" spans="1:8" x14ac:dyDescent="0.3">
      <c r="A13" t="s">
        <v>135</v>
      </c>
      <c r="B13">
        <v>57.745454626616919</v>
      </c>
      <c r="C13">
        <v>50.601394052950056</v>
      </c>
      <c r="D13">
        <f t="shared" si="0"/>
        <v>39.713534890792992</v>
      </c>
      <c r="E13">
        <v>34</v>
      </c>
      <c r="F13">
        <f t="shared" si="1"/>
        <v>5.7135348907929924</v>
      </c>
    </row>
    <row r="14" spans="1:8" x14ac:dyDescent="0.3">
      <c r="A14" t="s">
        <v>136</v>
      </c>
      <c r="B14">
        <v>17.309509113701953</v>
      </c>
      <c r="C14">
        <v>19.152089107046859</v>
      </c>
      <c r="D14">
        <f t="shared" si="0"/>
        <v>13.371827233733104</v>
      </c>
      <c r="E14">
        <v>14</v>
      </c>
      <c r="F14">
        <f t="shared" si="1"/>
        <v>0.62817276626689633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1"/>
  <sheetViews>
    <sheetView workbookViewId="0">
      <selection activeCell="H3" sqref="H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137</v>
      </c>
      <c r="B2">
        <v>24.137120699859636</v>
      </c>
      <c r="C2">
        <v>18.428809033027967</v>
      </c>
      <c r="D2">
        <f t="shared" ref="D2:D11" si="0">B2*$H$2+C2*$H$3</f>
        <v>21.285201934798494</v>
      </c>
      <c r="E2">
        <v>14</v>
      </c>
      <c r="F2">
        <f t="shared" ref="F2:F11" si="1">ABS(D2-E2)</f>
        <v>7.2852019347984935</v>
      </c>
      <c r="G2" t="s">
        <v>7</v>
      </c>
      <c r="H2">
        <v>0.44854648611731279</v>
      </c>
    </row>
    <row r="3" spans="1:8" x14ac:dyDescent="0.3">
      <c r="A3" t="s">
        <v>138</v>
      </c>
      <c r="B3">
        <v>18.042015068997593</v>
      </c>
      <c r="C3">
        <v>36.634735843753731</v>
      </c>
      <c r="D3">
        <f t="shared" si="0"/>
        <v>28.883356512814707</v>
      </c>
      <c r="E3">
        <v>22</v>
      </c>
      <c r="F3">
        <f t="shared" si="1"/>
        <v>6.8833565128147072</v>
      </c>
      <c r="G3" t="s">
        <v>9</v>
      </c>
      <c r="H3">
        <v>0.5675125962368599</v>
      </c>
    </row>
    <row r="4" spans="1:8" x14ac:dyDescent="0.3">
      <c r="A4" t="s">
        <v>139</v>
      </c>
      <c r="B4">
        <v>12.102705199277612</v>
      </c>
      <c r="C4">
        <v>13.154767192479177</v>
      </c>
      <c r="D4">
        <f t="shared" si="0"/>
        <v>12.89412197194503</v>
      </c>
      <c r="E4">
        <v>20</v>
      </c>
      <c r="F4">
        <f t="shared" si="1"/>
        <v>7.1058780280549705</v>
      </c>
    </row>
    <row r="5" spans="1:8" x14ac:dyDescent="0.3">
      <c r="A5" t="s">
        <v>140</v>
      </c>
      <c r="B5">
        <v>18.088283438677568</v>
      </c>
      <c r="C5">
        <v>17.898903828504235</v>
      </c>
      <c r="D5">
        <f t="shared" si="0"/>
        <v>18.271289357821118</v>
      </c>
      <c r="E5">
        <v>24</v>
      </c>
      <c r="F5">
        <f t="shared" si="1"/>
        <v>5.728710642178882</v>
      </c>
      <c r="G5" t="s">
        <v>12</v>
      </c>
      <c r="H5" cm="1">
        <f t="array" ref="H5">(SUM(TableMUN[PP]-TableMUN[AP]))^2</f>
        <v>3.1554436208840472E-28</v>
      </c>
    </row>
    <row r="6" spans="1:8" x14ac:dyDescent="0.3">
      <c r="A6" t="s">
        <v>141</v>
      </c>
      <c r="B6">
        <v>13.703002542969957</v>
      </c>
      <c r="C6">
        <v>29.655426380847828</v>
      </c>
      <c r="D6">
        <f t="shared" si="0"/>
        <v>22.976261657811794</v>
      </c>
      <c r="E6">
        <v>24</v>
      </c>
      <c r="F6">
        <f t="shared" si="1"/>
        <v>1.0237383421882065</v>
      </c>
    </row>
    <row r="7" spans="1:8" x14ac:dyDescent="0.3">
      <c r="A7" t="s">
        <v>142</v>
      </c>
      <c r="B7">
        <v>29.540280482730505</v>
      </c>
      <c r="C7">
        <v>27.688283010216225</v>
      </c>
      <c r="D7">
        <f t="shared" si="0"/>
        <v>28.963638385917353</v>
      </c>
      <c r="E7">
        <v>29</v>
      </c>
      <c r="F7">
        <f t="shared" si="1"/>
        <v>3.6361614082647264E-2</v>
      </c>
      <c r="G7" t="s">
        <v>15</v>
      </c>
      <c r="H7">
        <f>AVERAGE(TableMUN[DIFF])/5</f>
        <v>0.92559468365543618</v>
      </c>
    </row>
    <row r="8" spans="1:8" x14ac:dyDescent="0.3">
      <c r="A8" t="s">
        <v>143</v>
      </c>
      <c r="B8">
        <v>19.841123265155389</v>
      </c>
      <c r="C8">
        <v>16.45957031780328</v>
      </c>
      <c r="D8">
        <f t="shared" si="0"/>
        <v>18.24067960520561</v>
      </c>
      <c r="E8">
        <v>14</v>
      </c>
      <c r="F8">
        <f t="shared" si="1"/>
        <v>4.2406796052056102</v>
      </c>
    </row>
    <row r="9" spans="1:8" x14ac:dyDescent="0.3">
      <c r="A9" t="s">
        <v>144</v>
      </c>
      <c r="B9">
        <v>14.916162700475414</v>
      </c>
      <c r="C9">
        <v>26.529776160322552</v>
      </c>
      <c r="D9">
        <f t="shared" si="0"/>
        <v>21.74657451197978</v>
      </c>
      <c r="E9">
        <v>26</v>
      </c>
      <c r="F9">
        <f t="shared" si="1"/>
        <v>4.2534254880202198</v>
      </c>
    </row>
    <row r="10" spans="1:8" x14ac:dyDescent="0.3">
      <c r="A10" t="s">
        <v>145</v>
      </c>
      <c r="B10">
        <v>25.472222239704557</v>
      </c>
      <c r="C10">
        <v>25.695942857687605</v>
      </c>
      <c r="D10">
        <f t="shared" si="0"/>
        <v>26.008247023139035</v>
      </c>
      <c r="E10">
        <v>31</v>
      </c>
      <c r="F10">
        <f t="shared" si="1"/>
        <v>4.9917529768609654</v>
      </c>
    </row>
    <row r="11" spans="1:8" x14ac:dyDescent="0.3">
      <c r="A11" t="s">
        <v>22</v>
      </c>
      <c r="B11">
        <v>13.600032182546393</v>
      </c>
      <c r="C11">
        <v>27.541912718145149</v>
      </c>
      <c r="D11">
        <f t="shared" si="0"/>
        <v>21.730629038567098</v>
      </c>
      <c r="E11">
        <v>17</v>
      </c>
      <c r="F11">
        <f t="shared" si="1"/>
        <v>4.7306290385670984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5"/>
  <sheetViews>
    <sheetView workbookViewId="0">
      <selection activeCell="H3" sqref="H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146</v>
      </c>
      <c r="B2">
        <v>17.175156364987597</v>
      </c>
      <c r="C2">
        <v>10.492608162442048</v>
      </c>
      <c r="D2">
        <f t="shared" ref="D2:D15" si="0">B2*$H$2+C2*$H$3</f>
        <v>14.15437737100055</v>
      </c>
      <c r="E2">
        <v>19</v>
      </c>
      <c r="F2">
        <f t="shared" ref="F2:F15" si="1">ABS(D2-E2)</f>
        <v>4.8456226289994504</v>
      </c>
      <c r="G2" t="s">
        <v>7</v>
      </c>
      <c r="H2">
        <v>0.47747307171494646</v>
      </c>
    </row>
    <row r="3" spans="1:8" x14ac:dyDescent="0.3">
      <c r="A3" t="s">
        <v>147</v>
      </c>
      <c r="B3">
        <v>21.899193514226376</v>
      </c>
      <c r="C3">
        <v>27.543903238421628</v>
      </c>
      <c r="D3">
        <f t="shared" si="0"/>
        <v>26.085202594179719</v>
      </c>
      <c r="E3">
        <v>28</v>
      </c>
      <c r="F3">
        <f t="shared" si="1"/>
        <v>1.9147974058202806</v>
      </c>
      <c r="G3" t="s">
        <v>9</v>
      </c>
      <c r="H3">
        <v>0.56741875919244678</v>
      </c>
    </row>
    <row r="4" spans="1:8" x14ac:dyDescent="0.3">
      <c r="A4" t="s">
        <v>148</v>
      </c>
      <c r="B4">
        <v>24.322281597563435</v>
      </c>
      <c r="C4">
        <v>39.564602724944557</v>
      </c>
      <c r="D4">
        <f t="shared" si="0"/>
        <v>34.062932291634667</v>
      </c>
      <c r="E4">
        <v>44</v>
      </c>
      <c r="F4">
        <f t="shared" si="1"/>
        <v>9.9370677083653334</v>
      </c>
    </row>
    <row r="5" spans="1:8" x14ac:dyDescent="0.3">
      <c r="A5" t="s">
        <v>149</v>
      </c>
      <c r="B5">
        <v>13.75491460580456</v>
      </c>
      <c r="C5">
        <v>21.521136169733367</v>
      </c>
      <c r="D5">
        <f t="shared" si="0"/>
        <v>18.779097709852081</v>
      </c>
      <c r="E5">
        <v>22</v>
      </c>
      <c r="F5">
        <f t="shared" si="1"/>
        <v>3.2209022901479187</v>
      </c>
      <c r="G5" t="s">
        <v>12</v>
      </c>
      <c r="H5" cm="1">
        <f t="array" ref="H5">(SUM(TableNEW[PP]-TableNEW[AP]))^2</f>
        <v>4.543838814073028E-28</v>
      </c>
    </row>
    <row r="6" spans="1:8" x14ac:dyDescent="0.3">
      <c r="A6" t="s">
        <v>150</v>
      </c>
      <c r="B6">
        <v>19.14286568388443</v>
      </c>
      <c r="C6">
        <v>11.592371967259934</v>
      </c>
      <c r="D6">
        <f t="shared" si="0"/>
        <v>15.717932197270875</v>
      </c>
      <c r="E6">
        <v>10</v>
      </c>
      <c r="F6">
        <f t="shared" si="1"/>
        <v>5.7179321972708745</v>
      </c>
    </row>
    <row r="7" spans="1:8" x14ac:dyDescent="0.3">
      <c r="A7" t="s">
        <v>151</v>
      </c>
      <c r="B7">
        <v>47.549372738155057</v>
      </c>
      <c r="C7">
        <v>24.064494032198553</v>
      </c>
      <c r="D7">
        <f t="shared" si="0"/>
        <v>36.358190403749973</v>
      </c>
      <c r="E7">
        <v>23</v>
      </c>
      <c r="F7">
        <f t="shared" si="1"/>
        <v>13.358190403749973</v>
      </c>
      <c r="G7" t="s">
        <v>15</v>
      </c>
      <c r="H7">
        <f>AVERAGE(TableNEW[DIFF])/5</f>
        <v>1.5303045576455747</v>
      </c>
    </row>
    <row r="8" spans="1:8" x14ac:dyDescent="0.3">
      <c r="A8" t="s">
        <v>152</v>
      </c>
      <c r="B8">
        <v>17.651899362570187</v>
      </c>
      <c r="C8">
        <v>34.361142645339186</v>
      </c>
      <c r="D8">
        <f t="shared" si="0"/>
        <v>27.925463534502523</v>
      </c>
      <c r="E8">
        <v>16</v>
      </c>
      <c r="F8">
        <f t="shared" si="1"/>
        <v>11.925463534502523</v>
      </c>
    </row>
    <row r="9" spans="1:8" x14ac:dyDescent="0.3">
      <c r="A9" t="s">
        <v>153</v>
      </c>
      <c r="B9">
        <v>22.602663972344342</v>
      </c>
      <c r="C9">
        <v>41.138236358437069</v>
      </c>
      <c r="D9">
        <f t="shared" si="0"/>
        <v>34.134770425685971</v>
      </c>
      <c r="E9">
        <v>44</v>
      </c>
      <c r="F9">
        <f t="shared" si="1"/>
        <v>9.8652295743140286</v>
      </c>
    </row>
    <row r="10" spans="1:8" x14ac:dyDescent="0.3">
      <c r="A10" t="s">
        <v>154</v>
      </c>
      <c r="B10">
        <v>10.447712855306332</v>
      </c>
      <c r="C10">
        <v>14.739264300204727</v>
      </c>
      <c r="D10">
        <f t="shared" si="0"/>
        <v>13.351836610050544</v>
      </c>
      <c r="E10">
        <v>15</v>
      </c>
      <c r="F10">
        <f t="shared" si="1"/>
        <v>1.6481633899494561</v>
      </c>
    </row>
    <row r="11" spans="1:8" x14ac:dyDescent="0.3">
      <c r="A11" t="s">
        <v>155</v>
      </c>
      <c r="B11">
        <v>9.237410288941927</v>
      </c>
      <c r="C11">
        <v>15.812032855083178</v>
      </c>
      <c r="D11">
        <f t="shared" si="0"/>
        <v>13.382658728293851</v>
      </c>
      <c r="E11">
        <v>25</v>
      </c>
      <c r="F11">
        <f t="shared" si="1"/>
        <v>11.617341271706149</v>
      </c>
    </row>
    <row r="12" spans="1:8" x14ac:dyDescent="0.3">
      <c r="A12" t="s">
        <v>156</v>
      </c>
      <c r="B12">
        <v>14.670527748642433</v>
      </c>
      <c r="C12">
        <v>18.476094831274644</v>
      </c>
      <c r="D12">
        <f t="shared" si="0"/>
        <v>17.488464751707497</v>
      </c>
      <c r="E12">
        <v>28</v>
      </c>
      <c r="F12">
        <f t="shared" si="1"/>
        <v>10.511535248292503</v>
      </c>
    </row>
    <row r="13" spans="1:8" x14ac:dyDescent="0.3">
      <c r="A13" t="s">
        <v>157</v>
      </c>
      <c r="B13">
        <v>15.760437738365937</v>
      </c>
      <c r="C13">
        <v>31.855563654334009</v>
      </c>
      <c r="D13">
        <f t="shared" si="0"/>
        <v>25.600629020627956</v>
      </c>
      <c r="E13">
        <v>21</v>
      </c>
      <c r="F13">
        <f t="shared" si="1"/>
        <v>4.6006290206279559</v>
      </c>
    </row>
    <row r="14" spans="1:8" x14ac:dyDescent="0.3">
      <c r="A14" t="s">
        <v>158</v>
      </c>
      <c r="B14">
        <v>43.327091964794306</v>
      </c>
      <c r="C14">
        <v>27.766423551667327</v>
      </c>
      <c r="D14">
        <f t="shared" si="0"/>
        <v>36.442709287805314</v>
      </c>
      <c r="E14">
        <v>22</v>
      </c>
      <c r="F14">
        <f t="shared" si="1"/>
        <v>14.442709287805314</v>
      </c>
    </row>
    <row r="15" spans="1:8" x14ac:dyDescent="0.3">
      <c r="A15" t="s">
        <v>159</v>
      </c>
      <c r="B15">
        <v>17.653379104474162</v>
      </c>
      <c r="C15">
        <v>31.875438789189566</v>
      </c>
      <c r="D15">
        <f t="shared" si="0"/>
        <v>26.51573507363846</v>
      </c>
      <c r="E15">
        <v>23</v>
      </c>
      <c r="F15">
        <f t="shared" si="1"/>
        <v>3.5157350736384601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8"/>
  <sheetViews>
    <sheetView workbookViewId="0">
      <selection activeCell="H3" sqref="H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160</v>
      </c>
      <c r="B2">
        <v>10.601560498788599</v>
      </c>
      <c r="C2">
        <v>9.2643592038393905</v>
      </c>
      <c r="D2">
        <f t="shared" ref="D2:D8" si="0">B2*$H$2+C2*$H$3</f>
        <v>13.795109427483645</v>
      </c>
      <c r="E2">
        <v>10</v>
      </c>
      <c r="F2">
        <f t="shared" ref="F2:F8" si="1">ABS(D2-E2)</f>
        <v>3.795109427483645</v>
      </c>
      <c r="G2" t="s">
        <v>7</v>
      </c>
      <c r="H2">
        <v>0.68304808029054342</v>
      </c>
    </row>
    <row r="3" spans="1:8" x14ac:dyDescent="0.3">
      <c r="A3" t="s">
        <v>161</v>
      </c>
      <c r="B3">
        <v>5.5555555507232857</v>
      </c>
      <c r="C3">
        <v>13.316655116385213</v>
      </c>
      <c r="D3">
        <f t="shared" si="0"/>
        <v>13.215094755084849</v>
      </c>
      <c r="E3">
        <v>14</v>
      </c>
      <c r="F3">
        <f t="shared" si="1"/>
        <v>0.78490524491515146</v>
      </c>
      <c r="G3" t="s">
        <v>9</v>
      </c>
      <c r="H3">
        <v>0.70741361992807883</v>
      </c>
    </row>
    <row r="4" spans="1:8" x14ac:dyDescent="0.3">
      <c r="A4" t="s">
        <v>162</v>
      </c>
      <c r="B4">
        <v>6.4285715154948697</v>
      </c>
      <c r="C4">
        <v>12.787366431034156</v>
      </c>
      <c r="D4">
        <f t="shared" si="0"/>
        <v>13.43698060899391</v>
      </c>
      <c r="E4">
        <v>10</v>
      </c>
      <c r="F4">
        <f t="shared" si="1"/>
        <v>3.4369806089939097</v>
      </c>
    </row>
    <row r="5" spans="1:8" x14ac:dyDescent="0.3">
      <c r="A5" t="s">
        <v>163</v>
      </c>
      <c r="B5">
        <v>17.181818210079005</v>
      </c>
      <c r="C5">
        <v>13.253499653902205</v>
      </c>
      <c r="D5">
        <f t="shared" si="0"/>
        <v>21.111714111178063</v>
      </c>
      <c r="E5">
        <v>11</v>
      </c>
      <c r="F5">
        <f t="shared" si="1"/>
        <v>10.111714111178063</v>
      </c>
      <c r="G5" t="s">
        <v>12</v>
      </c>
      <c r="H5" cm="1">
        <f t="array" ref="H5">(SUM(TableNFO[PP]-TableNFO[AP]))^2</f>
        <v>1.135959703518257E-28</v>
      </c>
    </row>
    <row r="6" spans="1:8" x14ac:dyDescent="0.3">
      <c r="A6" t="s">
        <v>164</v>
      </c>
      <c r="B6">
        <v>14.133333307105259</v>
      </c>
      <c r="C6">
        <v>12.967798481277395</v>
      </c>
      <c r="D6">
        <f t="shared" si="0"/>
        <v>18.82734344966293</v>
      </c>
      <c r="E6">
        <v>15</v>
      </c>
      <c r="F6">
        <f t="shared" si="1"/>
        <v>3.8273434496629299</v>
      </c>
    </row>
    <row r="7" spans="1:8" x14ac:dyDescent="0.3">
      <c r="A7" t="s">
        <v>165</v>
      </c>
      <c r="B7">
        <v>22</v>
      </c>
      <c r="C7">
        <v>13.587954759566202</v>
      </c>
      <c r="D7">
        <f t="shared" si="0"/>
        <v>24.639362030275649</v>
      </c>
      <c r="E7">
        <v>29</v>
      </c>
      <c r="F7">
        <f t="shared" si="1"/>
        <v>4.3606379697243511</v>
      </c>
      <c r="G7" t="s">
        <v>15</v>
      </c>
      <c r="H7">
        <f>AVERAGE(TableNFO[DIFF])/5</f>
        <v>1.2097798627039171</v>
      </c>
    </row>
    <row r="8" spans="1:8" x14ac:dyDescent="0.3">
      <c r="A8" t="s">
        <v>166</v>
      </c>
      <c r="B8">
        <v>8.156727318401229</v>
      </c>
      <c r="C8">
        <v>11.878423660952219</v>
      </c>
      <c r="D8">
        <f t="shared" si="0"/>
        <v>13.974395617320944</v>
      </c>
      <c r="E8">
        <v>30</v>
      </c>
      <c r="F8">
        <f t="shared" si="1"/>
        <v>16.025604382679056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7"/>
  <sheetViews>
    <sheetView workbookViewId="0">
      <selection activeCell="H3" sqref="H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167</v>
      </c>
      <c r="B2">
        <v>16.502414964722441</v>
      </c>
      <c r="C2">
        <v>13.724192639078144</v>
      </c>
      <c r="D2">
        <f>B2*$H$2+C2*$H$3</f>
        <v>18.48963732457208</v>
      </c>
      <c r="E2">
        <v>19</v>
      </c>
      <c r="F2">
        <f>ABS(D2-E2)</f>
        <v>0.51036267542792046</v>
      </c>
      <c r="G2" t="s">
        <v>7</v>
      </c>
      <c r="H2">
        <v>0.72477043225878146</v>
      </c>
    </row>
    <row r="3" spans="1:8" x14ac:dyDescent="0.3">
      <c r="A3" t="s">
        <v>168</v>
      </c>
      <c r="B3">
        <v>15.695652176150288</v>
      </c>
      <c r="C3">
        <v>15.561540178966769</v>
      </c>
      <c r="D3">
        <f>B3*$H$2+C3*$H$3</f>
        <v>18.779022908616753</v>
      </c>
      <c r="E3">
        <v>16</v>
      </c>
      <c r="F3">
        <f>ABS(D3-E3)</f>
        <v>2.7790229086167528</v>
      </c>
      <c r="G3" t="s">
        <v>9</v>
      </c>
      <c r="H3">
        <v>0.47574200311683895</v>
      </c>
    </row>
    <row r="4" spans="1:8" x14ac:dyDescent="0.3">
      <c r="A4" t="s">
        <v>169</v>
      </c>
      <c r="B4">
        <v>12.793671525582749</v>
      </c>
      <c r="C4">
        <v>3.8687764618937437</v>
      </c>
      <c r="D4">
        <f>B4*$H$2+C4*$H$3</f>
        <v>11.113014305366079</v>
      </c>
      <c r="E4">
        <v>15</v>
      </c>
      <c r="F4">
        <f>ABS(D4-E4)</f>
        <v>3.8869856946339212</v>
      </c>
    </row>
    <row r="5" spans="1:8" x14ac:dyDescent="0.3">
      <c r="A5" t="s">
        <v>170</v>
      </c>
      <c r="B5">
        <v>18.650372595458617</v>
      </c>
      <c r="C5">
        <v>8.6204010299254819</v>
      </c>
      <c r="D5">
        <f>B5*$H$2+C5*$H$3</f>
        <v>17.618325461445082</v>
      </c>
      <c r="E5">
        <v>16</v>
      </c>
      <c r="F5">
        <f>ABS(D5-E5)</f>
        <v>1.6183254614450817</v>
      </c>
      <c r="G5" t="s">
        <v>12</v>
      </c>
      <c r="H5" cm="1">
        <f t="array" ref="H5">(SUM(TableSOU[PP]-TableSOU[AP]))^2</f>
        <v>5.0487097934144756E-29</v>
      </c>
    </row>
    <row r="7" spans="1:8" x14ac:dyDescent="0.3">
      <c r="G7" t="s">
        <v>15</v>
      </c>
      <c r="H7">
        <f>AVERAGE(TableSOU[DIFF])/5</f>
        <v>0.43973483700618382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0"/>
  <sheetViews>
    <sheetView workbookViewId="0">
      <selection activeCell="H3" sqref="H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171</v>
      </c>
      <c r="B2">
        <v>69.49065455703834</v>
      </c>
      <c r="C2">
        <v>32.973402471180144</v>
      </c>
      <c r="D2">
        <f t="shared" ref="D2:D10" si="0">B2*$H$2+C2*$H$3</f>
        <v>45.407816923072986</v>
      </c>
      <c r="E2">
        <v>35</v>
      </c>
      <c r="F2">
        <f t="shared" ref="F2:F10" si="1">ABS(D2-E2)</f>
        <v>10.407816923072986</v>
      </c>
      <c r="G2" t="s">
        <v>7</v>
      </c>
      <c r="H2">
        <v>0.42575362976008146</v>
      </c>
    </row>
    <row r="3" spans="1:8" x14ac:dyDescent="0.3">
      <c r="A3" t="s">
        <v>172</v>
      </c>
      <c r="B3">
        <v>3.0405914741639894</v>
      </c>
      <c r="C3">
        <v>35.491437600969782</v>
      </c>
      <c r="D3">
        <f t="shared" si="0"/>
        <v>18.324712371458439</v>
      </c>
      <c r="E3">
        <v>11</v>
      </c>
      <c r="F3">
        <f t="shared" si="1"/>
        <v>7.324712371458439</v>
      </c>
      <c r="G3" t="s">
        <v>9</v>
      </c>
      <c r="H3">
        <v>0.4798388193283617</v>
      </c>
    </row>
    <row r="4" spans="1:8" x14ac:dyDescent="0.3">
      <c r="A4" t="s">
        <v>173</v>
      </c>
      <c r="B4">
        <v>14.611460480132056</v>
      </c>
      <c r="C4">
        <v>19.605079518929362</v>
      </c>
      <c r="D4">
        <f t="shared" si="0"/>
        <v>15.628160544713914</v>
      </c>
      <c r="E4">
        <v>17</v>
      </c>
      <c r="F4">
        <f t="shared" si="1"/>
        <v>1.3718394552860858</v>
      </c>
    </row>
    <row r="5" spans="1:8" x14ac:dyDescent="0.3">
      <c r="A5" t="s">
        <v>174</v>
      </c>
      <c r="B5">
        <v>15.801098861379071</v>
      </c>
      <c r="C5">
        <v>23.734380266683267</v>
      </c>
      <c r="D5">
        <f t="shared" si="0"/>
        <v>18.116052199085694</v>
      </c>
      <c r="E5">
        <v>21</v>
      </c>
      <c r="F5">
        <f t="shared" si="1"/>
        <v>2.8839478009143065</v>
      </c>
      <c r="G5" t="s">
        <v>12</v>
      </c>
      <c r="H5" cm="1">
        <f t="array" ref="H5">(SUM(TableTOT[PP]-TableTOT[AP]))^2</f>
        <v>2.8398992587956425E-29</v>
      </c>
    </row>
    <row r="6" spans="1:8" x14ac:dyDescent="0.3">
      <c r="A6" t="s">
        <v>175</v>
      </c>
      <c r="B6">
        <v>13.469592544159543</v>
      </c>
      <c r="C6">
        <v>9.0242078687811595</v>
      </c>
      <c r="D6">
        <f t="shared" si="0"/>
        <v>10.064893166194919</v>
      </c>
      <c r="E6">
        <v>14</v>
      </c>
      <c r="F6">
        <f t="shared" si="1"/>
        <v>3.9351068338050812</v>
      </c>
    </row>
    <row r="7" spans="1:8" x14ac:dyDescent="0.3">
      <c r="A7" t="s">
        <v>176</v>
      </c>
      <c r="B7">
        <v>11.427901305773691</v>
      </c>
      <c r="C7">
        <v>18.251149189207766</v>
      </c>
      <c r="D7">
        <f t="shared" si="0"/>
        <v>13.623080339808364</v>
      </c>
      <c r="E7">
        <v>27</v>
      </c>
      <c r="F7">
        <f t="shared" si="1"/>
        <v>13.376919660191636</v>
      </c>
      <c r="G7" t="s">
        <v>15</v>
      </c>
      <c r="H7">
        <f>AVERAGE(TableTOT[DIFF])/5</f>
        <v>1.2412441555239042</v>
      </c>
    </row>
    <row r="8" spans="1:8" x14ac:dyDescent="0.3">
      <c r="A8" t="s">
        <v>177</v>
      </c>
      <c r="B8">
        <v>14.163989768406235</v>
      </c>
      <c r="C8">
        <v>9.6062469509606938</v>
      </c>
      <c r="D8">
        <f t="shared" si="0"/>
        <v>10.639820250909263</v>
      </c>
      <c r="E8">
        <v>17</v>
      </c>
      <c r="F8">
        <f t="shared" si="1"/>
        <v>6.3601797490907366</v>
      </c>
    </row>
    <row r="9" spans="1:8" x14ac:dyDescent="0.3">
      <c r="A9" t="s">
        <v>178</v>
      </c>
      <c r="B9">
        <v>29.162512547178757</v>
      </c>
      <c r="C9">
        <v>18.439716023465259</v>
      </c>
      <c r="D9">
        <f t="shared" si="0"/>
        <v>21.264137135335119</v>
      </c>
      <c r="E9">
        <v>17</v>
      </c>
      <c r="F9">
        <f t="shared" si="1"/>
        <v>4.264137135335119</v>
      </c>
    </row>
    <row r="10" spans="1:8" x14ac:dyDescent="0.3">
      <c r="A10" t="s">
        <v>179</v>
      </c>
      <c r="B10">
        <v>6.7850169941250611</v>
      </c>
      <c r="C10">
        <v>33.433271361087002</v>
      </c>
      <c r="D10">
        <f t="shared" si="0"/>
        <v>18.931327069421297</v>
      </c>
      <c r="E10">
        <v>13</v>
      </c>
      <c r="F10">
        <f t="shared" si="1"/>
        <v>5.9313270694212967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9"/>
  <sheetViews>
    <sheetView workbookViewId="0">
      <selection activeCell="H3" sqref="H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180</v>
      </c>
      <c r="B2">
        <v>41.133802837067762</v>
      </c>
      <c r="C2">
        <v>16.577608039661257</v>
      </c>
      <c r="D2">
        <f t="shared" ref="D2:D9" si="0">B2*$H$2+C2*$H$3</f>
        <v>27.117080292186362</v>
      </c>
      <c r="E2">
        <v>21</v>
      </c>
      <c r="F2">
        <f t="shared" ref="F2:F9" si="1">ABS(D2-E2)</f>
        <v>6.1170802921863618</v>
      </c>
      <c r="G2" t="s">
        <v>7</v>
      </c>
      <c r="H2">
        <v>0.51971636574954871</v>
      </c>
    </row>
    <row r="3" spans="1:8" x14ac:dyDescent="0.3">
      <c r="A3" t="s">
        <v>181</v>
      </c>
      <c r="B3">
        <v>15.500089033911083</v>
      </c>
      <c r="C3">
        <v>11.942339787861027</v>
      </c>
      <c r="D3">
        <f t="shared" si="0"/>
        <v>12.190089322404434</v>
      </c>
      <c r="E3">
        <v>13</v>
      </c>
      <c r="F3">
        <f t="shared" si="1"/>
        <v>0.80991067759556579</v>
      </c>
      <c r="G3" t="s">
        <v>9</v>
      </c>
      <c r="H3">
        <v>0.34620011273739226</v>
      </c>
    </row>
    <row r="4" spans="1:8" x14ac:dyDescent="0.3">
      <c r="A4" t="s">
        <v>182</v>
      </c>
      <c r="B4">
        <v>14.188839549107579</v>
      </c>
      <c r="C4">
        <v>14.127925904794015</v>
      </c>
      <c r="D4">
        <f t="shared" si="0"/>
        <v>12.265261665650868</v>
      </c>
      <c r="E4">
        <v>21</v>
      </c>
      <c r="F4">
        <f t="shared" si="1"/>
        <v>8.7347383343491316</v>
      </c>
    </row>
    <row r="5" spans="1:8" x14ac:dyDescent="0.3">
      <c r="A5" t="s">
        <v>183</v>
      </c>
      <c r="B5">
        <v>15.776503626240832</v>
      </c>
      <c r="C5">
        <v>12.758392764153918</v>
      </c>
      <c r="D5">
        <f t="shared" si="0"/>
        <v>12.616264142162478</v>
      </c>
      <c r="E5">
        <v>26</v>
      </c>
      <c r="F5">
        <f t="shared" si="1"/>
        <v>13.383735857837522</v>
      </c>
      <c r="G5" t="s">
        <v>12</v>
      </c>
      <c r="H5" cm="1">
        <f t="array" ref="H5">(SUM(TableWHU[PP]-TableWHU[AP]))^2</f>
        <v>2.8398992587956425E-29</v>
      </c>
    </row>
    <row r="6" spans="1:8" x14ac:dyDescent="0.3">
      <c r="A6" t="s">
        <v>184</v>
      </c>
      <c r="B6">
        <v>22.235134112610382</v>
      </c>
      <c r="C6">
        <v>16.180466591088695</v>
      </c>
      <c r="D6">
        <f t="shared" si="0"/>
        <v>17.157642450938198</v>
      </c>
      <c r="E6">
        <v>13</v>
      </c>
      <c r="F6">
        <f t="shared" si="1"/>
        <v>4.157642450938198</v>
      </c>
    </row>
    <row r="7" spans="1:8" x14ac:dyDescent="0.3">
      <c r="A7" t="s">
        <v>185</v>
      </c>
      <c r="B7">
        <v>13.493150657322756</v>
      </c>
      <c r="C7">
        <v>14.050686485426038</v>
      </c>
      <c r="D7">
        <f t="shared" si="0"/>
        <v>11.876960467427166</v>
      </c>
      <c r="E7">
        <v>11</v>
      </c>
      <c r="F7">
        <f t="shared" si="1"/>
        <v>0.87696046742716582</v>
      </c>
      <c r="G7" t="s">
        <v>15</v>
      </c>
      <c r="H7">
        <f>AVERAGE(TableWHU[DIFF])/5</f>
        <v>1.1464192434891107</v>
      </c>
    </row>
    <row r="8" spans="1:8" x14ac:dyDescent="0.3">
      <c r="A8" t="s">
        <v>186</v>
      </c>
      <c r="B8">
        <v>36.324729575250124</v>
      </c>
      <c r="C8">
        <v>12.314267847985295</v>
      </c>
      <c r="D8">
        <f t="shared" si="0"/>
        <v>23.141757358935095</v>
      </c>
      <c r="E8">
        <v>13</v>
      </c>
      <c r="F8">
        <f t="shared" si="1"/>
        <v>10.141757358935095</v>
      </c>
    </row>
    <row r="9" spans="1:8" x14ac:dyDescent="0.3">
      <c r="A9" t="s">
        <v>163</v>
      </c>
      <c r="B9">
        <v>15.937233530856483</v>
      </c>
      <c r="C9">
        <v>18.348067998334699</v>
      </c>
      <c r="D9">
        <f t="shared" si="0"/>
        <v>14.634944300295391</v>
      </c>
      <c r="E9">
        <v>13</v>
      </c>
      <c r="F9">
        <f t="shared" si="1"/>
        <v>1.6349443002953912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7"/>
  <sheetViews>
    <sheetView tabSelected="1" workbookViewId="0">
      <selection activeCell="H3" sqref="H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187</v>
      </c>
      <c r="B2">
        <v>16.999999180205723</v>
      </c>
      <c r="C2">
        <v>21.517947629864814</v>
      </c>
      <c r="D2">
        <f>B2*$H$2+C2*$H$3</f>
        <v>18.600586824325056</v>
      </c>
      <c r="E2">
        <v>21</v>
      </c>
      <c r="F2">
        <f>ABS(D2-E2)</f>
        <v>2.3994131756749439</v>
      </c>
      <c r="G2" t="s">
        <v>7</v>
      </c>
      <c r="H2">
        <v>0.43792201578358947</v>
      </c>
    </row>
    <row r="3" spans="1:8" x14ac:dyDescent="0.3">
      <c r="A3" t="s">
        <v>188</v>
      </c>
      <c r="B3">
        <v>14.411764718806829</v>
      </c>
      <c r="C3">
        <v>12.355186584924311</v>
      </c>
      <c r="D3">
        <f>B3*$H$2+C3*$H$3</f>
        <v>12.716737052171064</v>
      </c>
      <c r="E3">
        <v>14</v>
      </c>
      <c r="F3">
        <f>ABS(D3-E3)</f>
        <v>1.2832629478289359</v>
      </c>
      <c r="G3" t="s">
        <v>9</v>
      </c>
      <c r="H3">
        <v>0.51844688475431899</v>
      </c>
    </row>
    <row r="4" spans="1:8" x14ac:dyDescent="0.3">
      <c r="A4" t="s">
        <v>189</v>
      </c>
      <c r="B4">
        <v>13.732394379761059</v>
      </c>
      <c r="C4">
        <v>10.432891122246385</v>
      </c>
      <c r="D4">
        <f>B4*$H$2+C4*$H$3</f>
        <v>11.422617729629827</v>
      </c>
      <c r="E4">
        <v>11</v>
      </c>
      <c r="F4">
        <f>ABS(D4-E4)</f>
        <v>0.42261772962982747</v>
      </c>
    </row>
    <row r="5" spans="1:8" x14ac:dyDescent="0.3">
      <c r="A5" t="s">
        <v>190</v>
      </c>
      <c r="B5">
        <v>12.857136164048038</v>
      </c>
      <c r="C5">
        <v>24.360519426584979</v>
      </c>
      <c r="D5">
        <f>B5*$H$2+C5*$H$3</f>
        <v>18.260058393874054</v>
      </c>
      <c r="E5">
        <v>15</v>
      </c>
      <c r="F5">
        <f>ABS(D5-E5)</f>
        <v>3.2600583938740542</v>
      </c>
      <c r="G5" t="s">
        <v>12</v>
      </c>
      <c r="H5" cm="1">
        <f t="array" ref="H5">(SUM(TableWOL[PP]-TableWOL[AP]))^2</f>
        <v>3.1554436208840472E-30</v>
      </c>
    </row>
    <row r="7" spans="1:8" x14ac:dyDescent="0.3">
      <c r="G7" t="s">
        <v>15</v>
      </c>
      <c r="H7">
        <f>AVERAGE(TableWOL[DIFF])/5</f>
        <v>0.36826761235038807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</vt:lpstr>
      <vt:lpstr>AVL</vt:lpstr>
      <vt:lpstr>BOU</vt:lpstr>
      <vt:lpstr>BRE</vt:lpstr>
      <vt:lpstr>BHA</vt:lpstr>
      <vt:lpstr>CHE</vt:lpstr>
      <vt:lpstr>CRY</vt:lpstr>
      <vt:lpstr>EVE</vt:lpstr>
      <vt:lpstr>FUL</vt:lpstr>
      <vt:lpstr>LEE</vt:lpstr>
      <vt:lpstr>LEI</vt:lpstr>
      <vt:lpstr>LIV</vt:lpstr>
      <vt:lpstr>MCI</vt:lpstr>
      <vt:lpstr>MUN</vt:lpstr>
      <vt:lpstr>NEW</vt:lpstr>
      <vt:lpstr>NFO</vt:lpstr>
      <vt:lpstr>SOU</vt:lpstr>
      <vt:lpstr>TOT</vt:lpstr>
      <vt:lpstr>WHU</vt:lpstr>
      <vt:lpstr>WOL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2022-12-30T15:18:52Z</dcterms:created>
  <dcterms:modified xsi:type="dcterms:W3CDTF">2022-12-30T15:27:38Z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39917e49-7c88-407e-98e9-aac1e53bc4fd</vt:lpwstr>
  </property>
</Properties>
</file>