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41C240FC-DE73-42F8-A65F-939FC2C01367}" xr6:coauthVersionLast="47" xr6:coauthVersionMax="47" xr10:uidLastSave="{00000000-0000-0000-0000-000000000000}"/>
  <bookViews>
    <workbookView xWindow="-108" yWindow="-108" windowWidth="23256" windowHeight="12576" firstSheet="3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LEE!$I$2:$I$3</definedName>
    <definedName name="solver_adj" localSheetId="10" hidden="1">LEI!$I$2:$I$3</definedName>
    <definedName name="solver_adj" localSheetId="11" hidden="1">LIV!$I$2:$I$3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SOU!$I$2:$I$3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LEE!$I$5</definedName>
    <definedName name="solver_opt" localSheetId="10" hidden="1">LEI!$I$5</definedName>
    <definedName name="solver_opt" localSheetId="11" hidden="1">LIV!$I$5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SOU!$I$5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0" l="1"/>
  <c r="F8" i="20" s="1"/>
  <c r="D7" i="20"/>
  <c r="F7" i="20" s="1"/>
  <c r="D6" i="20"/>
  <c r="F6" i="20" s="1"/>
  <c r="D5" i="20"/>
  <c r="F5" i="20" s="1"/>
  <c r="D4" i="20"/>
  <c r="F4" i="20" s="1"/>
  <c r="D3" i="20"/>
  <c r="F3" i="20" s="1"/>
  <c r="D2" i="20"/>
  <c r="F2" i="20" s="1"/>
  <c r="D7" i="19"/>
  <c r="F7" i="19" s="1"/>
  <c r="D6" i="19"/>
  <c r="F6" i="19" s="1"/>
  <c r="D5" i="19"/>
  <c r="D4" i="19"/>
  <c r="F4" i="19" s="1"/>
  <c r="D3" i="19"/>
  <c r="F3" i="19" s="1"/>
  <c r="D2" i="19"/>
  <c r="F2" i="19" s="1"/>
  <c r="D14" i="18"/>
  <c r="F14" i="18" s="1"/>
  <c r="D13" i="18"/>
  <c r="F13" i="18" s="1"/>
  <c r="D12" i="18"/>
  <c r="F12" i="18" s="1"/>
  <c r="D11" i="18"/>
  <c r="F11" i="18" s="1"/>
  <c r="D10" i="18"/>
  <c r="F10" i="18" s="1"/>
  <c r="D9" i="18"/>
  <c r="F9" i="18" s="1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F2" i="18" s="1"/>
  <c r="D6" i="17"/>
  <c r="F6" i="17" s="1"/>
  <c r="D5" i="17"/>
  <c r="F5" i="17" s="1"/>
  <c r="D4" i="17"/>
  <c r="F4" i="17" s="1"/>
  <c r="D3" i="17"/>
  <c r="F3" i="17" s="1"/>
  <c r="D2" i="17"/>
  <c r="F2" i="17" s="1"/>
  <c r="D7" i="16"/>
  <c r="F7" i="16" s="1"/>
  <c r="D6" i="16"/>
  <c r="F6" i="16" s="1"/>
  <c r="D5" i="16"/>
  <c r="F5" i="16" s="1"/>
  <c r="D4" i="16"/>
  <c r="F4" i="16" s="1"/>
  <c r="D3" i="16"/>
  <c r="F3" i="16" s="1"/>
  <c r="D2" i="16"/>
  <c r="F2" i="16" s="1"/>
  <c r="D12" i="15"/>
  <c r="F12" i="15" s="1"/>
  <c r="D11" i="15"/>
  <c r="F11" i="15" s="1"/>
  <c r="D10" i="15"/>
  <c r="F10" i="15" s="1"/>
  <c r="D9" i="15"/>
  <c r="F9" i="15" s="1"/>
  <c r="D8" i="15"/>
  <c r="F8" i="15" s="1"/>
  <c r="D7" i="15"/>
  <c r="F7" i="15" s="1"/>
  <c r="D6" i="15"/>
  <c r="F6" i="15" s="1"/>
  <c r="D5" i="15"/>
  <c r="D4" i="15"/>
  <c r="F4" i="15" s="1"/>
  <c r="D3" i="15"/>
  <c r="F3" i="15" s="1"/>
  <c r="D2" i="15"/>
  <c r="F2" i="15" s="1"/>
  <c r="D12" i="14"/>
  <c r="F12" i="14" s="1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D4" i="14"/>
  <c r="F4" i="14" s="1"/>
  <c r="D3" i="14"/>
  <c r="F3" i="14" s="1"/>
  <c r="D2" i="14"/>
  <c r="F2" i="14" s="1"/>
  <c r="D12" i="13"/>
  <c r="F12" i="13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D4" i="13"/>
  <c r="F4" i="13" s="1"/>
  <c r="D3" i="13"/>
  <c r="F3" i="13" s="1"/>
  <c r="D2" i="13"/>
  <c r="F2" i="13" s="1"/>
  <c r="D10" i="12"/>
  <c r="F10" i="12" s="1"/>
  <c r="D9" i="12"/>
  <c r="F9" i="12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F2" i="12" s="1"/>
  <c r="D8" i="11"/>
  <c r="F8" i="11" s="1"/>
  <c r="D7" i="11"/>
  <c r="F7" i="11" s="1"/>
  <c r="D6" i="11"/>
  <c r="F6" i="11" s="1"/>
  <c r="D5" i="11"/>
  <c r="F5" i="11" s="1"/>
  <c r="D4" i="11"/>
  <c r="F4" i="11" s="1"/>
  <c r="D3" i="11"/>
  <c r="F3" i="11" s="1"/>
  <c r="D2" i="11"/>
  <c r="F2" i="11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D10" i="9"/>
  <c r="F10" i="9" s="1"/>
  <c r="D9" i="9"/>
  <c r="F9" i="9" s="1"/>
  <c r="D8" i="9"/>
  <c r="F8" i="9" s="1"/>
  <c r="D7" i="9"/>
  <c r="F7" i="9" s="1"/>
  <c r="D6" i="9"/>
  <c r="F6" i="9" s="1"/>
  <c r="D5" i="9"/>
  <c r="D4" i="9"/>
  <c r="F4" i="9" s="1"/>
  <c r="D3" i="9"/>
  <c r="F3" i="9" s="1"/>
  <c r="D2" i="9"/>
  <c r="F2" i="9" s="1"/>
  <c r="D6" i="8"/>
  <c r="F6" i="8" s="1"/>
  <c r="D5" i="8"/>
  <c r="D4" i="8"/>
  <c r="F4" i="8" s="1"/>
  <c r="D3" i="8"/>
  <c r="F3" i="8" s="1"/>
  <c r="D2" i="8"/>
  <c r="D10" i="7"/>
  <c r="F10" i="7" s="1"/>
  <c r="D9" i="7"/>
  <c r="F9" i="7" s="1"/>
  <c r="D8" i="7"/>
  <c r="F8" i="7" s="1"/>
  <c r="D7" i="7"/>
  <c r="F7" i="7" s="1"/>
  <c r="D6" i="7"/>
  <c r="F6" i="7" s="1"/>
  <c r="D5" i="7"/>
  <c r="D4" i="7"/>
  <c r="F4" i="7" s="1"/>
  <c r="D3" i="7"/>
  <c r="F3" i="7" s="1"/>
  <c r="D2" i="7"/>
  <c r="F2" i="7" s="1"/>
  <c r="D12" i="6"/>
  <c r="F12" i="6" s="1"/>
  <c r="D11" i="6"/>
  <c r="F11" i="6" s="1"/>
  <c r="D10" i="6"/>
  <c r="F10" i="6" s="1"/>
  <c r="D9" i="6"/>
  <c r="F9" i="6" s="1"/>
  <c r="D8" i="6"/>
  <c r="F8" i="6" s="1"/>
  <c r="D7" i="6"/>
  <c r="F7" i="6" s="1"/>
  <c r="D6" i="6"/>
  <c r="F6" i="6" s="1"/>
  <c r="D5" i="6"/>
  <c r="F5" i="6" s="1"/>
  <c r="D4" i="6"/>
  <c r="F4" i="6" s="1"/>
  <c r="D3" i="6"/>
  <c r="F3" i="6" s="1"/>
  <c r="D2" i="6"/>
  <c r="F2" i="6" s="1"/>
  <c r="D13" i="5"/>
  <c r="F13" i="5" s="1"/>
  <c r="D12" i="5"/>
  <c r="F12" i="5" s="1"/>
  <c r="D11" i="5"/>
  <c r="F11" i="5" s="1"/>
  <c r="D10" i="5"/>
  <c r="F10" i="5" s="1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F2" i="5" s="1"/>
  <c r="D12" i="4"/>
  <c r="F12" i="4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10" i="3"/>
  <c r="F10" i="3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F2" i="3" s="1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I5" i="20" l="1" a="1"/>
  <c r="I5" i="20" s="1"/>
  <c r="I5" i="19" a="1"/>
  <c r="I5" i="19" s="1"/>
  <c r="I5" i="18" a="1"/>
  <c r="I5" i="18" s="1"/>
  <c r="I7" i="17"/>
  <c r="I5" i="17" a="1"/>
  <c r="I5" i="17" s="1"/>
  <c r="I5" i="16" a="1"/>
  <c r="I5" i="16" s="1"/>
  <c r="I5" i="15" a="1"/>
  <c r="I5" i="15" s="1"/>
  <c r="I5" i="14" a="1"/>
  <c r="I5" i="14" s="1"/>
  <c r="I5" i="13" a="1"/>
  <c r="I5" i="13" s="1"/>
  <c r="I7" i="12"/>
  <c r="I5" i="12" a="1"/>
  <c r="I5" i="12" s="1"/>
  <c r="I7" i="11"/>
  <c r="I5" i="11" a="1"/>
  <c r="I5" i="11" s="1"/>
  <c r="I5" i="10" a="1"/>
  <c r="I5" i="10" s="1"/>
  <c r="I5" i="9" a="1"/>
  <c r="I5" i="9" s="1"/>
  <c r="I5" i="8" a="1"/>
  <c r="I5" i="8" s="1"/>
  <c r="F2" i="8"/>
  <c r="I5" i="7" a="1"/>
  <c r="I5" i="7" s="1"/>
  <c r="I7" i="6"/>
  <c r="I5" i="6" a="1"/>
  <c r="I5" i="6" s="1"/>
  <c r="I5" i="5" a="1"/>
  <c r="I5" i="5" s="1"/>
  <c r="I5" i="4" a="1"/>
  <c r="I5" i="4" s="1"/>
  <c r="I7" i="3"/>
  <c r="I5" i="3" a="1"/>
  <c r="I5" i="3" s="1"/>
  <c r="I5" i="2" a="1"/>
  <c r="I5" i="2" s="1"/>
  <c r="I5" i="1" a="1"/>
  <c r="I5" i="1" s="1"/>
  <c r="F2" i="1"/>
  <c r="I7" i="1" s="1"/>
  <c r="I7" i="2"/>
  <c r="I7" i="18"/>
  <c r="I7" i="10"/>
  <c r="I7" i="20"/>
  <c r="I7" i="4"/>
  <c r="I7" i="16"/>
  <c r="I7" i="5"/>
  <c r="F5" i="19"/>
  <c r="I7" i="19" s="1"/>
  <c r="F5" i="8"/>
  <c r="F5" i="9"/>
  <c r="I7" i="9" s="1"/>
  <c r="F5" i="7"/>
  <c r="I7" i="7" s="1"/>
  <c r="F5" i="13"/>
  <c r="I7" i="13" s="1"/>
  <c r="F5" i="14"/>
  <c r="I7" i="14" s="1"/>
  <c r="F5" i="15"/>
  <c r="I7" i="15" s="1"/>
  <c r="I7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<sst xmlns="http://schemas.openxmlformats.org/spreadsheetml/2006/main" count="382" uniqueCount="191">
  <si>
    <t>Name</t>
  </si>
  <si>
    <t>ARIMAPP</t>
  </si>
  <si>
    <t>LSTMPP</t>
  </si>
  <si>
    <t>PP</t>
  </si>
  <si>
    <t>AP</t>
  </si>
  <si>
    <t>DIFF</t>
  </si>
  <si>
    <t>Xhaka</t>
  </si>
  <si>
    <t>ARIMA</t>
  </si>
  <si>
    <t>Partey</t>
  </si>
  <si>
    <t>LSTM</t>
  </si>
  <si>
    <t>Ødegaard</t>
  </si>
  <si>
    <t>White</t>
  </si>
  <si>
    <t>OFF</t>
  </si>
  <si>
    <t>Saka</t>
  </si>
  <si>
    <t>Ramsdale</t>
  </si>
  <si>
    <t>AVG</t>
  </si>
  <si>
    <t>Gabriel</t>
  </si>
  <si>
    <t>Martinelli</t>
  </si>
  <si>
    <t>Saliba</t>
  </si>
  <si>
    <t>Jesus</t>
  </si>
  <si>
    <t>Zinchenko</t>
  </si>
  <si>
    <t>Ings</t>
  </si>
  <si>
    <t>Digne</t>
  </si>
  <si>
    <t>McGinn</t>
  </si>
  <si>
    <t>Watkins</t>
  </si>
  <si>
    <t>Buendía</t>
  </si>
  <si>
    <t>Konsa</t>
  </si>
  <si>
    <t>Bailey</t>
  </si>
  <si>
    <t>Douglas Luiz</t>
  </si>
  <si>
    <t>Ramsey</t>
  </si>
  <si>
    <t>Kamara</t>
  </si>
  <si>
    <t>Smith</t>
  </si>
  <si>
    <t>Stanislas</t>
  </si>
  <si>
    <t>Moore</t>
  </si>
  <si>
    <t>Lerma</t>
  </si>
  <si>
    <t>Solanke</t>
  </si>
  <si>
    <t>Cook</t>
  </si>
  <si>
    <t>Travers</t>
  </si>
  <si>
    <t>Zemura</t>
  </si>
  <si>
    <t>Tavernier</t>
  </si>
  <si>
    <t>Jansson</t>
  </si>
  <si>
    <t>Nørgaard</t>
  </si>
  <si>
    <t>Toney</t>
  </si>
  <si>
    <t>Raya</t>
  </si>
  <si>
    <t>Dasilva</t>
  </si>
  <si>
    <t>Henry</t>
  </si>
  <si>
    <t>Janelt</t>
  </si>
  <si>
    <t>Jensen</t>
  </si>
  <si>
    <t>Wissa</t>
  </si>
  <si>
    <t>Mbeumo</t>
  </si>
  <si>
    <t>Mee</t>
  </si>
  <si>
    <t>Lallana</t>
  </si>
  <si>
    <t>Welbeck</t>
  </si>
  <si>
    <t>Groß</t>
  </si>
  <si>
    <t>Dunk</t>
  </si>
  <si>
    <t>March</t>
  </si>
  <si>
    <t>Webster</t>
  </si>
  <si>
    <t>Veltman</t>
  </si>
  <si>
    <t>Trossard</t>
  </si>
  <si>
    <t>Sánchez</t>
  </si>
  <si>
    <t>Mac Allister</t>
  </si>
  <si>
    <t>Mwepu</t>
  </si>
  <si>
    <t>Caicedo</t>
  </si>
  <si>
    <t>Cucurella</t>
  </si>
  <si>
    <t>Thiago Silva</t>
  </si>
  <si>
    <t>Kanté</t>
  </si>
  <si>
    <t>Chilwell</t>
  </si>
  <si>
    <t>Mount</t>
  </si>
  <si>
    <t>Havertz</t>
  </si>
  <si>
    <t>James</t>
  </si>
  <si>
    <t>Mendy</t>
  </si>
  <si>
    <t>Broja</t>
  </si>
  <si>
    <t>Sterling</t>
  </si>
  <si>
    <t>Koulibaly</t>
  </si>
  <si>
    <t>Guaita</t>
  </si>
  <si>
    <t>Clyne</t>
  </si>
  <si>
    <t>Ayew</t>
  </si>
  <si>
    <t>Schlupp</t>
  </si>
  <si>
    <t>Edouard</t>
  </si>
  <si>
    <t>Guéhi</t>
  </si>
  <si>
    <t>Eze</t>
  </si>
  <si>
    <t>Mitchell</t>
  </si>
  <si>
    <t>C.Doucouré</t>
  </si>
  <si>
    <t>Iwobi</t>
  </si>
  <si>
    <t>Mina</t>
  </si>
  <si>
    <t>Gray</t>
  </si>
  <si>
    <t>Holgate</t>
  </si>
  <si>
    <t>McNeil</t>
  </si>
  <si>
    <t>Ream</t>
  </si>
  <si>
    <t>Kebano</t>
  </si>
  <si>
    <t>De Cordova-Reid</t>
  </si>
  <si>
    <t>Mitrović</t>
  </si>
  <si>
    <t>Reed</t>
  </si>
  <si>
    <t>Tete</t>
  </si>
  <si>
    <t>Robinson</t>
  </si>
  <si>
    <t>Palhinha</t>
  </si>
  <si>
    <t>Andreas</t>
  </si>
  <si>
    <t>Rodrigo</t>
  </si>
  <si>
    <t>Bamford</t>
  </si>
  <si>
    <t>Harrison</t>
  </si>
  <si>
    <t>Struijk</t>
  </si>
  <si>
    <t>Greenwood</t>
  </si>
  <si>
    <t>Meslier</t>
  </si>
  <si>
    <t>Summerville</t>
  </si>
  <si>
    <t>Roca</t>
  </si>
  <si>
    <t>Aaronson</t>
  </si>
  <si>
    <t>Ward</t>
  </si>
  <si>
    <t>Amartey</t>
  </si>
  <si>
    <t>Castagne</t>
  </si>
  <si>
    <t>Maddison</t>
  </si>
  <si>
    <t>Dewsbury-Hall</t>
  </si>
  <si>
    <t>Justin</t>
  </si>
  <si>
    <t>Daka</t>
  </si>
  <si>
    <t>Firmino</t>
  </si>
  <si>
    <t>Van Dijk</t>
  </si>
  <si>
    <t>Alisson</t>
  </si>
  <si>
    <t>Fabinho</t>
  </si>
  <si>
    <t>Salah</t>
  </si>
  <si>
    <t>Robertson</t>
  </si>
  <si>
    <t>Alexander-Arnold</t>
  </si>
  <si>
    <t>Luis Díaz</t>
  </si>
  <si>
    <t>Darwin</t>
  </si>
  <si>
    <t>Walker</t>
  </si>
  <si>
    <t>Gündogan</t>
  </si>
  <si>
    <t>De Bruyne</t>
  </si>
  <si>
    <t>Mahrez</t>
  </si>
  <si>
    <t>Grealish</t>
  </si>
  <si>
    <t>Ederson</t>
  </si>
  <si>
    <t>Aké</t>
  </si>
  <si>
    <t>Foden</t>
  </si>
  <si>
    <t>Rodri</t>
  </si>
  <si>
    <t>Haaland</t>
  </si>
  <si>
    <t>Álvarez</t>
  </si>
  <si>
    <t>Ronaldo</t>
  </si>
  <si>
    <t>De Gea</t>
  </si>
  <si>
    <t>Maguire</t>
  </si>
  <si>
    <t>Shaw</t>
  </si>
  <si>
    <t>Fernandes</t>
  </si>
  <si>
    <t>Rashford</t>
  </si>
  <si>
    <t>Sancho</t>
  </si>
  <si>
    <t>Dalot</t>
  </si>
  <si>
    <t>Malacia</t>
  </si>
  <si>
    <t>Eriksen</t>
  </si>
  <si>
    <t>Martínez</t>
  </si>
  <si>
    <t>Wood</t>
  </si>
  <si>
    <t>Trippier</t>
  </si>
  <si>
    <t>Burn</t>
  </si>
  <si>
    <t>Schär</t>
  </si>
  <si>
    <t>Almirón</t>
  </si>
  <si>
    <t>S.Longstaff</t>
  </si>
  <si>
    <t>Joelinton</t>
  </si>
  <si>
    <t>Willock</t>
  </si>
  <si>
    <t>Bruno Guimarães</t>
  </si>
  <si>
    <t>Pope</t>
  </si>
  <si>
    <t>Botman</t>
  </si>
  <si>
    <t>McKenna</t>
  </si>
  <si>
    <t>Worrall</t>
  </si>
  <si>
    <t>Johnson</t>
  </si>
  <si>
    <t>Awoniyi</t>
  </si>
  <si>
    <t>Henderson</t>
  </si>
  <si>
    <t>Gibbs-White</t>
  </si>
  <si>
    <t>Romeu</t>
  </si>
  <si>
    <t>Redmond</t>
  </si>
  <si>
    <t>Ward-Prowse</t>
  </si>
  <si>
    <t>Walker-Peters</t>
  </si>
  <si>
    <t>Bazunu</t>
  </si>
  <si>
    <t>Lloris</t>
  </si>
  <si>
    <t>Kane</t>
  </si>
  <si>
    <t>Son</t>
  </si>
  <si>
    <t>Doherty</t>
  </si>
  <si>
    <t>Davies</t>
  </si>
  <si>
    <t>Højbjerg</t>
  </si>
  <si>
    <t>R.Sessegnon</t>
  </si>
  <si>
    <t>Bentancur</t>
  </si>
  <si>
    <t>Romero</t>
  </si>
  <si>
    <t>Emerson Royal</t>
  </si>
  <si>
    <t>Kulusevski</t>
  </si>
  <si>
    <t>Perišić</t>
  </si>
  <si>
    <t>Lenglet</t>
  </si>
  <si>
    <t>Fabianski</t>
  </si>
  <si>
    <t>Zouma</t>
  </si>
  <si>
    <t>Benrahma</t>
  </si>
  <si>
    <t>Bowen</t>
  </si>
  <si>
    <t>Scamacca</t>
  </si>
  <si>
    <t>Sá</t>
  </si>
  <si>
    <t>Neves</t>
  </si>
  <si>
    <t>Podence</t>
  </si>
  <si>
    <t>Kilman</t>
  </si>
  <si>
    <t>Neto</t>
  </si>
  <si>
    <t>Aït-Nouri</t>
  </si>
  <si>
    <t>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</si>
</sst>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2">
  <autoFilter ref="A1:F12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1">
  <autoFilter ref="A1:F11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10">
  <autoFilter ref="A1:F10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2">
  <autoFilter ref="A1:F12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13">
  <autoFilter ref="A1:F13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12">
  <autoFilter ref="A1:F12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0">
  <autoFilter ref="A1:F10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6">
  <autoFilter ref="A1:F6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10">
  <autoFilter ref="A1:F10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F10">
  <autoFilter ref="A1:F10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F8">
  <autoFilter ref="A1:F8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F10">
  <autoFilter ref="A1:F10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2">
  <autoFilter ref="A1:F12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12">
  <autoFilter ref="A1:F12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12">
  <autoFilter ref="A1:F12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7">
  <autoFilter ref="A1:F7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F6">
  <autoFilter ref="A1:F6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14">
  <autoFilter ref="A1:F14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7">
  <autoFilter ref="A1:F7" xr:uid="{00000000-0009-0000-0100-000013000000}"/>
  <tableColumns count="6">
    <tableColumn id="1" xr3:uid="{00000000-0010-0000-1200-000001000000}" name="Name" totalsRowLabel="Total"/>
    <tableColumn id="2" xr3:uid="{00000000-0010-0000-1200-000002000000}" name="ARIMAPP"/>
    <tableColumn id="3" xr3:uid="{00000000-0010-0000-1200-000003000000}" name="LSTMPP"/>
    <tableColumn id="4" xr3:uid="{00000000-0010-0000-1200-000004000000}" name="PP"/>
    <tableColumn id="5" xr3:uid="{00000000-0010-0000-1200-000005000000}" name="AP"/>
    <tableColumn id="6" xr3:uid="{00000000-0010-0000-1200-000006000000}" name="DIFF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8">
  <autoFilter ref="A1:F8" xr:uid="{00000000-0009-0000-0100-000014000000}"/>
  <tableColumns count="6">
    <tableColumn id="1" xr3:uid="{00000000-0010-0000-1300-000001000000}" name="Name" totalsRowLabel="Total"/>
    <tableColumn id="2" xr3:uid="{00000000-0010-0000-1300-000002000000}" name="ARIMAPP"/>
    <tableColumn id="3" xr3:uid="{00000000-0010-0000-1300-000003000000}" name="LSTMPP"/>
    <tableColumn id="4" xr3:uid="{00000000-0010-0000-1300-000004000000}" name="PP"/>
    <tableColumn id="5" xr3:uid="{00000000-0010-0000-1300-000005000000}" name="AP"/>
    <tableColumn id="6" xr3:uid="{00000000-0010-0000-13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13.600000000000001</v>
      </c>
      <c r="C2">
        <v>20.762625784219772</v>
      </c>
      <c r="D2">
        <f t="shared" ref="D2:D12" si="0">B2*$I$2+C2*$I$3</f>
        <v>18.753853736601865</v>
      </c>
      <c r="E2">
        <v>13</v>
      </c>
      <c r="F2">
        <f t="shared" ref="F2:F12" si="1">ABS(D2-E2)</f>
        <v>5.7538537366018652</v>
      </c>
      <c r="H2" t="s">
        <v>7</v>
      </c>
      <c r="I2">
        <v>0.46067269163583047</v>
      </c>
    </row>
    <row r="3" spans="1:9" x14ac:dyDescent="0.3">
      <c r="A3" t="s">
        <v>8</v>
      </c>
      <c r="B3">
        <v>12.342601386391138</v>
      </c>
      <c r="C3">
        <v>17.307714036671019</v>
      </c>
      <c r="D3">
        <f t="shared" si="0"/>
        <v>16.096477492669614</v>
      </c>
      <c r="E3">
        <v>11</v>
      </c>
      <c r="F3">
        <f t="shared" si="1"/>
        <v>5.0964774926696137</v>
      </c>
      <c r="H3" t="s">
        <v>9</v>
      </c>
      <c r="I3">
        <v>0.60149931228093345</v>
      </c>
    </row>
    <row r="4" spans="1:9" x14ac:dyDescent="0.3">
      <c r="A4" t="s">
        <v>10</v>
      </c>
      <c r="B4">
        <v>16.788822428803197</v>
      </c>
      <c r="C4">
        <v>22.261642742327115</v>
      </c>
      <c r="D4">
        <f t="shared" si="0"/>
        <v>21.124514817426363</v>
      </c>
      <c r="E4">
        <v>51</v>
      </c>
      <c r="F4">
        <f t="shared" si="1"/>
        <v>29.875485182573637</v>
      </c>
    </row>
    <row r="5" spans="1:9" x14ac:dyDescent="0.3">
      <c r="A5" t="s">
        <v>11</v>
      </c>
      <c r="B5">
        <v>19.540660009737199</v>
      </c>
      <c r="C5">
        <v>24.266356651746282</v>
      </c>
      <c r="D5">
        <f t="shared" si="0"/>
        <v>23.598045280615512</v>
      </c>
      <c r="E5">
        <v>26</v>
      </c>
      <c r="F5">
        <f t="shared" si="1"/>
        <v>2.4019547193844879</v>
      </c>
      <c r="H5" t="s">
        <v>12</v>
      </c>
      <c r="I5" cm="1">
        <f t="array" ref="I5">(SUM(TableARS[PP]-TableARS[AP]))^2</f>
        <v>1.0223637331664313E-27</v>
      </c>
    </row>
    <row r="6" spans="1:9" x14ac:dyDescent="0.3">
      <c r="A6" t="s">
        <v>13</v>
      </c>
      <c r="B6">
        <v>19.670943432613296</v>
      </c>
      <c r="C6">
        <v>27.466726260822174</v>
      </c>
      <c r="D6">
        <f t="shared" si="0"/>
        <v>25.58308341461132</v>
      </c>
      <c r="E6">
        <v>27</v>
      </c>
      <c r="F6">
        <f t="shared" si="1"/>
        <v>1.4169165853886803</v>
      </c>
    </row>
    <row r="7" spans="1:9" x14ac:dyDescent="0.3">
      <c r="A7" t="s">
        <v>14</v>
      </c>
      <c r="B7">
        <v>19.931034482758619</v>
      </c>
      <c r="C7">
        <v>22.749832305599629</v>
      </c>
      <c r="D7">
        <f t="shared" si="0"/>
        <v>22.865691788583703</v>
      </c>
      <c r="E7">
        <v>28</v>
      </c>
      <c r="F7">
        <f t="shared" si="1"/>
        <v>5.1343082114162968</v>
      </c>
      <c r="H7" t="s">
        <v>15</v>
      </c>
      <c r="I7">
        <f>AVERAGE(TableARS[DIFF])/5</f>
        <v>1.5328872760076411</v>
      </c>
    </row>
    <row r="8" spans="1:9" x14ac:dyDescent="0.3">
      <c r="A8" t="s">
        <v>16</v>
      </c>
      <c r="B8">
        <v>20.864721724078223</v>
      </c>
      <c r="C8">
        <v>31.516476095618568</v>
      </c>
      <c r="D8">
        <f t="shared" si="0"/>
        <v>28.568946213896748</v>
      </c>
      <c r="E8">
        <v>18</v>
      </c>
      <c r="F8">
        <f t="shared" si="1"/>
        <v>10.568946213896748</v>
      </c>
    </row>
    <row r="9" spans="1:9" x14ac:dyDescent="0.3">
      <c r="A9" t="s">
        <v>17</v>
      </c>
      <c r="B9">
        <v>26.486498091060074</v>
      </c>
      <c r="C9">
        <v>23.545838022585709</v>
      </c>
      <c r="D9">
        <f t="shared" si="0"/>
        <v>26.36441174527949</v>
      </c>
      <c r="E9">
        <v>29</v>
      </c>
      <c r="F9">
        <f t="shared" si="1"/>
        <v>2.6355882547205098</v>
      </c>
    </row>
    <row r="10" spans="1:9" x14ac:dyDescent="0.3">
      <c r="A10" t="s">
        <v>18</v>
      </c>
      <c r="B10">
        <v>23.367025493001947</v>
      </c>
      <c r="C10">
        <v>25.74822166306701</v>
      </c>
      <c r="D10">
        <f t="shared" si="0"/>
        <v>26.252088152176114</v>
      </c>
      <c r="E10">
        <v>22</v>
      </c>
      <c r="F10">
        <f t="shared" si="1"/>
        <v>4.252088152176114</v>
      </c>
    </row>
    <row r="11" spans="1:9" x14ac:dyDescent="0.3">
      <c r="A11" t="s">
        <v>19</v>
      </c>
      <c r="B11">
        <v>25.243030254553211</v>
      </c>
      <c r="C11">
        <v>36.33297554336837</v>
      </c>
      <c r="D11">
        <f t="shared" si="0"/>
        <v>33.483034494865777</v>
      </c>
      <c r="E11">
        <v>17</v>
      </c>
      <c r="F11">
        <f t="shared" si="1"/>
        <v>16.483034494865777</v>
      </c>
    </row>
    <row r="12" spans="1:9" x14ac:dyDescent="0.3">
      <c r="A12" t="s">
        <v>20</v>
      </c>
      <c r="B12">
        <v>12.429236814826396</v>
      </c>
      <c r="C12">
        <v>22.583638264350554</v>
      </c>
      <c r="D12">
        <f t="shared" si="0"/>
        <v>19.309852863273463</v>
      </c>
      <c r="E12">
        <v>20</v>
      </c>
      <c r="F12">
        <f t="shared" si="1"/>
        <v>0.69014713672653727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21</v>
      </c>
      <c r="B2">
        <v>14.420277295263784</v>
      </c>
      <c r="C2">
        <v>10.826104433584927</v>
      </c>
      <c r="D2">
        <f t="shared" ref="D2:D11" si="0">B2*$I$2+C2*$I$3</f>
        <v>15.873407993029669</v>
      </c>
      <c r="E2">
        <v>24</v>
      </c>
      <c r="F2">
        <f t="shared" ref="F2:F11" si="1">ABS(D2-E2)</f>
        <v>8.1265920069703306</v>
      </c>
      <c r="H2" t="s">
        <v>7</v>
      </c>
      <c r="I2">
        <v>0.68309287519733308</v>
      </c>
    </row>
    <row r="3" spans="1:9" x14ac:dyDescent="0.3">
      <c r="A3" t="s">
        <v>22</v>
      </c>
      <c r="B3">
        <v>17.385687797826758</v>
      </c>
      <c r="C3">
        <v>19.650886638982392</v>
      </c>
      <c r="D3">
        <f t="shared" si="0"/>
        <v>22.808657979462488</v>
      </c>
      <c r="E3">
        <v>13</v>
      </c>
      <c r="F3">
        <f t="shared" si="1"/>
        <v>9.8086579794624882</v>
      </c>
      <c r="H3" t="s">
        <v>9</v>
      </c>
      <c r="I3">
        <v>0.55634225138087479</v>
      </c>
    </row>
    <row r="4" spans="1:9" x14ac:dyDescent="0.3">
      <c r="A4" t="s">
        <v>23</v>
      </c>
      <c r="B4">
        <v>14.617331486153933</v>
      </c>
      <c r="C4">
        <v>6.3199903461444755</v>
      </c>
      <c r="D4">
        <f t="shared" si="0"/>
        <v>13.501072650468807</v>
      </c>
      <c r="E4">
        <v>14</v>
      </c>
      <c r="F4">
        <f t="shared" si="1"/>
        <v>0.49892734953119344</v>
      </c>
    </row>
    <row r="5" spans="1:9" x14ac:dyDescent="0.3">
      <c r="A5" t="s">
        <v>24</v>
      </c>
      <c r="B5">
        <v>21.62025308895673</v>
      </c>
      <c r="C5">
        <v>11.975248060433149</v>
      </c>
      <c r="D5">
        <f t="shared" si="0"/>
        <v>21.430977311815308</v>
      </c>
      <c r="E5">
        <v>19</v>
      </c>
      <c r="F5">
        <f t="shared" si="1"/>
        <v>2.4309773118153082</v>
      </c>
      <c r="H5" t="s">
        <v>12</v>
      </c>
      <c r="I5" cm="1">
        <f t="array" ref="I5">(SUM(TableAVL[PP]-TableAVL[AP]))^2</f>
        <v>1.2621774483536189E-29</v>
      </c>
    </row>
    <row r="6" spans="1:9" x14ac:dyDescent="0.3">
      <c r="A6" t="s">
        <v>25</v>
      </c>
      <c r="B6">
        <v>15.00000005731216</v>
      </c>
      <c r="C6">
        <v>9.2427562041668345</v>
      </c>
      <c r="D6">
        <f t="shared" si="0"/>
        <v>15.388528962700249</v>
      </c>
      <c r="E6">
        <v>27</v>
      </c>
      <c r="F6">
        <f t="shared" si="1"/>
        <v>11.611471037299751</v>
      </c>
    </row>
    <row r="7" spans="1:9" x14ac:dyDescent="0.3">
      <c r="A7" t="s">
        <v>26</v>
      </c>
      <c r="B7">
        <v>15.979591836734695</v>
      </c>
      <c r="C7">
        <v>10.988830266400116</v>
      </c>
      <c r="D7">
        <f t="shared" si="0"/>
        <v>17.029095902686276</v>
      </c>
      <c r="E7">
        <v>12</v>
      </c>
      <c r="F7">
        <f t="shared" si="1"/>
        <v>5.0290959026862758</v>
      </c>
      <c r="H7" t="s">
        <v>15</v>
      </c>
      <c r="I7">
        <f>AVERAGE(TableAVL[DIFF])/5</f>
        <v>1.366160334593038</v>
      </c>
    </row>
    <row r="8" spans="1:9" x14ac:dyDescent="0.3">
      <c r="A8" t="s">
        <v>27</v>
      </c>
      <c r="B8">
        <v>33.709677419095456</v>
      </c>
      <c r="C8">
        <v>18.174548891817665</v>
      </c>
      <c r="D8">
        <f t="shared" si="0"/>
        <v>33.138109918490152</v>
      </c>
      <c r="E8">
        <v>19</v>
      </c>
      <c r="F8">
        <f t="shared" si="1"/>
        <v>14.138109918490152</v>
      </c>
    </row>
    <row r="9" spans="1:9" x14ac:dyDescent="0.3">
      <c r="A9" t="s">
        <v>28</v>
      </c>
      <c r="B9">
        <v>11.271295277513113</v>
      </c>
      <c r="C9">
        <v>10.198659856892014</v>
      </c>
      <c r="D9">
        <f t="shared" si="0"/>
        <v>13.373286884165609</v>
      </c>
      <c r="E9">
        <v>26</v>
      </c>
      <c r="F9">
        <f t="shared" si="1"/>
        <v>12.626713115834391</v>
      </c>
    </row>
    <row r="10" spans="1:9" x14ac:dyDescent="0.3">
      <c r="A10" t="s">
        <v>29</v>
      </c>
      <c r="B10">
        <v>14.406393065693045</v>
      </c>
      <c r="C10">
        <v>17.738704295508029</v>
      </c>
      <c r="D10">
        <f t="shared" si="0"/>
        <v>19.709695144809714</v>
      </c>
      <c r="E10">
        <v>21</v>
      </c>
      <c r="F10">
        <f t="shared" si="1"/>
        <v>1.2903048551902856</v>
      </c>
    </row>
    <row r="11" spans="1:9" x14ac:dyDescent="0.3">
      <c r="A11" t="s">
        <v>30</v>
      </c>
      <c r="B11">
        <v>6.1726798821688416</v>
      </c>
      <c r="C11">
        <v>18.928372917660958</v>
      </c>
      <c r="D11">
        <f t="shared" si="0"/>
        <v>14.747167252371725</v>
      </c>
      <c r="E11">
        <v>12</v>
      </c>
      <c r="F11">
        <f t="shared" si="1"/>
        <v>2.7471672523717245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31</v>
      </c>
      <c r="B2">
        <v>12.618813961700475</v>
      </c>
      <c r="C2">
        <v>15.335060824593137</v>
      </c>
      <c r="D2">
        <f t="shared" ref="D2:D10" si="0">B2*$I$2+C2*$I$3</f>
        <v>13.247820536577425</v>
      </c>
      <c r="E2">
        <v>10</v>
      </c>
      <c r="F2">
        <f t="shared" ref="F2:F10" si="1">ABS(D2-E2)</f>
        <v>3.2478205365774251</v>
      </c>
      <c r="H2" t="s">
        <v>7</v>
      </c>
      <c r="I2">
        <v>0.37555185883556963</v>
      </c>
    </row>
    <row r="3" spans="1:9" x14ac:dyDescent="0.3">
      <c r="A3" t="s">
        <v>32</v>
      </c>
      <c r="B3">
        <v>16.24133664974098</v>
      </c>
      <c r="C3">
        <v>21.787280790435538</v>
      </c>
      <c r="D3">
        <f t="shared" si="0"/>
        <v>18.188340080320156</v>
      </c>
      <c r="E3">
        <v>10</v>
      </c>
      <c r="F3">
        <f t="shared" si="1"/>
        <v>8.188340080320156</v>
      </c>
      <c r="H3" t="s">
        <v>9</v>
      </c>
      <c r="I3">
        <v>0.55485932493432588</v>
      </c>
    </row>
    <row r="4" spans="1:9" x14ac:dyDescent="0.3">
      <c r="A4" t="s">
        <v>33</v>
      </c>
      <c r="B4">
        <v>19.857142857142858</v>
      </c>
      <c r="C4">
        <v>17.775441387235798</v>
      </c>
      <c r="D4">
        <f t="shared" si="0"/>
        <v>17.320256319694785</v>
      </c>
      <c r="E4">
        <v>13</v>
      </c>
      <c r="F4">
        <f t="shared" si="1"/>
        <v>4.320256319694785</v>
      </c>
    </row>
    <row r="5" spans="1:9" x14ac:dyDescent="0.3">
      <c r="A5" t="s">
        <v>34</v>
      </c>
      <c r="B5">
        <v>14.540331694389014</v>
      </c>
      <c r="C5">
        <v>13.663261817138768</v>
      </c>
      <c r="D5">
        <f t="shared" si="0"/>
        <v>13.041836824172108</v>
      </c>
      <c r="E5">
        <v>11</v>
      </c>
      <c r="F5">
        <f t="shared" si="1"/>
        <v>2.0418368241721083</v>
      </c>
      <c r="H5" t="s">
        <v>12</v>
      </c>
      <c r="I5" cm="1">
        <f t="array" ref="I5">(SUM(TableBOU[PP]-TableBOU[AP]))^2</f>
        <v>6.1846694969327326E-28</v>
      </c>
    </row>
    <row r="6" spans="1:9" x14ac:dyDescent="0.3">
      <c r="A6" t="s">
        <v>35</v>
      </c>
      <c r="B6">
        <v>12.108789750769301</v>
      </c>
      <c r="C6">
        <v>20.554550460657374</v>
      </c>
      <c r="D6">
        <f t="shared" si="0"/>
        <v>15.952362492079391</v>
      </c>
      <c r="E6">
        <v>16</v>
      </c>
      <c r="F6">
        <f t="shared" si="1"/>
        <v>4.7637507920608613E-2</v>
      </c>
    </row>
    <row r="7" spans="1:9" x14ac:dyDescent="0.3">
      <c r="A7" t="s">
        <v>36</v>
      </c>
      <c r="B7">
        <v>8.6831914042999632</v>
      </c>
      <c r="C7">
        <v>10.189266338395729</v>
      </c>
      <c r="D7">
        <f t="shared" si="0"/>
        <v>8.9145981146081965</v>
      </c>
      <c r="E7">
        <v>12</v>
      </c>
      <c r="F7">
        <f t="shared" si="1"/>
        <v>3.0854018853918035</v>
      </c>
      <c r="H7" t="s">
        <v>15</v>
      </c>
      <c r="I7">
        <f>AVERAGE(TableBOU[DIFF])/5</f>
        <v>1.1349469073903038</v>
      </c>
    </row>
    <row r="8" spans="1:9" x14ac:dyDescent="0.3">
      <c r="A8" t="s">
        <v>37</v>
      </c>
      <c r="B8">
        <v>5.2352404432905839</v>
      </c>
      <c r="C8">
        <v>20.78502334000633</v>
      </c>
      <c r="D8">
        <f t="shared" si="0"/>
        <v>13.498868299109049</v>
      </c>
      <c r="E8">
        <v>14</v>
      </c>
      <c r="F8">
        <f t="shared" si="1"/>
        <v>0.50113170089095149</v>
      </c>
    </row>
    <row r="9" spans="1:9" x14ac:dyDescent="0.3">
      <c r="A9" t="s">
        <v>38</v>
      </c>
      <c r="B9">
        <v>12.677778380182062</v>
      </c>
      <c r="C9">
        <v>23.387708984562067</v>
      </c>
      <c r="D9">
        <f t="shared" si="0"/>
        <v>17.738051655517346</v>
      </c>
      <c r="E9">
        <v>10</v>
      </c>
      <c r="F9">
        <f t="shared" si="1"/>
        <v>7.7380516555173458</v>
      </c>
    </row>
    <row r="10" spans="1:9" x14ac:dyDescent="0.3">
      <c r="A10" t="s">
        <v>39</v>
      </c>
      <c r="B10">
        <v>10.976963362569599</v>
      </c>
      <c r="C10">
        <v>23.385110603078282</v>
      </c>
      <c r="D10">
        <f t="shared" si="0"/>
        <v>17.097865677921519</v>
      </c>
      <c r="E10">
        <v>39</v>
      </c>
      <c r="F10">
        <f t="shared" si="1"/>
        <v>21.902134322078481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40</v>
      </c>
      <c r="B2">
        <v>26.22188331698953</v>
      </c>
      <c r="C2">
        <v>29.998306290639068</v>
      </c>
      <c r="D2">
        <f t="shared" ref="D2:D12" si="0">B2*$I$2+C2*$I$3</f>
        <v>30.932754125923452</v>
      </c>
      <c r="E2">
        <v>10</v>
      </c>
      <c r="F2">
        <f t="shared" ref="F2:F12" si="1">ABS(D2-E2)</f>
        <v>20.932754125923452</v>
      </c>
      <c r="H2" t="s">
        <v>7</v>
      </c>
      <c r="I2">
        <v>0.6324134166626223</v>
      </c>
    </row>
    <row r="3" spans="1:9" x14ac:dyDescent="0.3">
      <c r="A3" t="s">
        <v>41</v>
      </c>
      <c r="B3">
        <v>15.156692933448552</v>
      </c>
      <c r="C3">
        <v>15.010748886222885</v>
      </c>
      <c r="D3">
        <f t="shared" si="0"/>
        <v>16.765684436542628</v>
      </c>
      <c r="E3">
        <v>21</v>
      </c>
      <c r="F3">
        <f t="shared" si="1"/>
        <v>4.2343155634573719</v>
      </c>
      <c r="H3" t="s">
        <v>9</v>
      </c>
      <c r="I3">
        <v>0.47834978305342829</v>
      </c>
    </row>
    <row r="4" spans="1:9" x14ac:dyDescent="0.3">
      <c r="A4" t="s">
        <v>42</v>
      </c>
      <c r="B4">
        <v>22.921076874522853</v>
      </c>
      <c r="C4">
        <v>24.355271528970011</v>
      </c>
      <c r="D4">
        <f t="shared" si="0"/>
        <v>26.145935391893762</v>
      </c>
      <c r="E4">
        <v>40</v>
      </c>
      <c r="F4">
        <f t="shared" si="1"/>
        <v>13.854064608106238</v>
      </c>
    </row>
    <row r="5" spans="1:9" x14ac:dyDescent="0.3">
      <c r="A5" t="s">
        <v>43</v>
      </c>
      <c r="B5">
        <v>19.302665792208877</v>
      </c>
      <c r="C5">
        <v>14.807118296841718</v>
      </c>
      <c r="D5">
        <f t="shared" si="0"/>
        <v>19.290246649288225</v>
      </c>
      <c r="E5">
        <v>23</v>
      </c>
      <c r="F5">
        <f t="shared" si="1"/>
        <v>3.7097533507117753</v>
      </c>
      <c r="H5" t="s">
        <v>12</v>
      </c>
      <c r="I5" cm="1">
        <f t="array" ref="I5">(SUM(TableBRE[PP]-TableBRE[AP]))^2</f>
        <v>1.2621774483536189E-29</v>
      </c>
    </row>
    <row r="6" spans="1:9" x14ac:dyDescent="0.3">
      <c r="A6" t="s">
        <v>44</v>
      </c>
      <c r="B6">
        <v>11.874308358342399</v>
      </c>
      <c r="C6">
        <v>7.6274903365342617</v>
      </c>
      <c r="D6">
        <f t="shared" si="0"/>
        <v>11.158080267128135</v>
      </c>
      <c r="E6">
        <v>20</v>
      </c>
      <c r="F6">
        <f t="shared" si="1"/>
        <v>8.8419197328718653</v>
      </c>
    </row>
    <row r="7" spans="1:9" x14ac:dyDescent="0.3">
      <c r="A7" t="s">
        <v>45</v>
      </c>
      <c r="B7">
        <v>25.823129908996357</v>
      </c>
      <c r="C7">
        <v>11.306189418721599</v>
      </c>
      <c r="D7">
        <f t="shared" si="0"/>
        <v>21.73920707027758</v>
      </c>
      <c r="E7">
        <v>12</v>
      </c>
      <c r="F7">
        <f t="shared" si="1"/>
        <v>9.7392070702775797</v>
      </c>
      <c r="H7" t="s">
        <v>15</v>
      </c>
      <c r="I7">
        <f>AVERAGE(TableBRE[DIFF])/5</f>
        <v>1.2869756460145585</v>
      </c>
    </row>
    <row r="8" spans="1:9" x14ac:dyDescent="0.3">
      <c r="A8" t="s">
        <v>46</v>
      </c>
      <c r="B8">
        <v>18.956720539204568</v>
      </c>
      <c r="C8">
        <v>8.0320818425923228</v>
      </c>
      <c r="D8">
        <f t="shared" si="0"/>
        <v>15.830629011788286</v>
      </c>
      <c r="E8">
        <v>16</v>
      </c>
      <c r="F8">
        <f t="shared" si="1"/>
        <v>0.16937098821171404</v>
      </c>
    </row>
    <row r="9" spans="1:9" x14ac:dyDescent="0.3">
      <c r="A9" t="s">
        <v>47</v>
      </c>
      <c r="B9">
        <v>21.233585110911246</v>
      </c>
      <c r="C9">
        <v>9.3040487186047471</v>
      </c>
      <c r="D9">
        <f t="shared" si="0"/>
        <v>17.878993794051077</v>
      </c>
      <c r="E9">
        <v>21</v>
      </c>
      <c r="F9">
        <f t="shared" si="1"/>
        <v>3.1210062059489232</v>
      </c>
    </row>
    <row r="10" spans="1:9" x14ac:dyDescent="0.3">
      <c r="A10" t="s">
        <v>48</v>
      </c>
      <c r="B10">
        <v>18.377824627854157</v>
      </c>
      <c r="C10">
        <v>11.830533926271897</v>
      </c>
      <c r="D10">
        <f t="shared" si="0"/>
        <v>17.28151620076612</v>
      </c>
      <c r="E10">
        <v>14</v>
      </c>
      <c r="F10">
        <f t="shared" si="1"/>
        <v>3.2815162007661201</v>
      </c>
    </row>
    <row r="11" spans="1:9" x14ac:dyDescent="0.3">
      <c r="A11" t="s">
        <v>49</v>
      </c>
      <c r="B11">
        <v>20.768759747422191</v>
      </c>
      <c r="C11">
        <v>11.08793344247923</v>
      </c>
      <c r="D11">
        <f t="shared" si="0"/>
        <v>18.438352868433199</v>
      </c>
      <c r="E11">
        <v>17</v>
      </c>
      <c r="F11">
        <f t="shared" si="1"/>
        <v>1.4383528684331992</v>
      </c>
    </row>
    <row r="12" spans="1:9" x14ac:dyDescent="0.3">
      <c r="A12" t="s">
        <v>50</v>
      </c>
      <c r="B12">
        <v>15.610811775766294</v>
      </c>
      <c r="C12">
        <v>20.207207600715979</v>
      </c>
      <c r="D12">
        <f t="shared" si="0"/>
        <v>19.538600183907533</v>
      </c>
      <c r="E12">
        <v>21</v>
      </c>
      <c r="F12">
        <f t="shared" si="1"/>
        <v>1.4613998160924666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51</v>
      </c>
      <c r="B2">
        <v>12.810455519702419</v>
      </c>
      <c r="C2">
        <v>23.053397843215762</v>
      </c>
      <c r="D2">
        <f t="shared" ref="D2:D13" si="0">B2*$I$2+C2*$I$3</f>
        <v>15.546469409473175</v>
      </c>
      <c r="E2">
        <v>16</v>
      </c>
      <c r="F2">
        <f t="shared" ref="F2:F13" si="1">ABS(D2-E2)</f>
        <v>0.45353059052682454</v>
      </c>
      <c r="H2" t="s">
        <v>7</v>
      </c>
      <c r="I2">
        <v>0.35890894375085047</v>
      </c>
    </row>
    <row r="3" spans="1:9" x14ac:dyDescent="0.3">
      <c r="A3" t="s">
        <v>52</v>
      </c>
      <c r="B3">
        <v>15.807336364411004</v>
      </c>
      <c r="C3">
        <v>21.286948613598554</v>
      </c>
      <c r="D3">
        <f t="shared" si="0"/>
        <v>15.783142217220171</v>
      </c>
      <c r="E3">
        <v>11</v>
      </c>
      <c r="F3">
        <f t="shared" si="1"/>
        <v>4.7831422172201705</v>
      </c>
      <c r="H3" t="s">
        <v>9</v>
      </c>
      <c r="I3">
        <v>0.47492705519553358</v>
      </c>
    </row>
    <row r="4" spans="1:9" x14ac:dyDescent="0.3">
      <c r="A4" t="s">
        <v>53</v>
      </c>
      <c r="B4">
        <v>18.972998826150867</v>
      </c>
      <c r="C4">
        <v>35.228698419700187</v>
      </c>
      <c r="D4">
        <f t="shared" si="0"/>
        <v>23.540640967319689</v>
      </c>
      <c r="E4">
        <v>20</v>
      </c>
      <c r="F4">
        <f t="shared" si="1"/>
        <v>3.540640967319689</v>
      </c>
    </row>
    <row r="5" spans="1:9" x14ac:dyDescent="0.3">
      <c r="A5" t="s">
        <v>54</v>
      </c>
      <c r="B5">
        <v>20.100071215391136</v>
      </c>
      <c r="C5">
        <v>18.312325451225178</v>
      </c>
      <c r="D5">
        <f t="shared" si="0"/>
        <v>15.911114129565501</v>
      </c>
      <c r="E5">
        <v>13</v>
      </c>
      <c r="F5">
        <f t="shared" si="1"/>
        <v>2.911114129565501</v>
      </c>
      <c r="H5" t="s">
        <v>12</v>
      </c>
      <c r="I5" cm="1">
        <f t="array" ref="I5">(SUM(TableBHA[PP]-TableBHA[AP]))^2</f>
        <v>1.2621774483536189E-29</v>
      </c>
    </row>
    <row r="6" spans="1:9" x14ac:dyDescent="0.3">
      <c r="A6" t="s">
        <v>55</v>
      </c>
      <c r="B6">
        <v>16.397720162484759</v>
      </c>
      <c r="C6">
        <v>23.636701115120157</v>
      </c>
      <c r="D6">
        <f t="shared" si="0"/>
        <v>17.110997278580431</v>
      </c>
      <c r="E6">
        <v>46</v>
      </c>
      <c r="F6">
        <f t="shared" si="1"/>
        <v>28.889002721419569</v>
      </c>
    </row>
    <row r="7" spans="1:9" x14ac:dyDescent="0.3">
      <c r="A7" t="s">
        <v>56</v>
      </c>
      <c r="B7">
        <v>19.505747112645281</v>
      </c>
      <c r="C7">
        <v>11.859791176522183</v>
      </c>
      <c r="D7">
        <f t="shared" si="0"/>
        <v>12.633322791970372</v>
      </c>
      <c r="E7">
        <v>11</v>
      </c>
      <c r="F7">
        <f t="shared" si="1"/>
        <v>1.6333227919703717</v>
      </c>
      <c r="H7" t="s">
        <v>15</v>
      </c>
      <c r="I7">
        <f>AVERAGE(TableBHA[DIFF])/5</f>
        <v>1.105167386427663</v>
      </c>
    </row>
    <row r="8" spans="1:9" x14ac:dyDescent="0.3">
      <c r="A8" t="s">
        <v>57</v>
      </c>
      <c r="B8">
        <v>21.352301896760448</v>
      </c>
      <c r="C8">
        <v>22.353075849828301</v>
      </c>
      <c r="D8">
        <f t="shared" si="0"/>
        <v>18.279612608336926</v>
      </c>
      <c r="E8">
        <v>14</v>
      </c>
      <c r="F8">
        <f t="shared" si="1"/>
        <v>4.2796126083369259</v>
      </c>
    </row>
    <row r="9" spans="1:9" x14ac:dyDescent="0.3">
      <c r="A9" t="s">
        <v>58</v>
      </c>
      <c r="B9">
        <v>21.22647553827866</v>
      </c>
      <c r="C9">
        <v>27.92989451279254</v>
      </c>
      <c r="D9">
        <f t="shared" si="0"/>
        <v>20.883034467879313</v>
      </c>
      <c r="E9">
        <v>17</v>
      </c>
      <c r="F9">
        <f t="shared" si="1"/>
        <v>3.8830344678793125</v>
      </c>
    </row>
    <row r="10" spans="1:9" x14ac:dyDescent="0.3">
      <c r="A10" t="s">
        <v>59</v>
      </c>
      <c r="B10">
        <v>20.982864893029557</v>
      </c>
      <c r="C10">
        <v>23.740035431998962</v>
      </c>
      <c r="D10">
        <f t="shared" si="0"/>
        <v>18.805722993580936</v>
      </c>
      <c r="E10">
        <v>21</v>
      </c>
      <c r="F10">
        <f t="shared" si="1"/>
        <v>2.194277006419064</v>
      </c>
    </row>
    <row r="11" spans="1:9" x14ac:dyDescent="0.3">
      <c r="A11" t="s">
        <v>60</v>
      </c>
      <c r="B11">
        <v>13.813253752614729</v>
      </c>
      <c r="C11">
        <v>21.94881992378896</v>
      </c>
      <c r="D11">
        <f t="shared" si="0"/>
        <v>15.381788725535571</v>
      </c>
      <c r="E11">
        <v>17</v>
      </c>
      <c r="F11">
        <f t="shared" si="1"/>
        <v>1.6182112744644286</v>
      </c>
    </row>
    <row r="12" spans="1:9" x14ac:dyDescent="0.3">
      <c r="A12" t="s">
        <v>61</v>
      </c>
      <c r="B12">
        <v>17.194130836563403</v>
      </c>
      <c r="C12">
        <v>23.401235570991048</v>
      </c>
      <c r="D12">
        <f t="shared" si="0"/>
        <v>17.285007234932646</v>
      </c>
      <c r="E12">
        <v>10</v>
      </c>
      <c r="F12">
        <f t="shared" si="1"/>
        <v>7.285007234932646</v>
      </c>
    </row>
    <row r="13" spans="1:9" x14ac:dyDescent="0.3">
      <c r="A13" t="s">
        <v>62</v>
      </c>
      <c r="B13">
        <v>12.499999985098839</v>
      </c>
      <c r="C13">
        <v>26.009858248614623</v>
      </c>
      <c r="D13">
        <f t="shared" si="0"/>
        <v>16.839147175605273</v>
      </c>
      <c r="E13">
        <v>12</v>
      </c>
      <c r="F13">
        <f t="shared" si="1"/>
        <v>4.8391471756052731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63</v>
      </c>
      <c r="B2">
        <v>15.386641004663996</v>
      </c>
      <c r="C2">
        <v>18.847602459181328</v>
      </c>
      <c r="D2">
        <f t="shared" ref="D2:D12" si="0">B2*$I$2+C2*$I$3</f>
        <v>12.363403750441886</v>
      </c>
      <c r="E2">
        <v>12</v>
      </c>
      <c r="F2">
        <f t="shared" ref="F2:F12" si="1">ABS(D2-E2)</f>
        <v>0.36340375044188633</v>
      </c>
      <c r="H2" t="s">
        <v>7</v>
      </c>
      <c r="I2">
        <v>0.3890130250044912</v>
      </c>
    </row>
    <row r="3" spans="1:9" x14ac:dyDescent="0.3">
      <c r="A3" t="s">
        <v>64</v>
      </c>
      <c r="B3">
        <v>18.712314695101316</v>
      </c>
      <c r="C3">
        <v>20.986079908719457</v>
      </c>
      <c r="D3">
        <f t="shared" si="0"/>
        <v>14.380768955070589</v>
      </c>
      <c r="E3">
        <v>19</v>
      </c>
      <c r="F3">
        <f t="shared" si="1"/>
        <v>4.6192310449294105</v>
      </c>
      <c r="H3" t="s">
        <v>9</v>
      </c>
      <c r="I3">
        <v>0.3383878666993293</v>
      </c>
    </row>
    <row r="4" spans="1:9" x14ac:dyDescent="0.3">
      <c r="A4" t="s">
        <v>65</v>
      </c>
      <c r="B4">
        <v>14.116856501820624</v>
      </c>
      <c r="C4">
        <v>15.15874660031456</v>
      </c>
      <c r="D4">
        <f t="shared" si="0"/>
        <v>10.621176975243714</v>
      </c>
      <c r="E4">
        <v>10</v>
      </c>
      <c r="F4">
        <f t="shared" si="1"/>
        <v>0.62117697524371351</v>
      </c>
    </row>
    <row r="5" spans="1:9" x14ac:dyDescent="0.3">
      <c r="A5" t="s">
        <v>66</v>
      </c>
      <c r="B5">
        <v>14.600000086876497</v>
      </c>
      <c r="C5">
        <v>32.877396338020148</v>
      </c>
      <c r="D5">
        <f t="shared" si="0"/>
        <v>16.80490220831264</v>
      </c>
      <c r="E5">
        <v>20</v>
      </c>
      <c r="F5">
        <f t="shared" si="1"/>
        <v>3.1950977916873597</v>
      </c>
      <c r="H5" t="s">
        <v>12</v>
      </c>
      <c r="I5" cm="1">
        <f t="array" ref="I5">(SUM(TableCHE[PP]-TableCHE[AP]))^2</f>
        <v>1.2621774483536189E-29</v>
      </c>
    </row>
    <row r="6" spans="1:9" x14ac:dyDescent="0.3">
      <c r="A6" t="s">
        <v>67</v>
      </c>
      <c r="B6">
        <v>26.531651849120351</v>
      </c>
      <c r="C6">
        <v>26.289017470994786</v>
      </c>
      <c r="D6">
        <f t="shared" si="0"/>
        <v>19.217042683823635</v>
      </c>
      <c r="E6">
        <v>21</v>
      </c>
      <c r="F6">
        <f t="shared" si="1"/>
        <v>1.7829573161763648</v>
      </c>
    </row>
    <row r="7" spans="1:9" x14ac:dyDescent="0.3">
      <c r="A7" t="s">
        <v>68</v>
      </c>
      <c r="B7">
        <v>16.71875</v>
      </c>
      <c r="C7">
        <v>23.100347399101302</v>
      </c>
      <c r="D7">
        <f t="shared" si="0"/>
        <v>14.320688788189127</v>
      </c>
      <c r="E7">
        <v>23</v>
      </c>
      <c r="F7">
        <f t="shared" si="1"/>
        <v>8.6793112118108731</v>
      </c>
      <c r="H7" t="s">
        <v>15</v>
      </c>
      <c r="I7">
        <f>AVERAGE(TableCHE[DIFF])/5</f>
        <v>0.91324357394086797</v>
      </c>
    </row>
    <row r="8" spans="1:9" x14ac:dyDescent="0.3">
      <c r="A8" t="s">
        <v>69</v>
      </c>
      <c r="B8">
        <v>19.812499975271564</v>
      </c>
      <c r="C8">
        <v>23.997471197989849</v>
      </c>
      <c r="D8">
        <f t="shared" si="0"/>
        <v>15.827773633148182</v>
      </c>
      <c r="E8">
        <v>12</v>
      </c>
      <c r="F8">
        <f t="shared" si="1"/>
        <v>3.8277736331481815</v>
      </c>
    </row>
    <row r="9" spans="1:9" x14ac:dyDescent="0.3">
      <c r="A9" t="s">
        <v>70</v>
      </c>
      <c r="B9">
        <v>19.79777136139688</v>
      </c>
      <c r="C9">
        <v>13.23303535954879</v>
      </c>
      <c r="D9">
        <f t="shared" si="0"/>
        <v>12.17948953091879</v>
      </c>
      <c r="E9">
        <v>10</v>
      </c>
      <c r="F9">
        <f t="shared" si="1"/>
        <v>2.1794895309187901</v>
      </c>
    </row>
    <row r="10" spans="1:9" x14ac:dyDescent="0.3">
      <c r="A10" t="s">
        <v>71</v>
      </c>
      <c r="B10">
        <v>16.503215671974086</v>
      </c>
      <c r="C10">
        <v>4.9481696349441719</v>
      </c>
      <c r="D10">
        <f t="shared" si="0"/>
        <v>8.0943664176913241</v>
      </c>
      <c r="E10">
        <v>10</v>
      </c>
      <c r="F10">
        <f t="shared" si="1"/>
        <v>1.9056335823086759</v>
      </c>
    </row>
    <row r="11" spans="1:9" x14ac:dyDescent="0.3">
      <c r="A11" t="s">
        <v>72</v>
      </c>
      <c r="B11">
        <v>79.070825409892166</v>
      </c>
      <c r="C11">
        <v>15.848007387576317</v>
      </c>
      <c r="D11">
        <f t="shared" si="0"/>
        <v>36.122354393621301</v>
      </c>
      <c r="E11">
        <v>18</v>
      </c>
      <c r="F11">
        <f t="shared" si="1"/>
        <v>18.122354393621301</v>
      </c>
    </row>
    <row r="12" spans="1:9" x14ac:dyDescent="0.3">
      <c r="A12" t="s">
        <v>73</v>
      </c>
      <c r="B12">
        <v>13.372220322026923</v>
      </c>
      <c r="C12">
        <v>26.20089446918152</v>
      </c>
      <c r="D12">
        <f t="shared" si="0"/>
        <v>14.068032663538816</v>
      </c>
      <c r="E12">
        <v>19</v>
      </c>
      <c r="F12">
        <f t="shared" si="1"/>
        <v>4.9319673364611845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74</v>
      </c>
      <c r="B2">
        <v>17.639919533659555</v>
      </c>
      <c r="C2">
        <v>22.325901646157799</v>
      </c>
      <c r="D2">
        <f t="shared" ref="D2:D10" si="0">B2*$I$2+C2*$I$3</f>
        <v>14.437994637490885</v>
      </c>
      <c r="E2">
        <v>15</v>
      </c>
      <c r="F2">
        <f t="shared" ref="F2:F10" si="1">ABS(D2-E2)</f>
        <v>0.56200536250911526</v>
      </c>
      <c r="H2" t="s">
        <v>7</v>
      </c>
      <c r="I2">
        <v>0.33544156260318642</v>
      </c>
    </row>
    <row r="3" spans="1:9" x14ac:dyDescent="0.3">
      <c r="A3" t="s">
        <v>75</v>
      </c>
      <c r="B3">
        <v>11.651153413574002</v>
      </c>
      <c r="C3">
        <v>19.869872697651157</v>
      </c>
      <c r="D3">
        <f t="shared" si="0"/>
        <v>11.491753391498438</v>
      </c>
      <c r="E3">
        <v>12</v>
      </c>
      <c r="F3">
        <f t="shared" si="1"/>
        <v>0.50824660850156178</v>
      </c>
      <c r="H3" t="s">
        <v>9</v>
      </c>
      <c r="I3">
        <v>0.38165681278955443</v>
      </c>
    </row>
    <row r="4" spans="1:9" x14ac:dyDescent="0.3">
      <c r="A4" t="s">
        <v>76</v>
      </c>
      <c r="B4">
        <v>16.225980822099416</v>
      </c>
      <c r="C4">
        <v>13.75301991551536</v>
      </c>
      <c r="D4">
        <f t="shared" si="0"/>
        <v>10.691802108921223</v>
      </c>
      <c r="E4">
        <v>16</v>
      </c>
      <c r="F4">
        <f t="shared" si="1"/>
        <v>5.3081978910787768</v>
      </c>
    </row>
    <row r="5" spans="1:9" x14ac:dyDescent="0.3">
      <c r="A5" t="s">
        <v>77</v>
      </c>
      <c r="B5">
        <v>13.16050275253774</v>
      </c>
      <c r="C5">
        <v>13.582766338666517</v>
      </c>
      <c r="D5">
        <f t="shared" si="0"/>
        <v>9.5985349176355044</v>
      </c>
      <c r="E5">
        <v>11</v>
      </c>
      <c r="F5">
        <f t="shared" si="1"/>
        <v>1.4014650823644956</v>
      </c>
      <c r="H5" t="s">
        <v>12</v>
      </c>
      <c r="I5" cm="1">
        <f t="array" ref="I5">(SUM(TableCRY[PP]-TableCRY[AP]))^2</f>
        <v>3.1554436208840472E-30</v>
      </c>
    </row>
    <row r="6" spans="1:9" x14ac:dyDescent="0.3">
      <c r="A6" t="s">
        <v>78</v>
      </c>
      <c r="B6">
        <v>15.524584031519231</v>
      </c>
      <c r="C6">
        <v>21.322365725938408</v>
      </c>
      <c r="D6">
        <f t="shared" si="0"/>
        <v>13.345416870392175</v>
      </c>
      <c r="E6">
        <v>11</v>
      </c>
      <c r="F6">
        <f t="shared" si="1"/>
        <v>2.3454168703921745</v>
      </c>
    </row>
    <row r="7" spans="1:9" x14ac:dyDescent="0.3">
      <c r="A7" t="s">
        <v>79</v>
      </c>
      <c r="B7">
        <v>14.951075306943505</v>
      </c>
      <c r="C7">
        <v>14.592817312321653</v>
      </c>
      <c r="D7">
        <f t="shared" si="0"/>
        <v>10.584660208599958</v>
      </c>
      <c r="E7">
        <v>11</v>
      </c>
      <c r="F7">
        <f t="shared" si="1"/>
        <v>0.41533979140004185</v>
      </c>
      <c r="H7" t="s">
        <v>15</v>
      </c>
      <c r="I7">
        <f>AVERAGE(TableCRY[DIFF])/5</f>
        <v>0.36423354381573286</v>
      </c>
    </row>
    <row r="8" spans="1:9" x14ac:dyDescent="0.3">
      <c r="A8" t="s">
        <v>80</v>
      </c>
      <c r="B8">
        <v>17.321428571428573</v>
      </c>
      <c r="C8">
        <v>26.316564191136681</v>
      </c>
      <c r="D8">
        <f t="shared" si="0"/>
        <v>15.854223079280423</v>
      </c>
      <c r="E8">
        <v>14</v>
      </c>
      <c r="F8">
        <f t="shared" si="1"/>
        <v>1.8542230792804233</v>
      </c>
    </row>
    <row r="9" spans="1:9" x14ac:dyDescent="0.3">
      <c r="A9" t="s">
        <v>81</v>
      </c>
      <c r="B9">
        <v>17.88488857746772</v>
      </c>
      <c r="C9">
        <v>15.887597422610842</v>
      </c>
      <c r="D9">
        <f t="shared" si="0"/>
        <v>12.062944766606845</v>
      </c>
      <c r="E9">
        <v>12</v>
      </c>
      <c r="F9">
        <f t="shared" si="1"/>
        <v>6.2944766606845448E-2</v>
      </c>
    </row>
    <row r="10" spans="1:9" x14ac:dyDescent="0.3">
      <c r="A10" t="s">
        <v>82</v>
      </c>
      <c r="B10">
        <v>22.45454543672885</v>
      </c>
      <c r="C10">
        <v>19.390410344422694</v>
      </c>
      <c r="D10">
        <f t="shared" si="0"/>
        <v>14.932670019574546</v>
      </c>
      <c r="E10">
        <v>11</v>
      </c>
      <c r="F10">
        <f t="shared" si="1"/>
        <v>3.9326700195745463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83</v>
      </c>
      <c r="B2">
        <v>13.077274188680697</v>
      </c>
      <c r="C2">
        <v>22.961154846983678</v>
      </c>
      <c r="D2">
        <f>B2*$I$2+C2*$I$3</f>
        <v>18.626154452433244</v>
      </c>
      <c r="E2">
        <v>12</v>
      </c>
      <c r="F2">
        <f>ABS(D2-E2)</f>
        <v>6.6261544524332443</v>
      </c>
      <c r="H2" t="s">
        <v>7</v>
      </c>
      <c r="I2">
        <v>0.4895461678205224</v>
      </c>
    </row>
    <row r="3" spans="1:9" x14ac:dyDescent="0.3">
      <c r="A3" t="s">
        <v>84</v>
      </c>
      <c r="B3">
        <v>13.75</v>
      </c>
      <c r="C3">
        <v>10.796290043129169</v>
      </c>
      <c r="D3">
        <f>B3*$I$2+C3*$I$3</f>
        <v>12.479066457526443</v>
      </c>
      <c r="E3">
        <v>20</v>
      </c>
      <c r="F3">
        <f>ABS(D3-E3)</f>
        <v>7.5209335424735571</v>
      </c>
      <c r="H3" t="s">
        <v>9</v>
      </c>
      <c r="I3">
        <v>0.53238720218082713</v>
      </c>
    </row>
    <row r="4" spans="1:9" x14ac:dyDescent="0.3">
      <c r="A4" t="s">
        <v>85</v>
      </c>
      <c r="B4">
        <v>22.820969808267133</v>
      </c>
      <c r="C4">
        <v>14.470719177163019</v>
      </c>
      <c r="D4">
        <f>B4*$I$2+C4*$I$3</f>
        <v>18.875944011859279</v>
      </c>
      <c r="E4">
        <v>24</v>
      </c>
      <c r="F4">
        <f>ABS(D4-E4)</f>
        <v>5.1240559881407215</v>
      </c>
    </row>
    <row r="5" spans="1:9" x14ac:dyDescent="0.3">
      <c r="A5" t="s">
        <v>86</v>
      </c>
      <c r="B5">
        <v>12.266666575559022</v>
      </c>
      <c r="C5">
        <v>19.821017670307434</v>
      </c>
      <c r="D5">
        <f>B5*$I$2+C5*$I$3</f>
        <v>16.557555755868719</v>
      </c>
      <c r="E5">
        <v>16</v>
      </c>
      <c r="F5">
        <f>ABS(D5-E5)</f>
        <v>0.55755575586871942</v>
      </c>
      <c r="H5" t="s">
        <v>12</v>
      </c>
      <c r="I5" cm="1">
        <f t="array" ref="I5">(SUM(TableEVE[PP]-TableEVE[AP]))^2</f>
        <v>3.1554436208840472E-30</v>
      </c>
    </row>
    <row r="6" spans="1:9" x14ac:dyDescent="0.3">
      <c r="A6" t="s">
        <v>87</v>
      </c>
      <c r="B6">
        <v>14.826498543031535</v>
      </c>
      <c r="C6">
        <v>15.408003319336892</v>
      </c>
      <c r="D6">
        <f>B6*$I$2+C6*$I$3</f>
        <v>15.461279322312313</v>
      </c>
      <c r="E6">
        <v>10</v>
      </c>
      <c r="F6">
        <f>ABS(D6-E6)</f>
        <v>5.4612793223123131</v>
      </c>
    </row>
    <row r="7" spans="1:9" x14ac:dyDescent="0.3">
      <c r="H7" t="s">
        <v>15</v>
      </c>
      <c r="I7">
        <f>AVERAGE(TableEVE[DIFF])/5</f>
        <v>1.0115991624491423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88</v>
      </c>
      <c r="B2">
        <v>9.5744680653896772</v>
      </c>
      <c r="C2">
        <v>8.8343741448402842</v>
      </c>
      <c r="D2">
        <f t="shared" ref="D2:D10" si="0">B2*$I$2+C2*$I$3</f>
        <v>9.9624210867755103</v>
      </c>
      <c r="E2">
        <v>20</v>
      </c>
      <c r="F2">
        <f t="shared" ref="F2:F10" si="1">ABS(D2-E2)</f>
        <v>10.03757891322449</v>
      </c>
      <c r="H2" t="s">
        <v>7</v>
      </c>
      <c r="I2">
        <v>0.5174766522151768</v>
      </c>
    </row>
    <row r="3" spans="1:9" x14ac:dyDescent="0.3">
      <c r="A3" t="s">
        <v>89</v>
      </c>
      <c r="B3">
        <v>7.7977834445340219</v>
      </c>
      <c r="C3">
        <v>22.447890154864879</v>
      </c>
      <c r="D3">
        <f t="shared" si="0"/>
        <v>16.759992246366856</v>
      </c>
      <c r="E3">
        <v>17</v>
      </c>
      <c r="F3">
        <f t="shared" si="1"/>
        <v>0.24000775363314375</v>
      </c>
      <c r="H3" t="s">
        <v>9</v>
      </c>
      <c r="I3">
        <v>0.56686046158474945</v>
      </c>
    </row>
    <row r="4" spans="1:9" x14ac:dyDescent="0.3">
      <c r="A4" t="s">
        <v>90</v>
      </c>
      <c r="B4">
        <v>16.087911467689352</v>
      </c>
      <c r="C4">
        <v>16.001469057837525</v>
      </c>
      <c r="D4">
        <f t="shared" si="0"/>
        <v>17.395718703593904</v>
      </c>
      <c r="E4">
        <v>16</v>
      </c>
      <c r="F4">
        <f t="shared" si="1"/>
        <v>1.3957187035939036</v>
      </c>
    </row>
    <row r="5" spans="1:9" x14ac:dyDescent="0.3">
      <c r="A5" t="s">
        <v>91</v>
      </c>
      <c r="B5">
        <v>16.486486485398409</v>
      </c>
      <c r="C5">
        <v>25.238565157430827</v>
      </c>
      <c r="D5">
        <f t="shared" si="0"/>
        <v>22.838116528132737</v>
      </c>
      <c r="E5">
        <v>21</v>
      </c>
      <c r="F5">
        <f t="shared" si="1"/>
        <v>1.838116528132737</v>
      </c>
      <c r="H5" t="s">
        <v>12</v>
      </c>
      <c r="I5" cm="1">
        <f t="array" ref="I5">(SUM(TableFUL[PP]-TableFUL[AP]))^2</f>
        <v>7.8886090522101181E-29</v>
      </c>
    </row>
    <row r="6" spans="1:9" x14ac:dyDescent="0.3">
      <c r="A6" t="s">
        <v>92</v>
      </c>
      <c r="B6">
        <v>12.317073140486777</v>
      </c>
      <c r="C6">
        <v>13.763471872788251</v>
      </c>
      <c r="D6">
        <f t="shared" si="0"/>
        <v>14.175765792646036</v>
      </c>
      <c r="E6">
        <v>10</v>
      </c>
      <c r="F6">
        <f t="shared" si="1"/>
        <v>4.1757657926460361</v>
      </c>
    </row>
    <row r="7" spans="1:9" x14ac:dyDescent="0.3">
      <c r="A7" t="s">
        <v>93</v>
      </c>
      <c r="B7">
        <v>18.07142853778079</v>
      </c>
      <c r="C7">
        <v>10.654975548130164</v>
      </c>
      <c r="D7">
        <f t="shared" si="0"/>
        <v>15.391426697863894</v>
      </c>
      <c r="E7">
        <v>15</v>
      </c>
      <c r="F7">
        <f t="shared" si="1"/>
        <v>0.39142669786389384</v>
      </c>
      <c r="H7" t="s">
        <v>15</v>
      </c>
      <c r="I7">
        <f>AVERAGE(TableFUL[DIFF])/5</f>
        <v>0.61795840266520474</v>
      </c>
    </row>
    <row r="8" spans="1:9" x14ac:dyDescent="0.3">
      <c r="A8" t="s">
        <v>94</v>
      </c>
      <c r="B8">
        <v>9.6368403490846255</v>
      </c>
      <c r="C8">
        <v>9.2062706960279073</v>
      </c>
      <c r="D8">
        <f t="shared" si="0"/>
        <v>10.205510738000982</v>
      </c>
      <c r="E8">
        <v>10</v>
      </c>
      <c r="F8">
        <f t="shared" si="1"/>
        <v>0.20551073800098152</v>
      </c>
    </row>
    <row r="9" spans="1:9" x14ac:dyDescent="0.3">
      <c r="A9" t="s">
        <v>95</v>
      </c>
      <c r="B9">
        <v>15.44615369739879</v>
      </c>
      <c r="C9">
        <v>13.019956765596518</v>
      </c>
      <c r="D9">
        <f t="shared" si="0"/>
        <v>15.373522606890525</v>
      </c>
      <c r="E9">
        <v>19</v>
      </c>
      <c r="F9">
        <f t="shared" si="1"/>
        <v>3.6264773931094751</v>
      </c>
    </row>
    <row r="10" spans="1:9" x14ac:dyDescent="0.3">
      <c r="A10" t="s">
        <v>96</v>
      </c>
      <c r="B10">
        <v>21.071428544909558</v>
      </c>
      <c r="C10">
        <v>19.393755684042929</v>
      </c>
      <c r="D10">
        <f t="shared" si="0"/>
        <v>21.897525599729548</v>
      </c>
      <c r="E10">
        <v>16</v>
      </c>
      <c r="F10">
        <f t="shared" si="1"/>
        <v>5.8975255997295477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97</v>
      </c>
      <c r="B2">
        <v>18.22570466373995</v>
      </c>
      <c r="C2">
        <v>26.874746329828767</v>
      </c>
      <c r="D2">
        <f t="shared" ref="D2:D10" si="0">B2*$I$2+C2*$I$3</f>
        <v>20.633428419607334</v>
      </c>
      <c r="E2">
        <v>26</v>
      </c>
      <c r="F2">
        <f t="shared" ref="F2:F10" si="1">ABS(D2-E2)</f>
        <v>5.3665715803926659</v>
      </c>
      <c r="H2" t="s">
        <v>7</v>
      </c>
      <c r="I2">
        <v>0.4994122333938798</v>
      </c>
    </row>
    <row r="3" spans="1:9" x14ac:dyDescent="0.3">
      <c r="A3" t="s">
        <v>98</v>
      </c>
      <c r="B3">
        <v>21.579414645364164</v>
      </c>
      <c r="C3">
        <v>9.3906254133345772</v>
      </c>
      <c r="D3">
        <f t="shared" si="0"/>
        <v>14.806308627082814</v>
      </c>
      <c r="E3">
        <v>12</v>
      </c>
      <c r="F3">
        <f t="shared" si="1"/>
        <v>2.8063086270828137</v>
      </c>
      <c r="H3" t="s">
        <v>9</v>
      </c>
      <c r="I3">
        <v>0.42907525179178824</v>
      </c>
    </row>
    <row r="4" spans="1:9" x14ac:dyDescent="0.3">
      <c r="A4" t="s">
        <v>99</v>
      </c>
      <c r="B4">
        <v>50.061954903937973</v>
      </c>
      <c r="C4">
        <v>19.346311766004273</v>
      </c>
      <c r="D4">
        <f t="shared" si="0"/>
        <v>33.302576298880076</v>
      </c>
      <c r="E4">
        <v>12</v>
      </c>
      <c r="F4">
        <f t="shared" si="1"/>
        <v>21.302576298880076</v>
      </c>
    </row>
    <row r="5" spans="1:9" x14ac:dyDescent="0.3">
      <c r="A5" t="s">
        <v>100</v>
      </c>
      <c r="B5">
        <v>11.302081912126683</v>
      </c>
      <c r="C5">
        <v>14.961069271995276</v>
      </c>
      <c r="D5">
        <f t="shared" si="0"/>
        <v>12.063822534691518</v>
      </c>
      <c r="E5">
        <v>14</v>
      </c>
      <c r="F5">
        <f t="shared" si="1"/>
        <v>1.9361774653084822</v>
      </c>
      <c r="H5" t="s">
        <v>12</v>
      </c>
      <c r="I5" cm="1">
        <f t="array" ref="I5">(SUM(TableLEE[PP]-TableLEE[AP]))^2</f>
        <v>1.2621774483536189E-29</v>
      </c>
    </row>
    <row r="6" spans="1:9" x14ac:dyDescent="0.3">
      <c r="A6" t="s">
        <v>101</v>
      </c>
      <c r="B6">
        <v>8.7588023519762572</v>
      </c>
      <c r="C6">
        <v>15.923008677049872</v>
      </c>
      <c r="D6">
        <f t="shared" si="0"/>
        <v>11.206422001844032</v>
      </c>
      <c r="E6">
        <v>16</v>
      </c>
      <c r="F6">
        <f t="shared" si="1"/>
        <v>4.7935779981559676</v>
      </c>
    </row>
    <row r="7" spans="1:9" x14ac:dyDescent="0.3">
      <c r="A7" t="s">
        <v>102</v>
      </c>
      <c r="B7">
        <v>17.962962907238762</v>
      </c>
      <c r="C7">
        <v>15.642836322191055</v>
      </c>
      <c r="D7">
        <f t="shared" si="0"/>
        <v>15.682877357557388</v>
      </c>
      <c r="E7">
        <v>14</v>
      </c>
      <c r="F7">
        <f t="shared" si="1"/>
        <v>1.6828773575573877</v>
      </c>
      <c r="H7" t="s">
        <v>15</v>
      </c>
      <c r="I7">
        <f>AVERAGE(TableLEE[DIFF])/5</f>
        <v>1.4137901470471896</v>
      </c>
    </row>
    <row r="8" spans="1:9" x14ac:dyDescent="0.3">
      <c r="A8" t="s">
        <v>103</v>
      </c>
      <c r="B8">
        <v>11.974783898787896</v>
      </c>
      <c r="C8">
        <v>14.696012267453014</v>
      </c>
      <c r="D8">
        <f t="shared" si="0"/>
        <v>12.286048735295346</v>
      </c>
      <c r="E8">
        <v>32</v>
      </c>
      <c r="F8">
        <f t="shared" si="1"/>
        <v>19.713951264704654</v>
      </c>
    </row>
    <row r="9" spans="1:9" x14ac:dyDescent="0.3">
      <c r="A9" t="s">
        <v>104</v>
      </c>
      <c r="B9">
        <v>12.703296547931583</v>
      </c>
      <c r="C9">
        <v>14.069758466817854</v>
      </c>
      <c r="D9">
        <f t="shared" si="0"/>
        <v>12.381166857266791</v>
      </c>
      <c r="E9">
        <v>10</v>
      </c>
      <c r="F9">
        <f t="shared" si="1"/>
        <v>2.3811668572667912</v>
      </c>
    </row>
    <row r="10" spans="1:9" x14ac:dyDescent="0.3">
      <c r="A10" t="s">
        <v>105</v>
      </c>
      <c r="B10">
        <v>20.230769230769234</v>
      </c>
      <c r="C10">
        <v>17.558354837523716</v>
      </c>
      <c r="D10">
        <f t="shared" si="0"/>
        <v>17.637349167774698</v>
      </c>
      <c r="E10">
        <v>14</v>
      </c>
      <c r="F10">
        <f t="shared" si="1"/>
        <v>3.6373491677746976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106</v>
      </c>
      <c r="B2">
        <v>27.291956098340897</v>
      </c>
      <c r="C2">
        <v>24.317423435150079</v>
      </c>
      <c r="D2">
        <f t="shared" ref="D2:D8" si="0">B2*$I$2+C2*$I$3</f>
        <v>22.427202284168757</v>
      </c>
      <c r="E2">
        <v>19</v>
      </c>
      <c r="F2">
        <f t="shared" ref="F2:F8" si="1">ABS(D2-E2)</f>
        <v>3.4272022841687573</v>
      </c>
      <c r="H2" t="s">
        <v>7</v>
      </c>
      <c r="I2">
        <v>0.3888540316907888</v>
      </c>
    </row>
    <row r="3" spans="1:9" x14ac:dyDescent="0.3">
      <c r="A3" t="s">
        <v>107</v>
      </c>
      <c r="B3">
        <v>10.99999999950488</v>
      </c>
      <c r="C3">
        <v>19.799276379659858</v>
      </c>
      <c r="D3">
        <f t="shared" si="0"/>
        <v>13.896868663006378</v>
      </c>
      <c r="E3">
        <v>11</v>
      </c>
      <c r="F3">
        <f t="shared" si="1"/>
        <v>2.8968686630063782</v>
      </c>
      <c r="H3" t="s">
        <v>9</v>
      </c>
      <c r="I3">
        <v>0.48584979219152091</v>
      </c>
    </row>
    <row r="4" spans="1:9" x14ac:dyDescent="0.3">
      <c r="A4" t="s">
        <v>108</v>
      </c>
      <c r="B4">
        <v>18.445461330003806</v>
      </c>
      <c r="C4">
        <v>31.370387662350829</v>
      </c>
      <c r="D4">
        <f t="shared" si="0"/>
        <v>22.413888331289122</v>
      </c>
      <c r="E4">
        <v>10</v>
      </c>
      <c r="F4">
        <f t="shared" si="1"/>
        <v>12.413888331289122</v>
      </c>
    </row>
    <row r="5" spans="1:9" x14ac:dyDescent="0.3">
      <c r="A5" t="s">
        <v>109</v>
      </c>
      <c r="B5">
        <v>23.57686067146053</v>
      </c>
      <c r="C5">
        <v>44.551943055679359</v>
      </c>
      <c r="D5">
        <f t="shared" si="0"/>
        <v>30.813509602039716</v>
      </c>
      <c r="E5">
        <v>29</v>
      </c>
      <c r="F5">
        <f t="shared" si="1"/>
        <v>1.8135096020397157</v>
      </c>
      <c r="H5" t="s">
        <v>12</v>
      </c>
      <c r="I5" cm="1">
        <f t="array" ref="I5">(SUM(TableLEI[PP]-TableLEI[AP]))^2</f>
        <v>1.2621774483536189E-29</v>
      </c>
    </row>
    <row r="6" spans="1:9" x14ac:dyDescent="0.3">
      <c r="A6" t="s">
        <v>110</v>
      </c>
      <c r="B6">
        <v>13.047806336264898</v>
      </c>
      <c r="C6">
        <v>12.50532440633912</v>
      </c>
      <c r="D6">
        <f t="shared" si="0"/>
        <v>11.149401362684642</v>
      </c>
      <c r="E6">
        <v>18</v>
      </c>
      <c r="F6">
        <f t="shared" si="1"/>
        <v>6.8505986373153576</v>
      </c>
    </row>
    <row r="7" spans="1:9" x14ac:dyDescent="0.3">
      <c r="A7" t="s">
        <v>111</v>
      </c>
      <c r="B7">
        <v>20.165619601231771</v>
      </c>
      <c r="C7">
        <v>18.97160755009601</v>
      </c>
      <c r="D7">
        <f t="shared" si="0"/>
        <v>17.058834069235004</v>
      </c>
      <c r="E7">
        <v>28</v>
      </c>
      <c r="F7">
        <f t="shared" si="1"/>
        <v>10.941165930764996</v>
      </c>
      <c r="H7" t="s">
        <v>15</v>
      </c>
      <c r="I7">
        <f>AVERAGE(TableLEI[DIFF])/5</f>
        <v>1.1743696503145129</v>
      </c>
    </row>
    <row r="8" spans="1:9" x14ac:dyDescent="0.3">
      <c r="A8" t="s">
        <v>112</v>
      </c>
      <c r="B8">
        <v>15</v>
      </c>
      <c r="C8">
        <v>9.0717034010320781</v>
      </c>
      <c r="D8">
        <f t="shared" si="0"/>
        <v>10.240295687576381</v>
      </c>
      <c r="E8">
        <v>13</v>
      </c>
      <c r="F8">
        <f t="shared" si="1"/>
        <v>2.7597043124236187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113</v>
      </c>
      <c r="B2">
        <v>20.999999998738133</v>
      </c>
      <c r="C2">
        <v>34.563933706182517</v>
      </c>
      <c r="D2">
        <f t="shared" ref="D2:D10" si="0">B2*$I$2+C2*$I$3</f>
        <v>17.470341323413663</v>
      </c>
      <c r="E2">
        <v>14</v>
      </c>
      <c r="F2">
        <f t="shared" ref="F2:F10" si="1">ABS(D2-E2)</f>
        <v>3.4703413234136633</v>
      </c>
      <c r="H2" t="s">
        <v>7</v>
      </c>
      <c r="I2">
        <v>0.35258324198575786</v>
      </c>
    </row>
    <row r="3" spans="1:9" x14ac:dyDescent="0.3">
      <c r="A3" t="s">
        <v>114</v>
      </c>
      <c r="B3">
        <v>55.363784789180905</v>
      </c>
      <c r="C3">
        <v>24.182863090120929</v>
      </c>
      <c r="D3">
        <f t="shared" si="0"/>
        <v>26.56314511418368</v>
      </c>
      <c r="E3">
        <v>15</v>
      </c>
      <c r="F3">
        <f t="shared" si="1"/>
        <v>11.56314511418368</v>
      </c>
      <c r="H3" t="s">
        <v>9</v>
      </c>
      <c r="I3">
        <v>0.29123112339372187</v>
      </c>
    </row>
    <row r="4" spans="1:9" x14ac:dyDescent="0.3">
      <c r="A4" t="s">
        <v>115</v>
      </c>
      <c r="B4">
        <v>22.070305815593475</v>
      </c>
      <c r="C4">
        <v>34.327450002138036</v>
      </c>
      <c r="D4">
        <f t="shared" si="0"/>
        <v>17.778841803443555</v>
      </c>
      <c r="E4">
        <v>12</v>
      </c>
      <c r="F4">
        <f t="shared" si="1"/>
        <v>5.7788418034435551</v>
      </c>
    </row>
    <row r="5" spans="1:9" x14ac:dyDescent="0.3">
      <c r="A5" t="s">
        <v>116</v>
      </c>
      <c r="B5">
        <v>15.181818224209415</v>
      </c>
      <c r="C5">
        <v>11.373741870106588</v>
      </c>
      <c r="D5">
        <f t="shared" si="0"/>
        <v>8.6652423107515695</v>
      </c>
      <c r="E5">
        <v>10</v>
      </c>
      <c r="F5">
        <f t="shared" si="1"/>
        <v>1.3347576892484305</v>
      </c>
      <c r="H5" t="s">
        <v>12</v>
      </c>
      <c r="I5" cm="1">
        <f t="array" ref="I5">(SUM(TableLIV[PP]-TableLIV[AP]))^2</f>
        <v>1.2621774483536189E-29</v>
      </c>
    </row>
    <row r="6" spans="1:9" x14ac:dyDescent="0.3">
      <c r="A6" t="s">
        <v>117</v>
      </c>
      <c r="B6">
        <v>50.493243242578004</v>
      </c>
      <c r="C6">
        <v>35.335348538964453</v>
      </c>
      <c r="D6">
        <f t="shared" si="0"/>
        <v>28.093824651354939</v>
      </c>
      <c r="E6">
        <v>20</v>
      </c>
      <c r="F6">
        <f t="shared" si="1"/>
        <v>8.0938246513549394</v>
      </c>
    </row>
    <row r="7" spans="1:9" x14ac:dyDescent="0.3">
      <c r="A7" t="s">
        <v>118</v>
      </c>
      <c r="B7">
        <v>51.98883010974015</v>
      </c>
      <c r="C7">
        <v>18.072829123201277</v>
      </c>
      <c r="D7">
        <f t="shared" si="0"/>
        <v>23.593760595591647</v>
      </c>
      <c r="E7">
        <v>21</v>
      </c>
      <c r="F7">
        <f t="shared" si="1"/>
        <v>2.5937605955916467</v>
      </c>
      <c r="H7" t="s">
        <v>15</v>
      </c>
      <c r="I7">
        <f>AVERAGE(TableLIV[DIFF])/5</f>
        <v>1.3999961550216662</v>
      </c>
    </row>
    <row r="8" spans="1:9" x14ac:dyDescent="0.3">
      <c r="A8" t="s">
        <v>119</v>
      </c>
      <c r="B8">
        <v>27.107142848030424</v>
      </c>
      <c r="C8">
        <v>18.726786654428036</v>
      </c>
      <c r="D8">
        <f t="shared" si="0"/>
        <v>15.011347421253252</v>
      </c>
      <c r="E8">
        <v>17</v>
      </c>
      <c r="F8">
        <f t="shared" si="1"/>
        <v>1.9886525787467484</v>
      </c>
    </row>
    <row r="9" spans="1:9" x14ac:dyDescent="0.3">
      <c r="A9" t="s">
        <v>120</v>
      </c>
      <c r="B9">
        <v>28</v>
      </c>
      <c r="C9">
        <v>22.197344756011503</v>
      </c>
      <c r="D9">
        <f t="shared" si="0"/>
        <v>16.336888425252191</v>
      </c>
      <c r="E9">
        <v>26</v>
      </c>
      <c r="F9">
        <f t="shared" si="1"/>
        <v>9.6631115747478091</v>
      </c>
    </row>
    <row r="10" spans="1:9" x14ac:dyDescent="0.3">
      <c r="A10" t="s">
        <v>121</v>
      </c>
      <c r="B10">
        <v>3.6044681433344747</v>
      </c>
      <c r="C10">
        <v>28.210354701812594</v>
      </c>
      <c r="D10">
        <f t="shared" si="0"/>
        <v>9.4866083547555</v>
      </c>
      <c r="E10">
        <v>28</v>
      </c>
      <c r="F10">
        <f t="shared" si="1"/>
        <v>18.5133916452445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122</v>
      </c>
      <c r="B2">
        <v>21.241250664838649</v>
      </c>
      <c r="C2">
        <v>19.425137362857011</v>
      </c>
      <c r="D2">
        <f t="shared" ref="D2:D12" si="0">B2*$I$2+C2*$I$3</f>
        <v>15.000126724743748</v>
      </c>
      <c r="E2">
        <v>11</v>
      </c>
      <c r="F2">
        <f t="shared" ref="F2:F12" si="1">ABS(D2-E2)</f>
        <v>4.0001267247437475</v>
      </c>
      <c r="H2" t="s">
        <v>7</v>
      </c>
      <c r="I2">
        <v>0.36066873831808277</v>
      </c>
    </row>
    <row r="3" spans="1:9" x14ac:dyDescent="0.3">
      <c r="A3" t="s">
        <v>123</v>
      </c>
      <c r="B3">
        <v>18.496544205915541</v>
      </c>
      <c r="C3">
        <v>21.437677541188016</v>
      </c>
      <c r="D3">
        <f t="shared" si="0"/>
        <v>14.770560982034599</v>
      </c>
      <c r="E3">
        <v>10</v>
      </c>
      <c r="F3">
        <f t="shared" si="1"/>
        <v>4.7705609820345991</v>
      </c>
      <c r="H3" t="s">
        <v>9</v>
      </c>
      <c r="I3">
        <v>0.37781311452609662</v>
      </c>
    </row>
    <row r="4" spans="1:9" x14ac:dyDescent="0.3">
      <c r="A4" t="s">
        <v>124</v>
      </c>
      <c r="B4">
        <v>30.34848594720647</v>
      </c>
      <c r="C4">
        <v>44.77852257989467</v>
      </c>
      <c r="D4">
        <f t="shared" si="0"/>
        <v>27.863663216230172</v>
      </c>
      <c r="E4">
        <v>13</v>
      </c>
      <c r="F4">
        <f t="shared" si="1"/>
        <v>14.863663216230172</v>
      </c>
    </row>
    <row r="5" spans="1:9" x14ac:dyDescent="0.3">
      <c r="A5" t="s">
        <v>125</v>
      </c>
      <c r="B5">
        <v>29.628375003754911</v>
      </c>
      <c r="C5">
        <v>15.698589732969491</v>
      </c>
      <c r="D5">
        <f t="shared" si="0"/>
        <v>16.617161711699911</v>
      </c>
      <c r="E5">
        <v>38</v>
      </c>
      <c r="F5">
        <f t="shared" si="1"/>
        <v>21.382838288300089</v>
      </c>
      <c r="H5" t="s">
        <v>12</v>
      </c>
      <c r="I5" cm="1">
        <f t="array" ref="I5">(SUM(TableMCI[PP]-TableMCI[AP]))^2</f>
        <v>2.0194839173657902E-28</v>
      </c>
    </row>
    <row r="6" spans="1:9" x14ac:dyDescent="0.3">
      <c r="A6" t="s">
        <v>126</v>
      </c>
      <c r="B6">
        <v>20.989010962690454</v>
      </c>
      <c r="C6">
        <v>19.200161025331788</v>
      </c>
      <c r="D6">
        <f t="shared" si="0"/>
        <v>14.82415273884115</v>
      </c>
      <c r="E6">
        <v>19</v>
      </c>
      <c r="F6">
        <f t="shared" si="1"/>
        <v>4.1758472611588502</v>
      </c>
    </row>
    <row r="7" spans="1:9" x14ac:dyDescent="0.3">
      <c r="A7" t="s">
        <v>127</v>
      </c>
      <c r="B7">
        <v>23.517346169238067</v>
      </c>
      <c r="C7">
        <v>27.310585544405651</v>
      </c>
      <c r="D7">
        <f t="shared" si="0"/>
        <v>18.800268955511982</v>
      </c>
      <c r="E7">
        <v>15</v>
      </c>
      <c r="F7">
        <f t="shared" si="1"/>
        <v>3.8002689555119815</v>
      </c>
      <c r="H7" t="s">
        <v>15</v>
      </c>
      <c r="I7">
        <f>AVERAGE(TableMCI[DIFF])/5</f>
        <v>1.5899707431581107</v>
      </c>
    </row>
    <row r="8" spans="1:9" x14ac:dyDescent="0.3">
      <c r="A8" t="s">
        <v>128</v>
      </c>
      <c r="B8">
        <v>15.46348946545883</v>
      </c>
      <c r="C8">
        <v>17.478929466853103</v>
      </c>
      <c r="D8">
        <f t="shared" si="0"/>
        <v>12.180966015955736</v>
      </c>
      <c r="E8">
        <v>15</v>
      </c>
      <c r="F8">
        <f t="shared" si="1"/>
        <v>2.819033984044264</v>
      </c>
    </row>
    <row r="9" spans="1:9" x14ac:dyDescent="0.3">
      <c r="A9" t="s">
        <v>129</v>
      </c>
      <c r="B9">
        <v>20.269775703020194</v>
      </c>
      <c r="C9">
        <v>21.323871502334693</v>
      </c>
      <c r="D9">
        <f t="shared" si="0"/>
        <v>15.367112734850169</v>
      </c>
      <c r="E9">
        <v>13</v>
      </c>
      <c r="F9">
        <f t="shared" si="1"/>
        <v>2.3671127348501688</v>
      </c>
    </row>
    <row r="10" spans="1:9" x14ac:dyDescent="0.3">
      <c r="A10" t="s">
        <v>130</v>
      </c>
      <c r="B10">
        <v>14.633027501160758</v>
      </c>
      <c r="C10">
        <v>17.843869679763941</v>
      </c>
      <c r="D10">
        <f t="shared" si="0"/>
        <v>12.019323545526856</v>
      </c>
      <c r="E10">
        <v>20</v>
      </c>
      <c r="F10">
        <f t="shared" si="1"/>
        <v>7.9806764544731443</v>
      </c>
    </row>
    <row r="11" spans="1:9" x14ac:dyDescent="0.3">
      <c r="A11" t="s">
        <v>131</v>
      </c>
      <c r="B11">
        <v>60.390126278611206</v>
      </c>
      <c r="C11">
        <v>53.311098522784967</v>
      </c>
      <c r="D11">
        <f t="shared" si="0"/>
        <v>41.922462823477375</v>
      </c>
      <c r="E11">
        <v>28</v>
      </c>
      <c r="F11">
        <f t="shared" si="1"/>
        <v>13.922462823477375</v>
      </c>
    </row>
    <row r="12" spans="1:9" x14ac:dyDescent="0.3">
      <c r="A12" t="s">
        <v>132</v>
      </c>
      <c r="B12">
        <v>12.062490285008696</v>
      </c>
      <c r="C12">
        <v>21.925224616542256</v>
      </c>
      <c r="D12">
        <f t="shared" si="0"/>
        <v>12.63420055112829</v>
      </c>
      <c r="E12">
        <v>20</v>
      </c>
      <c r="F12">
        <f t="shared" si="1"/>
        <v>7.3657994488717105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133</v>
      </c>
      <c r="B2">
        <v>24.137120699859636</v>
      </c>
      <c r="C2">
        <v>18.367811191031763</v>
      </c>
      <c r="D2">
        <f t="shared" ref="D2:D12" si="0">B2*$I$2+C2*$I$3</f>
        <v>19.702575260920234</v>
      </c>
      <c r="E2">
        <v>14</v>
      </c>
      <c r="F2">
        <f t="shared" ref="F2:F12" si="1">ABS(D2-E2)</f>
        <v>5.7025752609202343</v>
      </c>
      <c r="H2" t="s">
        <v>7</v>
      </c>
      <c r="I2">
        <v>0.40586779000008566</v>
      </c>
    </row>
    <row r="3" spans="1:9" x14ac:dyDescent="0.3">
      <c r="A3" t="s">
        <v>134</v>
      </c>
      <c r="B3">
        <v>17.788494137420599</v>
      </c>
      <c r="C3">
        <v>35.491406434523135</v>
      </c>
      <c r="D3">
        <f t="shared" si="0"/>
        <v>26.360939311087449</v>
      </c>
      <c r="E3">
        <v>28</v>
      </c>
      <c r="F3">
        <f t="shared" si="1"/>
        <v>1.6390606889125507</v>
      </c>
      <c r="H3" t="s">
        <v>9</v>
      </c>
      <c r="I3">
        <v>0.53931823027120485</v>
      </c>
    </row>
    <row r="4" spans="1:9" x14ac:dyDescent="0.3">
      <c r="A4" t="s">
        <v>135</v>
      </c>
      <c r="B4">
        <v>18.649380471243958</v>
      </c>
      <c r="C4">
        <v>10.999134212961254</v>
      </c>
      <c r="D4">
        <f t="shared" si="0"/>
        <v>13.501216434984267</v>
      </c>
      <c r="E4">
        <v>16</v>
      </c>
      <c r="F4">
        <f t="shared" si="1"/>
        <v>2.4987835650157333</v>
      </c>
    </row>
    <row r="5" spans="1:9" x14ac:dyDescent="0.3">
      <c r="A5" t="s">
        <v>136</v>
      </c>
      <c r="B5">
        <v>15.428545561540853</v>
      </c>
      <c r="C5">
        <v>25.200095774582408</v>
      </c>
      <c r="D5">
        <f t="shared" si="0"/>
        <v>19.852820745790869</v>
      </c>
      <c r="E5">
        <v>36</v>
      </c>
      <c r="F5">
        <f t="shared" si="1"/>
        <v>16.147179254209131</v>
      </c>
      <c r="H5" t="s">
        <v>12</v>
      </c>
      <c r="I5" cm="1">
        <f t="array" ref="I5">(SUM(TableMUN[PP]-TableMUN[AP]))^2</f>
        <v>1.2621774483536189E-29</v>
      </c>
    </row>
    <row r="6" spans="1:9" x14ac:dyDescent="0.3">
      <c r="A6" t="s">
        <v>137</v>
      </c>
      <c r="B6">
        <v>16.221632607424709</v>
      </c>
      <c r="C6">
        <v>36.51173914259229</v>
      </c>
      <c r="D6">
        <f t="shared" si="0"/>
        <v>26.275284715075546</v>
      </c>
      <c r="E6">
        <v>31</v>
      </c>
      <c r="F6">
        <f t="shared" si="1"/>
        <v>4.7247152849244536</v>
      </c>
    </row>
    <row r="7" spans="1:9" x14ac:dyDescent="0.3">
      <c r="A7" t="s">
        <v>138</v>
      </c>
      <c r="B7">
        <v>24.251908396946565</v>
      </c>
      <c r="C7">
        <v>31.564581983174044</v>
      </c>
      <c r="D7">
        <f t="shared" si="0"/>
        <v>26.866422958769007</v>
      </c>
      <c r="E7">
        <v>31</v>
      </c>
      <c r="F7">
        <f t="shared" si="1"/>
        <v>4.1335770412309927</v>
      </c>
      <c r="H7" t="s">
        <v>15</v>
      </c>
      <c r="I7">
        <f>AVERAGE(TableMUN[DIFF])/5</f>
        <v>1.3416337606312383</v>
      </c>
    </row>
    <row r="8" spans="1:9" x14ac:dyDescent="0.3">
      <c r="A8" t="s">
        <v>139</v>
      </c>
      <c r="B8">
        <v>19.5625</v>
      </c>
      <c r="C8">
        <v>16.597932451497869</v>
      </c>
      <c r="D8">
        <f t="shared" si="0"/>
        <v>16.891356197779505</v>
      </c>
      <c r="E8">
        <v>14</v>
      </c>
      <c r="F8">
        <f t="shared" si="1"/>
        <v>2.8913561977795048</v>
      </c>
    </row>
    <row r="9" spans="1:9" x14ac:dyDescent="0.3">
      <c r="A9" t="s">
        <v>140</v>
      </c>
      <c r="B9">
        <v>31.999999999856279</v>
      </c>
      <c r="C9">
        <v>32.092310698373332</v>
      </c>
      <c r="D9">
        <f t="shared" si="0"/>
        <v>30.29573749110477</v>
      </c>
      <c r="E9">
        <v>18</v>
      </c>
      <c r="F9">
        <f t="shared" si="1"/>
        <v>12.29573749110477</v>
      </c>
    </row>
    <row r="10" spans="1:9" x14ac:dyDescent="0.3">
      <c r="A10" t="s">
        <v>141</v>
      </c>
      <c r="B10">
        <v>26.693259106055102</v>
      </c>
      <c r="C10">
        <v>29.162253059556058</v>
      </c>
      <c r="D10">
        <f t="shared" si="0"/>
        <v>26.561668792075046</v>
      </c>
      <c r="E10">
        <v>19</v>
      </c>
      <c r="F10">
        <f t="shared" si="1"/>
        <v>7.5616687920750465</v>
      </c>
    </row>
    <row r="11" spans="1:9" x14ac:dyDescent="0.3">
      <c r="A11" t="s">
        <v>142</v>
      </c>
      <c r="B11">
        <v>22.264094084182123</v>
      </c>
      <c r="C11">
        <v>31.914568780620382</v>
      </c>
      <c r="D11">
        <f t="shared" si="0"/>
        <v>26.248387416933809</v>
      </c>
      <c r="E11">
        <v>34</v>
      </c>
      <c r="F11">
        <f t="shared" si="1"/>
        <v>7.7516125830661906</v>
      </c>
    </row>
    <row r="12" spans="1:9" x14ac:dyDescent="0.3">
      <c r="A12" t="s">
        <v>143</v>
      </c>
      <c r="B12">
        <v>8.3897288204848302</v>
      </c>
      <c r="C12">
        <v>31.592609009046893</v>
      </c>
      <c r="D12">
        <f t="shared" si="0"/>
        <v>20.443590675479495</v>
      </c>
      <c r="E12">
        <v>12</v>
      </c>
      <c r="F12">
        <f t="shared" si="1"/>
        <v>8.4435906754794949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144</v>
      </c>
      <c r="B2">
        <v>18.441583033990511</v>
      </c>
      <c r="C2">
        <v>11.312340627384851</v>
      </c>
      <c r="D2">
        <f t="shared" ref="D2:D12" si="0">B2*$I$2+C2*$I$3</f>
        <v>16.222624756809203</v>
      </c>
      <c r="E2">
        <v>14</v>
      </c>
      <c r="F2">
        <f t="shared" ref="F2:F12" si="1">ABS(D2-E2)</f>
        <v>2.2226247568092035</v>
      </c>
      <c r="H2" t="s">
        <v>7</v>
      </c>
      <c r="I2">
        <v>0.46764134598883528</v>
      </c>
    </row>
    <row r="3" spans="1:9" x14ac:dyDescent="0.3">
      <c r="A3" t="s">
        <v>145</v>
      </c>
      <c r="B3">
        <v>26.092477598863013</v>
      </c>
      <c r="C3">
        <v>47.816781298694465</v>
      </c>
      <c r="D3">
        <f t="shared" si="0"/>
        <v>44.320786618207869</v>
      </c>
      <c r="E3">
        <v>44</v>
      </c>
      <c r="F3">
        <f t="shared" si="1"/>
        <v>0.32078661820786891</v>
      </c>
      <c r="H3" t="s">
        <v>9</v>
      </c>
      <c r="I3">
        <v>0.67170696984092015</v>
      </c>
    </row>
    <row r="4" spans="1:9" x14ac:dyDescent="0.3">
      <c r="A4" t="s">
        <v>146</v>
      </c>
      <c r="B4">
        <v>14.09090907769032</v>
      </c>
      <c r="C4">
        <v>20.76221433368843</v>
      </c>
      <c r="D4">
        <f t="shared" si="0"/>
        <v>20.535615764566973</v>
      </c>
      <c r="E4">
        <v>33</v>
      </c>
      <c r="F4">
        <f t="shared" si="1"/>
        <v>12.464384235433027</v>
      </c>
    </row>
    <row r="5" spans="1:9" x14ac:dyDescent="0.3">
      <c r="A5" t="s">
        <v>147</v>
      </c>
      <c r="B5">
        <v>15.707070707070708</v>
      </c>
      <c r="C5">
        <v>22.164605008441583</v>
      </c>
      <c r="D5">
        <f t="shared" si="0"/>
        <v>22.233395354937528</v>
      </c>
      <c r="E5">
        <v>31</v>
      </c>
      <c r="F5">
        <f t="shared" si="1"/>
        <v>8.7666046450624719</v>
      </c>
      <c r="H5" t="s">
        <v>12</v>
      </c>
      <c r="I5" cm="1">
        <f t="array" ref="I5">(SUM(TableNEW[PP]-TableNEW[AP]))^2</f>
        <v>1.3915506368098648E-27</v>
      </c>
    </row>
    <row r="6" spans="1:9" x14ac:dyDescent="0.3">
      <c r="A6" t="s">
        <v>148</v>
      </c>
      <c r="B6">
        <v>33.912750110037045</v>
      </c>
      <c r="C6">
        <v>49.682314483119555</v>
      </c>
      <c r="D6">
        <f t="shared" si="0"/>
        <v>49.230961023780644</v>
      </c>
      <c r="E6">
        <v>22</v>
      </c>
      <c r="F6">
        <f t="shared" si="1"/>
        <v>27.230961023780644</v>
      </c>
    </row>
    <row r="7" spans="1:9" x14ac:dyDescent="0.3">
      <c r="A7" t="s">
        <v>149</v>
      </c>
      <c r="B7">
        <v>-0.1362539231091251</v>
      </c>
      <c r="C7">
        <v>15.017829699953468</v>
      </c>
      <c r="D7">
        <f t="shared" si="0"/>
        <v>10.023862913343708</v>
      </c>
      <c r="E7">
        <v>14</v>
      </c>
      <c r="F7">
        <f t="shared" si="1"/>
        <v>3.9761370866562924</v>
      </c>
      <c r="H7" t="s">
        <v>15</v>
      </c>
      <c r="I7">
        <f>AVERAGE(TableNEW[DIFF])/5</f>
        <v>1.541848856079411</v>
      </c>
    </row>
    <row r="8" spans="1:9" x14ac:dyDescent="0.3">
      <c r="A8" t="s">
        <v>150</v>
      </c>
      <c r="B8">
        <v>10.080446324465184</v>
      </c>
      <c r="C8">
        <v>19.476572013802318</v>
      </c>
      <c r="D8">
        <f t="shared" si="0"/>
        <v>17.796582657620728</v>
      </c>
      <c r="E8">
        <v>24</v>
      </c>
      <c r="F8">
        <f t="shared" si="1"/>
        <v>6.2034173423792716</v>
      </c>
    </row>
    <row r="9" spans="1:9" x14ac:dyDescent="0.3">
      <c r="A9" t="s">
        <v>151</v>
      </c>
      <c r="B9">
        <v>16.170954203456173</v>
      </c>
      <c r="C9">
        <v>20.492800535076213</v>
      </c>
      <c r="D9">
        <f t="shared" si="0"/>
        <v>21.327363740598489</v>
      </c>
      <c r="E9">
        <v>23</v>
      </c>
      <c r="F9">
        <f t="shared" si="1"/>
        <v>1.6726362594015107</v>
      </c>
    </row>
    <row r="10" spans="1:9" x14ac:dyDescent="0.3">
      <c r="A10" t="s">
        <v>152</v>
      </c>
      <c r="B10">
        <v>19.69049842484317</v>
      </c>
      <c r="C10">
        <v>25.931515882478546</v>
      </c>
      <c r="D10">
        <f t="shared" si="0"/>
        <v>26.626471143386063</v>
      </c>
      <c r="E10">
        <v>14</v>
      </c>
      <c r="F10">
        <f t="shared" si="1"/>
        <v>12.626471143386063</v>
      </c>
    </row>
    <row r="11" spans="1:9" x14ac:dyDescent="0.3">
      <c r="A11" t="s">
        <v>153</v>
      </c>
      <c r="B11">
        <v>21.272765317800683</v>
      </c>
      <c r="C11">
        <v>24.55661796934265</v>
      </c>
      <c r="D11">
        <f t="shared" si="0"/>
        <v>26.442876051849165</v>
      </c>
      <c r="E11">
        <v>32</v>
      </c>
      <c r="F11">
        <f t="shared" si="1"/>
        <v>5.557123948150835</v>
      </c>
    </row>
    <row r="12" spans="1:9" x14ac:dyDescent="0.3">
      <c r="A12" t="s">
        <v>154</v>
      </c>
      <c r="B12">
        <v>21.5405668949657</v>
      </c>
      <c r="C12">
        <v>25.556084795190891</v>
      </c>
      <c r="D12">
        <f t="shared" si="0"/>
        <v>27.239459974899592</v>
      </c>
      <c r="E12">
        <v>31</v>
      </c>
      <c r="F12">
        <f t="shared" si="1"/>
        <v>3.7605400251004077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5" sqref="I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155</v>
      </c>
      <c r="B2">
        <v>5.4999999492005873</v>
      </c>
      <c r="C2">
        <v>9.1490308758341818</v>
      </c>
      <c r="D2">
        <f t="shared" ref="D2:D7" si="0">B2*$I$2+C2*$I$3</f>
        <v>10.981562224143348</v>
      </c>
      <c r="E2">
        <v>19</v>
      </c>
      <c r="F2">
        <f t="shared" ref="F2:F7" si="1">ABS(D2-E2)</f>
        <v>8.0184377758566523</v>
      </c>
      <c r="H2" t="s">
        <v>7</v>
      </c>
      <c r="I2">
        <v>0.6694282511013091</v>
      </c>
    </row>
    <row r="3" spans="1:9" x14ac:dyDescent="0.3">
      <c r="A3" t="s">
        <v>156</v>
      </c>
      <c r="B3">
        <v>6.4999999788995169</v>
      </c>
      <c r="C3">
        <v>14.386664108849885</v>
      </c>
      <c r="D3">
        <f t="shared" si="0"/>
        <v>15.829923526352401</v>
      </c>
      <c r="E3">
        <v>22</v>
      </c>
      <c r="F3">
        <f t="shared" si="1"/>
        <v>6.1700764736475993</v>
      </c>
      <c r="H3" t="s">
        <v>9</v>
      </c>
      <c r="I3">
        <v>0.79786667857617688</v>
      </c>
    </row>
    <row r="4" spans="1:9" x14ac:dyDescent="0.3">
      <c r="A4" t="s">
        <v>157</v>
      </c>
      <c r="B4">
        <v>23.785714222497241</v>
      </c>
      <c r="C4">
        <v>15.698366615607917</v>
      </c>
      <c r="D4">
        <f t="shared" si="0"/>
        <v>28.44803270382809</v>
      </c>
      <c r="E4">
        <v>25</v>
      </c>
      <c r="F4">
        <f t="shared" si="1"/>
        <v>3.4480327038280905</v>
      </c>
    </row>
    <row r="5" spans="1:9" x14ac:dyDescent="0.3">
      <c r="A5" t="s">
        <v>158</v>
      </c>
      <c r="B5">
        <v>10.329836568209007</v>
      </c>
      <c r="C5">
        <v>20.280168589311838</v>
      </c>
      <c r="D5">
        <f t="shared" si="0"/>
        <v>23.095955181337651</v>
      </c>
      <c r="E5">
        <v>16</v>
      </c>
      <c r="F5">
        <f t="shared" si="1"/>
        <v>7.0959551813376507</v>
      </c>
      <c r="H5" t="s">
        <v>12</v>
      </c>
      <c r="I5" cm="1">
        <f t="array" ref="I5">(SUM(TableNFO[PP]-TableNFO[AP]))^2</f>
        <v>2.0194839173657902E-28</v>
      </c>
    </row>
    <row r="6" spans="1:9" x14ac:dyDescent="0.3">
      <c r="A6" t="s">
        <v>159</v>
      </c>
      <c r="B6">
        <v>32.916666696209745</v>
      </c>
      <c r="C6">
        <v>29.046236543760671</v>
      </c>
      <c r="D6">
        <f t="shared" si="0"/>
        <v>45.2103708948367</v>
      </c>
      <c r="E6">
        <v>21</v>
      </c>
      <c r="F6">
        <f t="shared" si="1"/>
        <v>24.2103708948367</v>
      </c>
    </row>
    <row r="7" spans="1:9" x14ac:dyDescent="0.3">
      <c r="A7" t="s">
        <v>160</v>
      </c>
      <c r="B7">
        <v>8.6017670638493726</v>
      </c>
      <c r="C7">
        <v>15.8872276884515</v>
      </c>
      <c r="D7">
        <f t="shared" si="0"/>
        <v>18.434155469501796</v>
      </c>
      <c r="E7">
        <v>39</v>
      </c>
      <c r="F7">
        <f t="shared" si="1"/>
        <v>20.565844530498204</v>
      </c>
      <c r="H7" t="s">
        <v>15</v>
      </c>
      <c r="I7">
        <f>AVERAGE(TableNFO[DIFF])/5</f>
        <v>2.3169572520001633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161</v>
      </c>
      <c r="B2">
        <v>10.185185349775285</v>
      </c>
      <c r="C2">
        <v>13.674555220424871</v>
      </c>
      <c r="D2">
        <f>B2*$I$2+C2*$I$3</f>
        <v>14.645742595049283</v>
      </c>
      <c r="E2">
        <v>19</v>
      </c>
      <c r="F2">
        <f>ABS(D2-E2)</f>
        <v>4.354257404950717</v>
      </c>
      <c r="H2" t="s">
        <v>7</v>
      </c>
      <c r="I2">
        <v>0.62312266366220526</v>
      </c>
    </row>
    <row r="3" spans="1:9" x14ac:dyDescent="0.3">
      <c r="A3" t="s">
        <v>162</v>
      </c>
      <c r="B3">
        <v>15.695652176150288</v>
      </c>
      <c r="C3">
        <v>15.794193156880201</v>
      </c>
      <c r="D3">
        <f>B3*$I$2+C3*$I$3</f>
        <v>19.365853082810705</v>
      </c>
      <c r="E3">
        <v>16</v>
      </c>
      <c r="F3">
        <f>ABS(D3-E3)</f>
        <v>3.3658530828107054</v>
      </c>
      <c r="H3" t="s">
        <v>9</v>
      </c>
      <c r="I3">
        <v>0.60690257461596497</v>
      </c>
    </row>
    <row r="4" spans="1:9" x14ac:dyDescent="0.3">
      <c r="A4" t="s">
        <v>163</v>
      </c>
      <c r="B4">
        <v>18.245986481773912</v>
      </c>
      <c r="C4">
        <v>15.070111454055581</v>
      </c>
      <c r="D4">
        <f>B4*$I$2+C4*$I$3</f>
        <v>20.515577138883426</v>
      </c>
      <c r="E4">
        <v>34</v>
      </c>
      <c r="F4">
        <f>ABS(D4-E4)</f>
        <v>13.484422861116574</v>
      </c>
    </row>
    <row r="5" spans="1:9" x14ac:dyDescent="0.3">
      <c r="A5" t="s">
        <v>164</v>
      </c>
      <c r="B5">
        <v>13.507228639557415</v>
      </c>
      <c r="C5">
        <v>14.569662636027555</v>
      </c>
      <c r="D5">
        <f>B5*$I$2+C5*$I$3</f>
        <v>17.259026053666592</v>
      </c>
      <c r="E5">
        <v>12</v>
      </c>
      <c r="F5">
        <f>ABS(D5-E5)</f>
        <v>5.2590260536665916</v>
      </c>
      <c r="H5" t="s">
        <v>12</v>
      </c>
      <c r="I5" cm="1">
        <f t="array" ref="I5">(SUM(TableSOU[PP]-TableSOU[AP]))^2</f>
        <v>7.8886090522101181E-29</v>
      </c>
    </row>
    <row r="6" spans="1:9" x14ac:dyDescent="0.3">
      <c r="A6" t="s">
        <v>165</v>
      </c>
      <c r="B6">
        <v>21.428571412273282</v>
      </c>
      <c r="C6">
        <v>17.896072758582726</v>
      </c>
      <c r="D6">
        <f>B6*$I$2+C6*$I$3</f>
        <v>24.213801129590003</v>
      </c>
      <c r="E6">
        <v>15</v>
      </c>
      <c r="F6">
        <f>ABS(D6-E6)</f>
        <v>9.2138011295900029</v>
      </c>
    </row>
    <row r="7" spans="1:9" x14ac:dyDescent="0.3">
      <c r="H7" t="s">
        <v>15</v>
      </c>
      <c r="I7">
        <f>AVERAGE(TableSOU[DIFF])/5</f>
        <v>1.4270944212853833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166</v>
      </c>
      <c r="B2">
        <v>23.444444444444443</v>
      </c>
      <c r="C2">
        <v>18.626946548808036</v>
      </c>
      <c r="D2">
        <f t="shared" ref="D2:D14" si="0">B2*$I$2+C2*$I$3</f>
        <v>17.799096617123745</v>
      </c>
      <c r="E2">
        <v>11</v>
      </c>
      <c r="F2">
        <f t="shared" ref="F2:F14" si="1">ABS(D2-E2)</f>
        <v>6.7990966171237446</v>
      </c>
      <c r="H2" t="s">
        <v>7</v>
      </c>
      <c r="I2">
        <v>0.46484651719824444</v>
      </c>
    </row>
    <row r="3" spans="1:9" x14ac:dyDescent="0.3">
      <c r="A3" t="s">
        <v>167</v>
      </c>
      <c r="B3">
        <v>69.063175748834098</v>
      </c>
      <c r="C3">
        <v>28.973796266414954</v>
      </c>
      <c r="D3">
        <f t="shared" si="0"/>
        <v>42.838170919472788</v>
      </c>
      <c r="E3">
        <v>41</v>
      </c>
      <c r="F3">
        <f t="shared" si="1"/>
        <v>1.8381709194727875</v>
      </c>
      <c r="H3" t="s">
        <v>9</v>
      </c>
      <c r="I3">
        <v>0.37048628723947363</v>
      </c>
    </row>
    <row r="4" spans="1:9" x14ac:dyDescent="0.3">
      <c r="A4" t="s">
        <v>168</v>
      </c>
      <c r="B4">
        <v>38.25</v>
      </c>
      <c r="C4">
        <v>23.661163801785964</v>
      </c>
      <c r="D4">
        <f t="shared" si="0"/>
        <v>26.546516011521561</v>
      </c>
      <c r="E4">
        <v>16</v>
      </c>
      <c r="F4">
        <f t="shared" si="1"/>
        <v>10.546516011521561</v>
      </c>
    </row>
    <row r="5" spans="1:9" x14ac:dyDescent="0.3">
      <c r="A5" t="s">
        <v>169</v>
      </c>
      <c r="B5">
        <v>22</v>
      </c>
      <c r="C5">
        <v>18.723090215860651</v>
      </c>
      <c r="D5">
        <f t="shared" si="0"/>
        <v>17.163271558085306</v>
      </c>
      <c r="E5">
        <v>18</v>
      </c>
      <c r="F5">
        <f t="shared" si="1"/>
        <v>0.83672844191469409</v>
      </c>
      <c r="H5" t="s">
        <v>12</v>
      </c>
      <c r="I5" cm="1">
        <f t="array" ref="I5">(SUM(TableTOT[PP]-TableTOT[AP]))^2</f>
        <v>9.5452169531742428E-29</v>
      </c>
    </row>
    <row r="6" spans="1:9" x14ac:dyDescent="0.3">
      <c r="A6" t="s">
        <v>170</v>
      </c>
      <c r="B6">
        <v>14.632953996532926</v>
      </c>
      <c r="C6">
        <v>18.229842334562413</v>
      </c>
      <c r="D6">
        <f t="shared" si="0"/>
        <v>13.555984305103468</v>
      </c>
      <c r="E6">
        <v>10</v>
      </c>
      <c r="F6">
        <f t="shared" si="1"/>
        <v>3.5559843051034683</v>
      </c>
    </row>
    <row r="7" spans="1:9" x14ac:dyDescent="0.3">
      <c r="A7" t="s">
        <v>171</v>
      </c>
      <c r="B7">
        <v>15.170186736539991</v>
      </c>
      <c r="C7">
        <v>20.694559909327769</v>
      </c>
      <c r="D7">
        <f t="shared" si="0"/>
        <v>14.71885913658932</v>
      </c>
      <c r="E7">
        <v>18</v>
      </c>
      <c r="F7">
        <f t="shared" si="1"/>
        <v>3.2811408634106805</v>
      </c>
      <c r="H7" t="s">
        <v>15</v>
      </c>
      <c r="I7">
        <f>AVERAGE(TableTOT[DIFF])/5</f>
        <v>0.92417804265662651</v>
      </c>
    </row>
    <row r="8" spans="1:9" x14ac:dyDescent="0.3">
      <c r="A8" t="s">
        <v>172</v>
      </c>
      <c r="B8">
        <v>24.314987512959018</v>
      </c>
      <c r="C8">
        <v>12.938918228201342</v>
      </c>
      <c r="D8">
        <f t="shared" si="0"/>
        <v>16.096429036379266</v>
      </c>
      <c r="E8">
        <v>10</v>
      </c>
      <c r="F8">
        <f t="shared" si="1"/>
        <v>6.0964290363792664</v>
      </c>
    </row>
    <row r="9" spans="1:9" x14ac:dyDescent="0.3">
      <c r="A9" t="s">
        <v>173</v>
      </c>
      <c r="B9">
        <v>12.537238443699648</v>
      </c>
      <c r="C9">
        <v>15.224757518850634</v>
      </c>
      <c r="D9">
        <f t="shared" si="0"/>
        <v>11.468455513117952</v>
      </c>
      <c r="E9">
        <v>27</v>
      </c>
      <c r="F9">
        <f t="shared" si="1"/>
        <v>15.531544486882048</v>
      </c>
    </row>
    <row r="10" spans="1:9" x14ac:dyDescent="0.3">
      <c r="A10" t="s">
        <v>174</v>
      </c>
      <c r="B10">
        <v>15.615384594703904</v>
      </c>
      <c r="C10">
        <v>16.03522871911396</v>
      </c>
      <c r="D10">
        <f t="shared" si="0"/>
        <v>13.199589496739542</v>
      </c>
      <c r="E10">
        <v>12</v>
      </c>
      <c r="F10">
        <f t="shared" si="1"/>
        <v>1.1995894967395415</v>
      </c>
    </row>
    <row r="11" spans="1:9" x14ac:dyDescent="0.3">
      <c r="A11" t="s">
        <v>175</v>
      </c>
      <c r="B11">
        <v>1.7248195952689658</v>
      </c>
      <c r="C11">
        <v>13.054119071837933</v>
      </c>
      <c r="D11">
        <f t="shared" si="0"/>
        <v>5.6381484897633038</v>
      </c>
      <c r="E11">
        <v>10</v>
      </c>
      <c r="F11">
        <f t="shared" si="1"/>
        <v>4.3618515102366962</v>
      </c>
    </row>
    <row r="12" spans="1:9" x14ac:dyDescent="0.3">
      <c r="A12" t="s">
        <v>176</v>
      </c>
      <c r="B12">
        <v>34</v>
      </c>
      <c r="C12">
        <v>11.914117428083195</v>
      </c>
      <c r="D12">
        <f t="shared" si="0"/>
        <v>20.21879871640596</v>
      </c>
      <c r="E12">
        <v>25</v>
      </c>
      <c r="F12">
        <f t="shared" si="1"/>
        <v>4.7812012835940401</v>
      </c>
    </row>
    <row r="13" spans="1:9" x14ac:dyDescent="0.3">
      <c r="A13" t="s">
        <v>177</v>
      </c>
      <c r="B13">
        <v>15.714285714285714</v>
      </c>
      <c r="C13">
        <v>16.64239031765932</v>
      </c>
      <c r="D13">
        <f t="shared" si="0"/>
        <v>13.470508384123606</v>
      </c>
      <c r="E13">
        <v>14</v>
      </c>
      <c r="F13">
        <f t="shared" si="1"/>
        <v>0.5294916158763936</v>
      </c>
    </row>
    <row r="14" spans="1:9" x14ac:dyDescent="0.3">
      <c r="A14" t="s">
        <v>178</v>
      </c>
      <c r="B14">
        <v>9.5357153109436439</v>
      </c>
      <c r="C14">
        <v>21.197890542199012</v>
      </c>
      <c r="D14">
        <f t="shared" si="0"/>
        <v>12.286171815574193</v>
      </c>
      <c r="E14">
        <v>13</v>
      </c>
      <c r="F14">
        <f t="shared" si="1"/>
        <v>0.71382818442580742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179</v>
      </c>
      <c r="B2">
        <v>18.137931054594418</v>
      </c>
      <c r="C2">
        <v>25.995014778638069</v>
      </c>
      <c r="D2">
        <f t="shared" ref="D2:D7" si="0">B2*$I$2+C2*$I$3</f>
        <v>17.975716887408069</v>
      </c>
      <c r="E2">
        <v>17</v>
      </c>
      <c r="F2">
        <f t="shared" ref="F2:F7" si="1">ABS(D2-E2)</f>
        <v>0.97571688740806906</v>
      </c>
      <c r="H2" t="s">
        <v>7</v>
      </c>
      <c r="I2">
        <v>0.33074699308822109</v>
      </c>
    </row>
    <row r="3" spans="1:9" x14ac:dyDescent="0.3">
      <c r="A3" t="s">
        <v>180</v>
      </c>
      <c r="B3">
        <v>16.209375106532239</v>
      </c>
      <c r="C3">
        <v>14.046014092261339</v>
      </c>
      <c r="D3">
        <f t="shared" si="0"/>
        <v>11.832604626692014</v>
      </c>
      <c r="E3">
        <v>21</v>
      </c>
      <c r="F3">
        <f t="shared" si="1"/>
        <v>9.1673953733079863</v>
      </c>
      <c r="H3" t="s">
        <v>9</v>
      </c>
      <c r="I3">
        <v>0.46072875250302048</v>
      </c>
    </row>
    <row r="4" spans="1:9" x14ac:dyDescent="0.3">
      <c r="A4" t="s">
        <v>181</v>
      </c>
      <c r="B4">
        <v>16.597222222222221</v>
      </c>
      <c r="C4">
        <v>30.987529254998648</v>
      </c>
      <c r="D4">
        <f t="shared" si="0"/>
        <v>19.766327040423384</v>
      </c>
      <c r="E4">
        <v>13</v>
      </c>
      <c r="F4">
        <f t="shared" si="1"/>
        <v>6.7663270404233842</v>
      </c>
    </row>
    <row r="5" spans="1:9" x14ac:dyDescent="0.3">
      <c r="A5" t="s">
        <v>182</v>
      </c>
      <c r="B5">
        <v>20.012561348876591</v>
      </c>
      <c r="C5">
        <v>21.662242535715045</v>
      </c>
      <c r="D5">
        <f t="shared" si="0"/>
        <v>16.599512470032344</v>
      </c>
      <c r="E5">
        <v>15</v>
      </c>
      <c r="F5">
        <f t="shared" si="1"/>
        <v>1.5995124700323444</v>
      </c>
      <c r="H5" t="s">
        <v>12</v>
      </c>
      <c r="I5" cm="1">
        <f t="array" ref="I5">(SUM(TableWHU[PP]-TableWHU[AP]))^2</f>
        <v>5.0487097934144756E-29</v>
      </c>
    </row>
    <row r="6" spans="1:9" x14ac:dyDescent="0.3">
      <c r="A6" t="s">
        <v>157</v>
      </c>
      <c r="B6">
        <v>12.641025535999384</v>
      </c>
      <c r="C6">
        <v>18.133636944342449</v>
      </c>
      <c r="D6">
        <f t="shared" si="0"/>
        <v>12.535669113292794</v>
      </c>
      <c r="E6">
        <v>13</v>
      </c>
      <c r="F6">
        <f t="shared" si="1"/>
        <v>0.46433088670720579</v>
      </c>
    </row>
    <row r="7" spans="1:9" x14ac:dyDescent="0.3">
      <c r="A7" t="s">
        <v>183</v>
      </c>
      <c r="B7">
        <v>10.999563360885904</v>
      </c>
      <c r="C7">
        <v>20.949630998320924</v>
      </c>
      <c r="D7">
        <f t="shared" si="0"/>
        <v>13.290169862151387</v>
      </c>
      <c r="E7">
        <v>13</v>
      </c>
      <c r="F7">
        <f t="shared" si="1"/>
        <v>0.29016986215138729</v>
      </c>
      <c r="H7" t="s">
        <v>15</v>
      </c>
      <c r="I7">
        <f>AVERAGE(TableWHU[DIFF])/5</f>
        <v>0.64211508400101258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8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184</v>
      </c>
      <c r="B2">
        <v>24.004830052456089</v>
      </c>
      <c r="C2">
        <v>22.71068391580258</v>
      </c>
      <c r="D2">
        <f t="shared" ref="D2:D8" si="0">B2*$I$2+C2*$I$3</f>
        <v>17.280932865013781</v>
      </c>
      <c r="E2">
        <v>20</v>
      </c>
      <c r="F2">
        <f t="shared" ref="F2:F8" si="1">ABS(D2-E2)</f>
        <v>2.7190671349862185</v>
      </c>
      <c r="H2" t="s">
        <v>7</v>
      </c>
      <c r="I2">
        <v>0.32758118172213008</v>
      </c>
    </row>
    <row r="3" spans="1:9" x14ac:dyDescent="0.3">
      <c r="A3" t="s">
        <v>185</v>
      </c>
      <c r="B3">
        <v>14.138461304814442</v>
      </c>
      <c r="C3">
        <v>35.364269481158807</v>
      </c>
      <c r="D3">
        <f t="shared" si="0"/>
        <v>19.295937825956148</v>
      </c>
      <c r="E3">
        <v>10</v>
      </c>
      <c r="F3">
        <f t="shared" si="1"/>
        <v>9.2959378259561483</v>
      </c>
      <c r="H3" t="s">
        <v>9</v>
      </c>
      <c r="I3">
        <v>0.41466836949099911</v>
      </c>
    </row>
    <row r="4" spans="1:9" x14ac:dyDescent="0.3">
      <c r="A4" t="s">
        <v>186</v>
      </c>
      <c r="B4">
        <v>26.948200594572668</v>
      </c>
      <c r="C4">
        <v>18.43855422012011</v>
      </c>
      <c r="D4">
        <f t="shared" si="0"/>
        <v>16.473608610283712</v>
      </c>
      <c r="E4">
        <v>24</v>
      </c>
      <c r="F4">
        <f t="shared" si="1"/>
        <v>7.526391389716288</v>
      </c>
    </row>
    <row r="5" spans="1:9" x14ac:dyDescent="0.3">
      <c r="A5" t="s">
        <v>187</v>
      </c>
      <c r="B5">
        <v>15.823744545652158</v>
      </c>
      <c r="C5">
        <v>17.333297887639922</v>
      </c>
      <c r="D5">
        <f t="shared" si="0"/>
        <v>12.371131310503269</v>
      </c>
      <c r="E5">
        <v>14</v>
      </c>
      <c r="F5">
        <f t="shared" si="1"/>
        <v>1.6288686894967306</v>
      </c>
      <c r="H5" t="s">
        <v>12</v>
      </c>
      <c r="I5" cm="1">
        <f t="array" ref="I5">(SUM(TableWOL[PP]-TableWOL[AP]))^2</f>
        <v>2.0194839173657902E-28</v>
      </c>
    </row>
    <row r="6" spans="1:9" x14ac:dyDescent="0.3">
      <c r="A6" t="s">
        <v>188</v>
      </c>
      <c r="B6">
        <v>13.732394379761059</v>
      </c>
      <c r="C6">
        <v>10.475168274684155</v>
      </c>
      <c r="D6">
        <f t="shared" si="0"/>
        <v>8.842194927403586</v>
      </c>
      <c r="E6">
        <v>11</v>
      </c>
      <c r="F6">
        <f t="shared" si="1"/>
        <v>2.157805072596414</v>
      </c>
    </row>
    <row r="7" spans="1:9" x14ac:dyDescent="0.3">
      <c r="A7" t="s">
        <v>189</v>
      </c>
      <c r="B7">
        <v>10.557575802293501</v>
      </c>
      <c r="C7">
        <v>31.998914505047271</v>
      </c>
      <c r="D7">
        <f t="shared" si="0"/>
        <v>16.727400860726103</v>
      </c>
      <c r="E7">
        <v>10</v>
      </c>
      <c r="F7">
        <f t="shared" si="1"/>
        <v>6.7274008607261031</v>
      </c>
      <c r="H7" t="s">
        <v>15</v>
      </c>
      <c r="I7">
        <f>AVERAGE(TableWOL[DIFF])/5</f>
        <v>0.91561935352470036</v>
      </c>
    </row>
    <row r="8" spans="1:9" x14ac:dyDescent="0.3">
      <c r="A8" t="s">
        <v>190</v>
      </c>
      <c r="B8">
        <v>14.444444408784729</v>
      </c>
      <c r="C8">
        <v>15.137555437539397</v>
      </c>
      <c r="D8">
        <f t="shared" si="0"/>
        <v>11.008793600113385</v>
      </c>
      <c r="E8">
        <v>13</v>
      </c>
      <c r="F8">
        <f t="shared" si="1"/>
        <v>1.9912063998866145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2023-01-20T14:16:07Z</dcterms:created>
  <dcterms:modified xsi:type="dcterms:W3CDTF">2023-01-20T14:24:43Z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0ce7274f-0b92-48e4-b8f1-dfb2f3899579</vt:lpwstr>
  </property>
</Properties>
</file>