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D193DF38-F622-4968-9EC9-BBA311AA99CB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2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2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2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0" l="1"/>
  <c r="F7" i="20" s="1"/>
  <c r="D6" i="20"/>
  <c r="F6" i="20" s="1"/>
  <c r="D5" i="20"/>
  <c r="F5" i="20" s="1"/>
  <c r="D4" i="20"/>
  <c r="F4" i="20" s="1"/>
  <c r="D3" i="20"/>
  <c r="F3" i="20" s="1"/>
  <c r="D2" i="20"/>
  <c r="F2" i="20" s="1"/>
  <c r="D10" i="19"/>
  <c r="F10" i="19" s="1"/>
  <c r="D9" i="19"/>
  <c r="F9" i="19" s="1"/>
  <c r="D8" i="19"/>
  <c r="F8" i="19" s="1"/>
  <c r="D7" i="19"/>
  <c r="F7" i="19" s="1"/>
  <c r="D6" i="19"/>
  <c r="F6" i="19" s="1"/>
  <c r="D5" i="19"/>
  <c r="D4" i="19"/>
  <c r="F4" i="19" s="1"/>
  <c r="D3" i="19"/>
  <c r="F3" i="19" s="1"/>
  <c r="D2" i="19"/>
  <c r="F2" i="19" s="1"/>
  <c r="D14" i="18"/>
  <c r="F14" i="18" s="1"/>
  <c r="D13" i="18"/>
  <c r="F13" i="18" s="1"/>
  <c r="D12" i="18"/>
  <c r="F12" i="18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5" i="17"/>
  <c r="F5" i="17" s="1"/>
  <c r="D4" i="17"/>
  <c r="F4" i="17" s="1"/>
  <c r="D3" i="17"/>
  <c r="D2" i="17"/>
  <c r="F2" i="17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11" i="12"/>
  <c r="F11" i="12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7" i="11"/>
  <c r="F7" i="11" s="1"/>
  <c r="D6" i="11"/>
  <c r="F6" i="11" s="1"/>
  <c r="D5" i="11"/>
  <c r="F5" i="11" s="1"/>
  <c r="D4" i="11"/>
  <c r="F4" i="11" s="1"/>
  <c r="D3" i="11"/>
  <c r="D2" i="11"/>
  <c r="F2" i="11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7" i="7"/>
  <c r="F7" i="7" s="1"/>
  <c r="D6" i="7"/>
  <c r="F6" i="7" s="1"/>
  <c r="D5" i="7"/>
  <c r="F5" i="7" s="1"/>
  <c r="D4" i="7"/>
  <c r="F4" i="7" s="1"/>
  <c r="D3" i="7"/>
  <c r="F3" i="7" s="1"/>
  <c r="D2" i="7"/>
  <c r="I5" i="7" s="1" a="1"/>
  <c r="I5" i="7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20" l="1" a="1"/>
  <c r="I5" i="20" s="1"/>
  <c r="I5" i="19" a="1"/>
  <c r="I5" i="19" s="1"/>
  <c r="I5" i="18" a="1"/>
  <c r="I5" i="18" s="1"/>
  <c r="F2" i="18"/>
  <c r="I7" i="18" s="1"/>
  <c r="I5" i="17" a="1"/>
  <c r="I5" i="17" s="1"/>
  <c r="F3" i="17"/>
  <c r="I7" i="17" s="1"/>
  <c r="I5" i="16" a="1"/>
  <c r="I5" i="16" s="1"/>
  <c r="F2" i="16"/>
  <c r="I7" i="16" s="1"/>
  <c r="I5" i="15" a="1"/>
  <c r="I5" i="15" s="1"/>
  <c r="I7" i="14"/>
  <c r="I5" i="14" a="1"/>
  <c r="I5" i="14" s="1"/>
  <c r="I5" i="13" a="1"/>
  <c r="I5" i="13" s="1"/>
  <c r="I5" i="12" a="1"/>
  <c r="I5" i="12" s="1"/>
  <c r="I5" i="11" a="1"/>
  <c r="I5" i="11" s="1"/>
  <c r="F3" i="11"/>
  <c r="I7" i="11" s="1"/>
  <c r="I5" i="10" a="1"/>
  <c r="I5" i="10" s="1"/>
  <c r="I7" i="10"/>
  <c r="I5" i="9" a="1"/>
  <c r="I5" i="9" s="1"/>
  <c r="I7" i="8"/>
  <c r="I5" i="8" a="1"/>
  <c r="I5" i="8" s="1"/>
  <c r="F2" i="7"/>
  <c r="I7" i="7" s="1"/>
  <c r="I5" i="6" a="1"/>
  <c r="I5" i="6" s="1"/>
  <c r="I7" i="6"/>
  <c r="I5" i="5" a="1"/>
  <c r="I5" i="5" s="1"/>
  <c r="F2" i="5"/>
  <c r="I7" i="5" s="1"/>
  <c r="I5" i="4" a="1"/>
  <c r="I5" i="4" s="1"/>
  <c r="I5" i="3" a="1"/>
  <c r="I5" i="3" s="1"/>
  <c r="I7" i="3"/>
  <c r="I5" i="2" a="1"/>
  <c r="I5" i="2" s="1"/>
  <c r="F2" i="2"/>
  <c r="I7" i="2" s="1"/>
  <c r="I5" i="1" a="1"/>
  <c r="I5" i="1" s="1"/>
  <c r="I7" i="1"/>
  <c r="I7" i="9"/>
  <c r="I7" i="12"/>
  <c r="I7" i="13"/>
  <c r="I7" i="20"/>
  <c r="I7" i="15"/>
  <c r="I7" i="4"/>
  <c r="F5" i="19"/>
  <c r="I7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<sst xmlns="http://schemas.openxmlformats.org/spreadsheetml/2006/main" count="374" uniqueCount="182">
  <si>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</si>
  <si>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</si>
  <si>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</si>
  <si>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</si>
  <si>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</si>
  <si>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</si>
  <si>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</si>
  <si>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</si>
  <si>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</si>
  <si>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</si>
  <si>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</si>
  <si>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</si>
  <si>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</si>
  <si>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</si>
  <si>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</si>
  <si>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</si>
  <si>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</si>
  <si>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</si>
  <si>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</si>
  <si>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</si>
  <si>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Jesus</t>
  </si>
  <si>
    <t>Zinchenko</t>
  </si>
  <si>
    <t>Martínez</t>
  </si>
  <si>
    <t>McGinn</t>
  </si>
  <si>
    <t>Watkins</t>
  </si>
  <si>
    <t>Buendía</t>
  </si>
  <si>
    <t>Konsa</t>
  </si>
  <si>
    <t>Bailey</t>
  </si>
  <si>
    <t>Douglas Luiz</t>
  </si>
  <si>
    <t>Ramsey</t>
  </si>
  <si>
    <t>Kamara</t>
  </si>
  <si>
    <t>Stanislas</t>
  </si>
  <si>
    <t>Lerma</t>
  </si>
  <si>
    <t>Solanke</t>
  </si>
  <si>
    <t>Cook</t>
  </si>
  <si>
    <t>Travers</t>
  </si>
  <si>
    <t>Stephens</t>
  </si>
  <si>
    <t>Tavernier</t>
  </si>
  <si>
    <t>Jansson</t>
  </si>
  <si>
    <t>Nørgaard</t>
  </si>
  <si>
    <t>Toney</t>
  </si>
  <si>
    <t>Raya</t>
  </si>
  <si>
    <t>Dasilva</t>
  </si>
  <si>
    <t>Henry</t>
  </si>
  <si>
    <t>Jensen</t>
  </si>
  <si>
    <t>Wissa</t>
  </si>
  <si>
    <t>Mbeumo</t>
  </si>
  <si>
    <t>Hickey</t>
  </si>
  <si>
    <t>Mee</t>
  </si>
  <si>
    <t>Lallana</t>
  </si>
  <si>
    <t>Welbeck</t>
  </si>
  <si>
    <t>Groß</t>
  </si>
  <si>
    <t>Dunk</t>
  </si>
  <si>
    <t>March</t>
  </si>
  <si>
    <t>Veltman</t>
  </si>
  <si>
    <t>Sánchez</t>
  </si>
  <si>
    <t>Lamptey</t>
  </si>
  <si>
    <t>Mac Allister</t>
  </si>
  <si>
    <t>Mwepu</t>
  </si>
  <si>
    <t>Caicedo</t>
  </si>
  <si>
    <t>Cucurella</t>
  </si>
  <si>
    <t>Thiago Silva</t>
  </si>
  <si>
    <t>Kanté</t>
  </si>
  <si>
    <t>Chilwell</t>
  </si>
  <si>
    <t>Mount</t>
  </si>
  <si>
    <t>Havertz</t>
  </si>
  <si>
    <t>Mendy</t>
  </si>
  <si>
    <t>Broja</t>
  </si>
  <si>
    <t>Sterling</t>
  </si>
  <si>
    <t>Koulibaly</t>
  </si>
  <si>
    <t>Guaita</t>
  </si>
  <si>
    <t>J.Ayew</t>
  </si>
  <si>
    <t>Zaha</t>
  </si>
  <si>
    <t>Schlupp</t>
  </si>
  <si>
    <t>Guéhi</t>
  </si>
  <si>
    <t>C.Doucouré</t>
  </si>
  <si>
    <t>Iwobi</t>
  </si>
  <si>
    <t>Mina</t>
  </si>
  <si>
    <t>Gray</t>
  </si>
  <si>
    <t>Holgate</t>
  </si>
  <si>
    <t>Tarkowski</t>
  </si>
  <si>
    <t>McNeil</t>
  </si>
  <si>
    <t>Ream</t>
  </si>
  <si>
    <t>Kebano</t>
  </si>
  <si>
    <t>De Cordova-Reid</t>
  </si>
  <si>
    <t>Mitrović</t>
  </si>
  <si>
    <t>Reed</t>
  </si>
  <si>
    <t>Tete</t>
  </si>
  <si>
    <t>Robinson</t>
  </si>
  <si>
    <t>Palhinha</t>
  </si>
  <si>
    <t>Andreas</t>
  </si>
  <si>
    <t>Rodrigo</t>
  </si>
  <si>
    <t>Bamford</t>
  </si>
  <si>
    <t>Harrison</t>
  </si>
  <si>
    <t>Struijk</t>
  </si>
  <si>
    <t>Meslier</t>
  </si>
  <si>
    <t>Summerville</t>
  </si>
  <si>
    <t>Adams</t>
  </si>
  <si>
    <t>Ward</t>
  </si>
  <si>
    <t>Tielemans</t>
  </si>
  <si>
    <t>Maddison</t>
  </si>
  <si>
    <t>Dewsbury-Hall</t>
  </si>
  <si>
    <t>Justin</t>
  </si>
  <si>
    <t>Daka</t>
  </si>
  <si>
    <t>Thiago</t>
  </si>
  <si>
    <t>Firmino</t>
  </si>
  <si>
    <t>Van Dijk</t>
  </si>
  <si>
    <t>Alisson</t>
  </si>
  <si>
    <t>Fabinho</t>
  </si>
  <si>
    <t>Salah</t>
  </si>
  <si>
    <t>Robertson</t>
  </si>
  <si>
    <t>Alexander-Arnold</t>
  </si>
  <si>
    <t>Luis Díaz</t>
  </si>
  <si>
    <t>Darwin</t>
  </si>
  <si>
    <t>Gündogan</t>
  </si>
  <si>
    <t>De Bruyne</t>
  </si>
  <si>
    <t>Mahrez</t>
  </si>
  <si>
    <t>Grealish</t>
  </si>
  <si>
    <t>Ederson</t>
  </si>
  <si>
    <t>Aké</t>
  </si>
  <si>
    <t>Rodri</t>
  </si>
  <si>
    <t>Haaland</t>
  </si>
  <si>
    <t>Álvarez</t>
  </si>
  <si>
    <t>Ronaldo</t>
  </si>
  <si>
    <t>De Gea</t>
  </si>
  <si>
    <t>Maguire</t>
  </si>
  <si>
    <t>Shaw</t>
  </si>
  <si>
    <t>Fernandes</t>
  </si>
  <si>
    <t>Rashford</t>
  </si>
  <si>
    <t>Sancho</t>
  </si>
  <si>
    <t>Dalot</t>
  </si>
  <si>
    <t>Malacia</t>
  </si>
  <si>
    <t>Eriksen</t>
  </si>
  <si>
    <t>Garnacho</t>
  </si>
  <si>
    <t>Wilson</t>
  </si>
  <si>
    <t>Trippier</t>
  </si>
  <si>
    <t>Burn</t>
  </si>
  <si>
    <t>Schär</t>
  </si>
  <si>
    <t>Almirón</t>
  </si>
  <si>
    <t>S.Longstaff</t>
  </si>
  <si>
    <t>Willock</t>
  </si>
  <si>
    <t>Bruno Guimarães</t>
  </si>
  <si>
    <t>Pope</t>
  </si>
  <si>
    <t>Botman</t>
  </si>
  <si>
    <t>McKenna</t>
  </si>
  <si>
    <t>Worrall</t>
  </si>
  <si>
    <t>Surridge</t>
  </si>
  <si>
    <t>Johnson</t>
  </si>
  <si>
    <t>Awoniyi</t>
  </si>
  <si>
    <t>Henderson</t>
  </si>
  <si>
    <t>Gibbs-White</t>
  </si>
  <si>
    <t>Romeu</t>
  </si>
  <si>
    <t>Redmond</t>
  </si>
  <si>
    <t>Ward-Prowse</t>
  </si>
  <si>
    <t>Bazunu</t>
  </si>
  <si>
    <t>Lloris</t>
  </si>
  <si>
    <t>Kane</t>
  </si>
  <si>
    <t>Son</t>
  </si>
  <si>
    <t>Doherty</t>
  </si>
  <si>
    <t>Dier</t>
  </si>
  <si>
    <t>Davies</t>
  </si>
  <si>
    <t>Højbjerg</t>
  </si>
  <si>
    <t>Bentancur</t>
  </si>
  <si>
    <t>Romero</t>
  </si>
  <si>
    <t>Emerson Royal</t>
  </si>
  <si>
    <t>Kulusevski</t>
  </si>
  <si>
    <t>Perišić</t>
  </si>
  <si>
    <t>Lenglet</t>
  </si>
  <si>
    <t>Ings</t>
  </si>
  <si>
    <t>Fabianski</t>
  </si>
  <si>
    <t>Antonio</t>
  </si>
  <si>
    <t>Zouma</t>
  </si>
  <si>
    <t>Coufal</t>
  </si>
  <si>
    <t>Bowen</t>
  </si>
  <si>
    <t>Rice</t>
  </si>
  <si>
    <t>Scamacca</t>
  </si>
  <si>
    <t>Sá</t>
  </si>
  <si>
    <t>Neves</t>
  </si>
  <si>
    <t>Podence</t>
  </si>
  <si>
    <t>Kilman</t>
  </si>
  <si>
    <t>Neto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</si>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</sst>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3">
  <autoFilter ref="A1:F13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8">
  <autoFilter ref="A1:F8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>
  <autoFilter ref="A1:F12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2">
  <autoFilter ref="A1:F12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11">
  <autoFilter ref="A1:F11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7">
  <autoFilter ref="A1:F7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8">
  <autoFilter ref="A1:F8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10">
  <autoFilter ref="A1:F10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7">
  <autoFilter ref="A1:F7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1">
  <autoFilter ref="A1:F11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0">
  <autoFilter ref="A1:F10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3">
  <autoFilter ref="A1:F13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1">
  <autoFilter ref="A1:F11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>
  <autoFilter ref="A1:F8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4">
  <autoFilter ref="A1:F14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0">
  <autoFilter ref="A1:F10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7">
  <autoFilter ref="A1:F7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13.59375</v>
      </c>
      <c r="C2">
        <v>12.374541560002051</v>
      </c>
      <c r="D2">
        <f t="shared" ref="D2:D13" si="0">B2*$I$2+C2*$I$3</f>
        <v>11.604052287152843</v>
      </c>
      <c r="E2">
        <v>14</v>
      </c>
      <c r="F2">
        <f>ABS(TableARS[[#This Row],[PP]]-TableARS[[#This Row],[AP]])</f>
        <v>2.3959477128471569</v>
      </c>
      <c r="H2" t="s">
        <v>7</v>
      </c>
      <c r="I2">
        <v>0.44854000304410313</v>
      </c>
    </row>
    <row r="3" spans="1:9" x14ac:dyDescent="0.3">
      <c r="A3" t="s">
        <v>8</v>
      </c>
      <c r="B3">
        <v>12.327586191786983</v>
      </c>
      <c r="C3">
        <v>11.005378945855682</v>
      </c>
      <c r="D3">
        <f t="shared" si="0"/>
        <v>10.426845310401401</v>
      </c>
      <c r="E3">
        <v>12</v>
      </c>
      <c r="F3">
        <f>ABS(TableARS[[#This Row],[PP]]-TableARS[[#This Row],[AP]])</f>
        <v>1.5731546895985993</v>
      </c>
      <c r="H3" t="s">
        <v>9</v>
      </c>
      <c r="I3">
        <v>0.44500328307686848</v>
      </c>
    </row>
    <row r="4" spans="1:9" x14ac:dyDescent="0.3">
      <c r="A4" t="s">
        <v>10</v>
      </c>
      <c r="B4">
        <v>20.1021612831208</v>
      </c>
      <c r="C4">
        <v>42.679466665715374</v>
      </c>
      <c r="D4">
        <f t="shared" si="0"/>
        <v>28.009126269337166</v>
      </c>
      <c r="E4">
        <v>20</v>
      </c>
      <c r="F4">
        <f>ABS(TableARS[[#This Row],[PP]]-TableARS[[#This Row],[AP]])</f>
        <v>8.0091262693371661</v>
      </c>
    </row>
    <row r="5" spans="1:9" x14ac:dyDescent="0.3">
      <c r="A5" t="s">
        <v>11</v>
      </c>
      <c r="B5">
        <v>24.29413899453737</v>
      </c>
      <c r="C5">
        <v>16.207507023710019</v>
      </c>
      <c r="D5">
        <f t="shared" si="0"/>
        <v>18.109287014606021</v>
      </c>
      <c r="E5">
        <v>18</v>
      </c>
      <c r="F5">
        <f>ABS(TableARS[[#This Row],[PP]]-TableARS[[#This Row],[AP]])</f>
        <v>0.10928701460602142</v>
      </c>
      <c r="H5" t="s">
        <v>12</v>
      </c>
      <c r="I5" cm="1">
        <f t="array" ref="I5">(SUM(TableARS[PP]-TableARS[AP]))^2</f>
        <v>7.0997481469891062E-28</v>
      </c>
    </row>
    <row r="6" spans="1:9" x14ac:dyDescent="0.3">
      <c r="A6" t="s">
        <v>13</v>
      </c>
      <c r="B6">
        <v>11.571430490258132</v>
      </c>
      <c r="C6">
        <v>10.31893748215902</v>
      </c>
      <c r="D6">
        <f t="shared" si="0"/>
        <v>9.7822105247507292</v>
      </c>
      <c r="E6">
        <v>22</v>
      </c>
      <c r="F6">
        <f>ABS(TableARS[[#This Row],[PP]]-TableARS[[#This Row],[AP]])</f>
        <v>12.217789475249271</v>
      </c>
    </row>
    <row r="7" spans="1:9" x14ac:dyDescent="0.3">
      <c r="A7" t="s">
        <v>14</v>
      </c>
      <c r="B7">
        <v>19.944743531643553</v>
      </c>
      <c r="C7">
        <v>21.552660608697288</v>
      </c>
      <c r="D7">
        <f t="shared" si="0"/>
        <v>18.537020054309046</v>
      </c>
      <c r="E7">
        <v>29</v>
      </c>
      <c r="F7">
        <f>ABS(TableARS[[#This Row],[PP]]-TableARS[[#This Row],[AP]])</f>
        <v>10.462979945690954</v>
      </c>
      <c r="H7" t="s">
        <v>15</v>
      </c>
      <c r="I7">
        <f>AVERAGE(TableARS[DIFF])/5</f>
        <v>1.1157974114369209</v>
      </c>
    </row>
    <row r="8" spans="1:9" x14ac:dyDescent="0.3">
      <c r="A8" t="s">
        <v>16</v>
      </c>
      <c r="B8">
        <v>17.941176511309621</v>
      </c>
      <c r="C8">
        <v>16.01923937277865</v>
      </c>
      <c r="D8">
        <f t="shared" si="0"/>
        <v>15.175949480278344</v>
      </c>
      <c r="E8">
        <v>22</v>
      </c>
      <c r="F8">
        <f>ABS(TableARS[[#This Row],[PP]]-TableARS[[#This Row],[AP]])</f>
        <v>6.8240505197216557</v>
      </c>
    </row>
    <row r="9" spans="1:9" x14ac:dyDescent="0.3">
      <c r="A9" t="s">
        <v>17</v>
      </c>
      <c r="B9">
        <v>23.193395996856459</v>
      </c>
      <c r="C9">
        <v>15.777679441878899</v>
      </c>
      <c r="D9">
        <f t="shared" si="0"/>
        <v>17.424285062003609</v>
      </c>
      <c r="E9">
        <v>15</v>
      </c>
      <c r="F9">
        <f>ABS(TableARS[[#This Row],[PP]]-TableARS[[#This Row],[AP]])</f>
        <v>2.4242850620036087</v>
      </c>
    </row>
    <row r="10" spans="1:9" x14ac:dyDescent="0.3">
      <c r="A10" t="s">
        <v>18</v>
      </c>
      <c r="B10">
        <v>23.026876841118344</v>
      </c>
      <c r="C10">
        <v>24.191923828173923</v>
      </c>
      <c r="D10">
        <f t="shared" si="0"/>
        <v>21.09396093589433</v>
      </c>
      <c r="E10">
        <v>10</v>
      </c>
      <c r="F10">
        <f>ABS(TableARS[[#This Row],[PP]]-TableARS[[#This Row],[AP]])</f>
        <v>11.09396093589433</v>
      </c>
    </row>
    <row r="11" spans="1:9" x14ac:dyDescent="0.3">
      <c r="A11" t="s">
        <v>19</v>
      </c>
      <c r="B11">
        <v>27.978009209617092</v>
      </c>
      <c r="C11">
        <v>15.283794535977849</v>
      </c>
      <c r="D11">
        <f t="shared" si="0"/>
        <v>19.350595082432044</v>
      </c>
      <c r="E11">
        <v>17</v>
      </c>
      <c r="F11">
        <f>ABS(TableARS[[#This Row],[PP]]-TableARS[[#This Row],[AP]])</f>
        <v>2.3505950824320436</v>
      </c>
    </row>
    <row r="12" spans="1:9" x14ac:dyDescent="0.3">
      <c r="A12" t="s">
        <v>20</v>
      </c>
      <c r="B12">
        <v>21.454545454545453</v>
      </c>
      <c r="C12">
        <v>34.447814356462878</v>
      </c>
      <c r="D12">
        <f t="shared" si="0"/>
        <v>24.95261236694013</v>
      </c>
      <c r="E12">
        <v>17</v>
      </c>
      <c r="F12">
        <f>ABS(TableARS[[#This Row],[PP]]-TableARS[[#This Row],[AP]])</f>
        <v>7.9526123669401301</v>
      </c>
    </row>
    <row r="13" spans="1:9" x14ac:dyDescent="0.3">
      <c r="A13" t="s">
        <v>21</v>
      </c>
      <c r="B13">
        <v>20.518111239412804</v>
      </c>
      <c r="C13">
        <v>14.226551072467643</v>
      </c>
      <c r="D13">
        <f t="shared" si="0"/>
        <v>15.534055611894312</v>
      </c>
      <c r="E13">
        <v>14</v>
      </c>
      <c r="F13">
        <f>ABS(TableARS[[#This Row],[PP]]-TableARS[[#This Row],[AP]])</f>
        <v>1.5340556118943116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22</v>
      </c>
      <c r="B2">
        <v>16.666666664431492</v>
      </c>
      <c r="C2">
        <v>20.095462437427777</v>
      </c>
      <c r="D2">
        <f t="shared" ref="D2:D10" si="0">B2*$I$2+C2*$I$3</f>
        <v>16.401343093507741</v>
      </c>
      <c r="E2">
        <v>15</v>
      </c>
      <c r="F2">
        <f t="shared" ref="F2:F10" si="1">ABS(D2-E2)</f>
        <v>1.4013430935077409</v>
      </c>
      <c r="H2" t="s">
        <v>7</v>
      </c>
      <c r="I2">
        <v>0.35599184926165767</v>
      </c>
    </row>
    <row r="3" spans="1:9" x14ac:dyDescent="0.3">
      <c r="A3" t="s">
        <v>23</v>
      </c>
      <c r="B3">
        <v>14.512536773273879</v>
      </c>
      <c r="C3">
        <v>4.4137829345244706</v>
      </c>
      <c r="D3">
        <f t="shared" si="0"/>
        <v>7.4655764124434825</v>
      </c>
      <c r="E3">
        <v>14</v>
      </c>
      <c r="F3">
        <f t="shared" si="1"/>
        <v>6.5344235875565175</v>
      </c>
      <c r="H3" t="s">
        <v>9</v>
      </c>
      <c r="I3">
        <v>0.52092086157282158</v>
      </c>
    </row>
    <row r="4" spans="1:9" x14ac:dyDescent="0.3">
      <c r="A4" t="s">
        <v>24</v>
      </c>
      <c r="B4">
        <v>24.719123833864909</v>
      </c>
      <c r="C4">
        <v>26.968922803944416</v>
      </c>
      <c r="D4">
        <f t="shared" si="0"/>
        <v>22.848481108467126</v>
      </c>
      <c r="E4">
        <v>29</v>
      </c>
      <c r="F4">
        <f t="shared" si="1"/>
        <v>6.1515188915328736</v>
      </c>
    </row>
    <row r="5" spans="1:9" x14ac:dyDescent="0.3">
      <c r="A5" t="s">
        <v>25</v>
      </c>
      <c r="B5">
        <v>15.645833319683414</v>
      </c>
      <c r="C5">
        <v>22.487884126431766</v>
      </c>
      <c r="D5">
        <f t="shared" si="0"/>
        <v>17.284197110804371</v>
      </c>
      <c r="E5">
        <v>22</v>
      </c>
      <c r="F5">
        <f t="shared" si="1"/>
        <v>4.7158028891956292</v>
      </c>
      <c r="H5" t="s">
        <v>12</v>
      </c>
      <c r="I5" cm="1">
        <f t="array" ref="I5">(SUM(TableAVL[PP]-TableAVL[AP]))^2</f>
        <v>0</v>
      </c>
    </row>
    <row r="6" spans="1:9" x14ac:dyDescent="0.3">
      <c r="A6" t="s">
        <v>26</v>
      </c>
      <c r="B6">
        <v>15.059664707274665</v>
      </c>
      <c r="C6">
        <v>17.533382553953583</v>
      </c>
      <c r="D6">
        <f t="shared" si="0"/>
        <v>14.494622634694608</v>
      </c>
      <c r="E6">
        <v>11</v>
      </c>
      <c r="F6">
        <f t="shared" si="1"/>
        <v>3.4946226346946077</v>
      </c>
    </row>
    <row r="7" spans="1:9" x14ac:dyDescent="0.3">
      <c r="A7" t="s">
        <v>27</v>
      </c>
      <c r="B7">
        <v>13.235294089962963</v>
      </c>
      <c r="C7">
        <v>23.22766749020477</v>
      </c>
      <c r="D7">
        <f t="shared" si="0"/>
        <v>16.811433379932289</v>
      </c>
      <c r="E7">
        <v>20</v>
      </c>
      <c r="F7">
        <f t="shared" si="1"/>
        <v>3.1885666200677107</v>
      </c>
      <c r="H7" t="s">
        <v>15</v>
      </c>
      <c r="I7">
        <f>AVERAGE(TableAVL[DIFF])/5</f>
        <v>0.91512497726012132</v>
      </c>
    </row>
    <row r="8" spans="1:9" x14ac:dyDescent="0.3">
      <c r="A8" t="s">
        <v>28</v>
      </c>
      <c r="B8">
        <v>12.704486044294816</v>
      </c>
      <c r="C8">
        <v>33.166501227606616</v>
      </c>
      <c r="D8">
        <f t="shared" si="0"/>
        <v>21.799815875668315</v>
      </c>
      <c r="E8">
        <v>16</v>
      </c>
      <c r="F8">
        <f t="shared" si="1"/>
        <v>5.7998158756683154</v>
      </c>
    </row>
    <row r="9" spans="1:9" x14ac:dyDescent="0.3">
      <c r="A9" t="s">
        <v>29</v>
      </c>
      <c r="B9">
        <v>13.172321959937896</v>
      </c>
      <c r="C9">
        <v>28.083495438328075</v>
      </c>
      <c r="D9">
        <f t="shared" si="0"/>
        <v>19.318517893298502</v>
      </c>
      <c r="E9">
        <v>11</v>
      </c>
      <c r="F9">
        <f t="shared" si="1"/>
        <v>8.3185178932985018</v>
      </c>
    </row>
    <row r="10" spans="1:9" x14ac:dyDescent="0.3">
      <c r="A10" t="s">
        <v>30</v>
      </c>
      <c r="B10">
        <v>9.31617764285253</v>
      </c>
      <c r="C10">
        <v>21.614663597956845</v>
      </c>
      <c r="D10">
        <f t="shared" si="0"/>
        <v>14.576012491183565</v>
      </c>
      <c r="E10">
        <v>13</v>
      </c>
      <c r="F10">
        <f t="shared" si="1"/>
        <v>1.5760124911835653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31</v>
      </c>
      <c r="B2">
        <v>23.325681475397023</v>
      </c>
      <c r="C2">
        <v>22.019180931161277</v>
      </c>
      <c r="D2">
        <f t="shared" ref="D2:D8" si="0">B2*$I$2+C2*$I$3</f>
        <v>21.884564374015831</v>
      </c>
      <c r="E2">
        <v>10</v>
      </c>
      <c r="F2">
        <f t="shared" ref="F2:F8" si="1">ABS(D2-E2)</f>
        <v>11.884564374015831</v>
      </c>
      <c r="H2" t="s">
        <v>7</v>
      </c>
      <c r="I2">
        <v>0.45767511170879588</v>
      </c>
    </row>
    <row r="3" spans="1:9" x14ac:dyDescent="0.3">
      <c r="A3" t="s">
        <v>32</v>
      </c>
      <c r="B3">
        <v>13.744291835409211</v>
      </c>
      <c r="C3">
        <v>11.800961515949293</v>
      </c>
      <c r="D3">
        <f t="shared" si="0"/>
        <v>12.297762168939975</v>
      </c>
      <c r="E3">
        <v>10</v>
      </c>
      <c r="F3">
        <f t="shared" si="1"/>
        <v>2.2977621689399754</v>
      </c>
      <c r="H3" t="s">
        <v>9</v>
      </c>
      <c r="I3">
        <v>0.50905528839253489</v>
      </c>
    </row>
    <row r="4" spans="1:9" x14ac:dyDescent="0.3">
      <c r="A4" t="s">
        <v>33</v>
      </c>
      <c r="B4">
        <v>12.405819218354919</v>
      </c>
      <c r="C4">
        <v>21.837267063774327</v>
      </c>
      <c r="D4">
        <f t="shared" si="0"/>
        <v>16.794210979454157</v>
      </c>
      <c r="E4">
        <v>12</v>
      </c>
      <c r="F4">
        <f t="shared" si="1"/>
        <v>4.7942109794541565</v>
      </c>
    </row>
    <row r="5" spans="1:9" x14ac:dyDescent="0.3">
      <c r="A5" t="s">
        <v>34</v>
      </c>
      <c r="B5">
        <v>8.6831914042999632</v>
      </c>
      <c r="C5">
        <v>10.803742467894768</v>
      </c>
      <c r="D5">
        <f t="shared" si="0"/>
        <v>9.4737828336646892</v>
      </c>
      <c r="E5">
        <v>12</v>
      </c>
      <c r="F5">
        <f t="shared" si="1"/>
        <v>2.5262171663353108</v>
      </c>
      <c r="H5" t="s">
        <v>12</v>
      </c>
      <c r="I5" cm="1">
        <f t="array" ref="I5">(SUM(TableBOU[PP]-TableBOU[AP]))^2</f>
        <v>1.2621774483536189E-29</v>
      </c>
    </row>
    <row r="6" spans="1:9" x14ac:dyDescent="0.3">
      <c r="A6" t="s">
        <v>35</v>
      </c>
      <c r="B6">
        <v>5.2352404432905839</v>
      </c>
      <c r="C6">
        <v>20.214547947293905</v>
      </c>
      <c r="D6">
        <f t="shared" si="0"/>
        <v>12.686361789739848</v>
      </c>
      <c r="E6">
        <v>14</v>
      </c>
      <c r="F6">
        <f t="shared" si="1"/>
        <v>1.3136382102601516</v>
      </c>
    </row>
    <row r="7" spans="1:9" x14ac:dyDescent="0.3">
      <c r="A7" t="s">
        <v>36</v>
      </c>
      <c r="B7">
        <v>30.129990532947446</v>
      </c>
      <c r="C7">
        <v>10.214655913767185</v>
      </c>
      <c r="D7">
        <f t="shared" si="0"/>
        <v>18.989571394964951</v>
      </c>
      <c r="E7">
        <v>11</v>
      </c>
      <c r="F7">
        <f t="shared" si="1"/>
        <v>7.9895713949649512</v>
      </c>
      <c r="H7" t="s">
        <v>15</v>
      </c>
      <c r="I7">
        <f>AVERAGE(TableBOU[DIFF])/5</f>
        <v>1.5409205095642808</v>
      </c>
    </row>
    <row r="8" spans="1:9" x14ac:dyDescent="0.3">
      <c r="A8" t="s">
        <v>37</v>
      </c>
      <c r="B8">
        <v>10.980348920665744</v>
      </c>
      <c r="C8">
        <v>19.346256221896301</v>
      </c>
      <c r="D8">
        <f t="shared" si="0"/>
        <v>14.873746459220545</v>
      </c>
      <c r="E8">
        <v>38</v>
      </c>
      <c r="F8">
        <f t="shared" si="1"/>
        <v>23.126253540779455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38</v>
      </c>
      <c r="B2">
        <v>53.361111093591077</v>
      </c>
      <c r="C2">
        <v>29.857988644529879</v>
      </c>
      <c r="D2">
        <f t="shared" ref="D2:D12" si="0">B2*$I$2+C2*$I$3</f>
        <v>42.37932889657403</v>
      </c>
      <c r="E2">
        <v>10</v>
      </c>
      <c r="F2">
        <f t="shared" ref="F2:F12" si="1">ABS(D2-E2)</f>
        <v>32.37932889657403</v>
      </c>
      <c r="H2" t="s">
        <v>7</v>
      </c>
      <c r="I2">
        <v>0.47570034344279299</v>
      </c>
    </row>
    <row r="3" spans="1:9" x14ac:dyDescent="0.3">
      <c r="A3" t="s">
        <v>39</v>
      </c>
      <c r="B3">
        <v>15.573597157556479</v>
      </c>
      <c r="C3">
        <v>29.214031320289422</v>
      </c>
      <c r="D3">
        <f t="shared" si="0"/>
        <v>24.037249360635666</v>
      </c>
      <c r="E3">
        <v>18</v>
      </c>
      <c r="F3">
        <f t="shared" si="1"/>
        <v>6.0372493606356663</v>
      </c>
      <c r="H3" t="s">
        <v>9</v>
      </c>
      <c r="I3">
        <v>0.5692088045581517</v>
      </c>
    </row>
    <row r="4" spans="1:9" x14ac:dyDescent="0.3">
      <c r="A4" t="s">
        <v>40</v>
      </c>
      <c r="B4">
        <v>22.002757113503073</v>
      </c>
      <c r="C4">
        <v>38.608628557917832</v>
      </c>
      <c r="D4">
        <f t="shared" si="0"/>
        <v>32.443090422663893</v>
      </c>
      <c r="E4">
        <v>32</v>
      </c>
      <c r="F4">
        <f t="shared" si="1"/>
        <v>0.44309042266389298</v>
      </c>
    </row>
    <row r="5" spans="1:9" x14ac:dyDescent="0.3">
      <c r="A5" t="s">
        <v>41</v>
      </c>
      <c r="B5">
        <v>17.164716041002972</v>
      </c>
      <c r="C5">
        <v>29.837102833970285</v>
      </c>
      <c r="D5">
        <f t="shared" si="0"/>
        <v>25.148802951405997</v>
      </c>
      <c r="E5">
        <v>31</v>
      </c>
      <c r="F5">
        <f t="shared" si="1"/>
        <v>5.8511970485940026</v>
      </c>
      <c r="H5" t="s">
        <v>12</v>
      </c>
      <c r="I5" cm="1">
        <f t="array" ref="I5">(SUM(TableBRE[PP]-TableBRE[AP]))^2</f>
        <v>3.1554436208840472E-30</v>
      </c>
    </row>
    <row r="6" spans="1:9" x14ac:dyDescent="0.3">
      <c r="A6" t="s">
        <v>42</v>
      </c>
      <c r="B6">
        <v>12.647065943923268</v>
      </c>
      <c r="C6">
        <v>17.663848245688619</v>
      </c>
      <c r="D6">
        <f t="shared" si="0"/>
        <v>16.070631556892973</v>
      </c>
      <c r="E6">
        <v>12</v>
      </c>
      <c r="F6">
        <f t="shared" si="1"/>
        <v>4.0706315568929732</v>
      </c>
    </row>
    <row r="7" spans="1:9" x14ac:dyDescent="0.3">
      <c r="A7" t="s">
        <v>43</v>
      </c>
      <c r="B7">
        <v>15.208333296590745</v>
      </c>
      <c r="C7">
        <v>12.623035271200164</v>
      </c>
      <c r="D7">
        <f t="shared" si="0"/>
        <v>14.419752188995911</v>
      </c>
      <c r="E7">
        <v>27</v>
      </c>
      <c r="F7">
        <f t="shared" si="1"/>
        <v>12.580247811004089</v>
      </c>
      <c r="H7" t="s">
        <v>15</v>
      </c>
      <c r="I7">
        <f>AVERAGE(TableBRE[DIFF])/5</f>
        <v>1.9358382920971067</v>
      </c>
    </row>
    <row r="8" spans="1:9" x14ac:dyDescent="0.3">
      <c r="A8" t="s">
        <v>44</v>
      </c>
      <c r="B8">
        <v>11.222222189026567</v>
      </c>
      <c r="C8">
        <v>16.139394593469589</v>
      </c>
      <c r="D8">
        <f t="shared" si="0"/>
        <v>14.525100452352392</v>
      </c>
      <c r="E8">
        <v>28</v>
      </c>
      <c r="F8">
        <f t="shared" si="1"/>
        <v>13.474899547647608</v>
      </c>
    </row>
    <row r="9" spans="1:9" x14ac:dyDescent="0.3">
      <c r="A9" t="s">
        <v>45</v>
      </c>
      <c r="B9">
        <v>23.090909090909093</v>
      </c>
      <c r="C9">
        <v>15.427951090820505</v>
      </c>
      <c r="D9">
        <f t="shared" si="0"/>
        <v>19.766078982139341</v>
      </c>
      <c r="E9">
        <v>18</v>
      </c>
      <c r="F9">
        <f t="shared" si="1"/>
        <v>1.7660789821393408</v>
      </c>
    </row>
    <row r="10" spans="1:9" x14ac:dyDescent="0.3">
      <c r="A10" t="s">
        <v>46</v>
      </c>
      <c r="B10">
        <v>16.199999919515335</v>
      </c>
      <c r="C10">
        <v>14.707961764277947</v>
      </c>
      <c r="D10">
        <f t="shared" si="0"/>
        <v>16.078246858818318</v>
      </c>
      <c r="E10">
        <v>30</v>
      </c>
      <c r="F10">
        <f t="shared" si="1"/>
        <v>13.921753141181682</v>
      </c>
    </row>
    <row r="11" spans="1:9" x14ac:dyDescent="0.3">
      <c r="A11" t="s">
        <v>47</v>
      </c>
      <c r="B11">
        <v>10.476203802022477</v>
      </c>
      <c r="C11">
        <v>23.814881215142673</v>
      </c>
      <c r="D11">
        <f t="shared" si="0"/>
        <v>18.539173813764528</v>
      </c>
      <c r="E11">
        <v>10</v>
      </c>
      <c r="F11">
        <f t="shared" si="1"/>
        <v>8.5391738137645277</v>
      </c>
    </row>
    <row r="12" spans="1:9" x14ac:dyDescent="0.3">
      <c r="A12" t="s">
        <v>48</v>
      </c>
      <c r="B12">
        <v>15.708936433478517</v>
      </c>
      <c r="C12">
        <v>26.562832370393437</v>
      </c>
      <c r="D12">
        <f t="shared" si="0"/>
        <v>22.592544515756956</v>
      </c>
      <c r="E12">
        <v>30</v>
      </c>
      <c r="F12">
        <f t="shared" si="1"/>
        <v>7.4074554842430445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16.222750588752465</v>
      </c>
      <c r="C2">
        <v>16.63614635711383</v>
      </c>
      <c r="D2">
        <f t="shared" ref="D2:D12" si="0">B2*$I$2+C2*$I$3</f>
        <v>15.536790868540649</v>
      </c>
      <c r="E2">
        <v>16</v>
      </c>
      <c r="F2">
        <f t="shared" ref="F2:F12" si="1">ABS(D2-E2)</f>
        <v>0.46320913145935094</v>
      </c>
      <c r="H2" t="s">
        <v>7</v>
      </c>
      <c r="I2">
        <v>0.45629777177132091</v>
      </c>
    </row>
    <row r="3" spans="1:9" x14ac:dyDescent="0.3">
      <c r="A3" t="s">
        <v>50</v>
      </c>
      <c r="B3">
        <v>15.126298451613616</v>
      </c>
      <c r="C3">
        <v>19.409678017752615</v>
      </c>
      <c r="D3">
        <f t="shared" si="0"/>
        <v>16.39262420775955</v>
      </c>
      <c r="E3">
        <v>10</v>
      </c>
      <c r="F3">
        <f t="shared" si="1"/>
        <v>6.3926242077595496</v>
      </c>
      <c r="H3" t="s">
        <v>9</v>
      </c>
      <c r="I3">
        <v>0.48895854534320365</v>
      </c>
    </row>
    <row r="4" spans="1:9" x14ac:dyDescent="0.3">
      <c r="A4" t="s">
        <v>51</v>
      </c>
      <c r="B4">
        <v>16.7561373782539</v>
      </c>
      <c r="C4">
        <v>24.156767941803764</v>
      </c>
      <c r="D4">
        <f t="shared" si="0"/>
        <v>19.457446262209103</v>
      </c>
      <c r="E4">
        <v>18</v>
      </c>
      <c r="F4">
        <f t="shared" si="1"/>
        <v>1.4574462622091033</v>
      </c>
    </row>
    <row r="5" spans="1:9" x14ac:dyDescent="0.3">
      <c r="A5" t="s">
        <v>52</v>
      </c>
      <c r="B5">
        <v>18.914194803838271</v>
      </c>
      <c r="C5">
        <v>14.979421457838875</v>
      </c>
      <c r="D5">
        <f t="shared" si="0"/>
        <v>15.954821069947766</v>
      </c>
      <c r="E5">
        <v>16</v>
      </c>
      <c r="F5">
        <f t="shared" si="1"/>
        <v>4.5178930052234278E-2</v>
      </c>
      <c r="H5" t="s">
        <v>12</v>
      </c>
      <c r="I5" cm="1">
        <f t="array" ref="I5">(SUM(TableBHA[PP]-TableBHA[AP]))^2</f>
        <v>3.1554436208840472E-28</v>
      </c>
    </row>
    <row r="6" spans="1:9" x14ac:dyDescent="0.3">
      <c r="A6" t="s">
        <v>53</v>
      </c>
      <c r="B6">
        <v>14.561270254444816</v>
      </c>
      <c r="C6">
        <v>22.151216568574995</v>
      </c>
      <c r="D6">
        <f t="shared" si="0"/>
        <v>17.475301802215885</v>
      </c>
      <c r="E6">
        <v>45</v>
      </c>
      <c r="F6">
        <f t="shared" si="1"/>
        <v>27.524698197784115</v>
      </c>
    </row>
    <row r="7" spans="1:9" x14ac:dyDescent="0.3">
      <c r="A7" t="s">
        <v>54</v>
      </c>
      <c r="B7">
        <v>14.503303064084978</v>
      </c>
      <c r="C7">
        <v>17.510544061099257</v>
      </c>
      <c r="D7">
        <f t="shared" si="0"/>
        <v>15.179755023749312</v>
      </c>
      <c r="E7">
        <v>15</v>
      </c>
      <c r="F7">
        <f t="shared" si="1"/>
        <v>0.17975502374931196</v>
      </c>
      <c r="H7" t="s">
        <v>15</v>
      </c>
      <c r="I7">
        <f>AVERAGE(TableBHA[DIFF])/5</f>
        <v>1.0465552887366703</v>
      </c>
    </row>
    <row r="8" spans="1:9" x14ac:dyDescent="0.3">
      <c r="A8" t="s">
        <v>55</v>
      </c>
      <c r="B8">
        <v>31.999814013569473</v>
      </c>
      <c r="C8">
        <v>19.96438048242063</v>
      </c>
      <c r="D8">
        <f t="shared" si="0"/>
        <v>24.363198270851079</v>
      </c>
      <c r="E8">
        <v>21</v>
      </c>
      <c r="F8">
        <f t="shared" si="1"/>
        <v>3.363198270851079</v>
      </c>
    </row>
    <row r="9" spans="1:9" x14ac:dyDescent="0.3">
      <c r="A9" t="s">
        <v>56</v>
      </c>
      <c r="B9">
        <v>10.471413239314835</v>
      </c>
      <c r="C9">
        <v>9.1515596429557107</v>
      </c>
      <c r="D9">
        <f t="shared" si="0"/>
        <v>9.2528158190372611</v>
      </c>
      <c r="E9">
        <v>10</v>
      </c>
      <c r="F9">
        <f t="shared" si="1"/>
        <v>0.74718418096273886</v>
      </c>
    </row>
    <row r="10" spans="1:9" x14ac:dyDescent="0.3">
      <c r="A10" t="s">
        <v>57</v>
      </c>
      <c r="B10">
        <v>13.704196294501742</v>
      </c>
      <c r="C10">
        <v>22.123656228002154</v>
      </c>
      <c r="D10">
        <f t="shared" si="0"/>
        <v>17.070745000014977</v>
      </c>
      <c r="E10">
        <v>15</v>
      </c>
      <c r="F10">
        <f t="shared" si="1"/>
        <v>2.070745000014977</v>
      </c>
    </row>
    <row r="11" spans="1:9" x14ac:dyDescent="0.3">
      <c r="A11" t="s">
        <v>58</v>
      </c>
      <c r="B11">
        <v>17.194130836563403</v>
      </c>
      <c r="C11">
        <v>23.464879544289154</v>
      </c>
      <c r="D11">
        <f t="shared" si="0"/>
        <v>19.318996956897557</v>
      </c>
      <c r="E11">
        <v>10</v>
      </c>
      <c r="F11">
        <f t="shared" si="1"/>
        <v>9.318996956897557</v>
      </c>
    </row>
    <row r="12" spans="1:9" x14ac:dyDescent="0.3">
      <c r="A12" t="s">
        <v>59</v>
      </c>
      <c r="B12">
        <v>22.333333333086806</v>
      </c>
      <c r="C12">
        <v>15.966291124298646</v>
      </c>
      <c r="D12">
        <f t="shared" si="0"/>
        <v>17.997504718776845</v>
      </c>
      <c r="E12">
        <v>12</v>
      </c>
      <c r="F12">
        <f t="shared" si="1"/>
        <v>5.9975047187768453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12.727975315794145</v>
      </c>
      <c r="C2">
        <v>24.286545386558007</v>
      </c>
      <c r="D2">
        <f t="shared" ref="D2:D11" si="0">B2*$I$2+C2*$I$3</f>
        <v>12.524850912788811</v>
      </c>
      <c r="E2">
        <v>17</v>
      </c>
      <c r="F2">
        <f t="shared" ref="F2:F11" si="1">ABS(D2-E2)</f>
        <v>4.4751490872111894</v>
      </c>
      <c r="H2" t="s">
        <v>7</v>
      </c>
      <c r="I2">
        <v>0.36076129547853131</v>
      </c>
    </row>
    <row r="3" spans="1:9" x14ac:dyDescent="0.3">
      <c r="A3" t="s">
        <v>61</v>
      </c>
      <c r="B3">
        <v>18.92857144432336</v>
      </c>
      <c r="C3">
        <v>19.553412608339219</v>
      </c>
      <c r="D3">
        <f t="shared" si="0"/>
        <v>13.215729620712128</v>
      </c>
      <c r="E3">
        <v>23</v>
      </c>
      <c r="F3">
        <f t="shared" si="1"/>
        <v>9.7842703792878716</v>
      </c>
      <c r="H3" t="s">
        <v>9</v>
      </c>
      <c r="I3">
        <v>0.32664547068250027</v>
      </c>
    </row>
    <row r="4" spans="1:9" x14ac:dyDescent="0.3">
      <c r="A4" t="s">
        <v>62</v>
      </c>
      <c r="B4">
        <v>14.116856501820624</v>
      </c>
      <c r="C4">
        <v>15.28647234281677</v>
      </c>
      <c r="D4">
        <f t="shared" si="0"/>
        <v>10.086072393175744</v>
      </c>
      <c r="E4">
        <v>10</v>
      </c>
      <c r="F4">
        <f t="shared" si="1"/>
        <v>8.6072393175744111E-2</v>
      </c>
    </row>
    <row r="5" spans="1:9" x14ac:dyDescent="0.3">
      <c r="A5" t="s">
        <v>63</v>
      </c>
      <c r="B5">
        <v>17.142866243878718</v>
      </c>
      <c r="C5">
        <v>28.990397839278973</v>
      </c>
      <c r="D5">
        <f t="shared" si="0"/>
        <v>15.65406478184109</v>
      </c>
      <c r="E5">
        <v>10</v>
      </c>
      <c r="F5">
        <f t="shared" si="1"/>
        <v>5.6540647818410896</v>
      </c>
      <c r="H5" t="s">
        <v>12</v>
      </c>
      <c r="I5" cm="1">
        <f t="array" ref="I5">(SUM(TableCHE[PP]-TableCHE[AP]))^2</f>
        <v>9.5452169531742428E-29</v>
      </c>
    </row>
    <row r="6" spans="1:9" x14ac:dyDescent="0.3">
      <c r="A6" t="s">
        <v>64</v>
      </c>
      <c r="B6">
        <v>56.395567202789955</v>
      </c>
      <c r="C6">
        <v>28.418982437626401</v>
      </c>
      <c r="D6">
        <f t="shared" si="0"/>
        <v>29.628269777981259</v>
      </c>
      <c r="E6">
        <v>14</v>
      </c>
      <c r="F6">
        <f t="shared" si="1"/>
        <v>15.628269777981259</v>
      </c>
    </row>
    <row r="7" spans="1:9" x14ac:dyDescent="0.3">
      <c r="A7" t="s">
        <v>65</v>
      </c>
      <c r="B7">
        <v>22.000300341446902</v>
      </c>
      <c r="C7">
        <v>26.82182868206408</v>
      </c>
      <c r="D7">
        <f t="shared" si="0"/>
        <v>16.698085706515364</v>
      </c>
      <c r="E7">
        <v>14</v>
      </c>
      <c r="F7">
        <f t="shared" si="1"/>
        <v>2.6980857065153643</v>
      </c>
      <c r="H7" t="s">
        <v>15</v>
      </c>
      <c r="I7">
        <f>AVERAGE(TableCHE[DIFF])/5</f>
        <v>1.0144479486553795</v>
      </c>
    </row>
    <row r="8" spans="1:9" x14ac:dyDescent="0.3">
      <c r="A8" t="s">
        <v>66</v>
      </c>
      <c r="B8">
        <v>20.241935483594911</v>
      </c>
      <c r="C8">
        <v>12.221810945289057</v>
      </c>
      <c r="D8">
        <f t="shared" si="0"/>
        <v>11.294706056871028</v>
      </c>
      <c r="E8">
        <v>10</v>
      </c>
      <c r="F8">
        <f t="shared" si="1"/>
        <v>1.2947060568710285</v>
      </c>
    </row>
    <row r="9" spans="1:9" x14ac:dyDescent="0.3">
      <c r="A9" t="s">
        <v>67</v>
      </c>
      <c r="B9">
        <v>13.240070016836889</v>
      </c>
      <c r="C9">
        <v>3.7768995691846468</v>
      </c>
      <c r="D9">
        <f t="shared" si="0"/>
        <v>6.0102119489973864</v>
      </c>
      <c r="E9">
        <v>10</v>
      </c>
      <c r="F9">
        <f t="shared" si="1"/>
        <v>3.9897880510026136</v>
      </c>
    </row>
    <row r="10" spans="1:9" x14ac:dyDescent="0.3">
      <c r="A10" t="s">
        <v>68</v>
      </c>
      <c r="B10">
        <v>32.696113404558616</v>
      </c>
      <c r="C10">
        <v>15.755834074167824</v>
      </c>
      <c r="D10">
        <f t="shared" si="0"/>
        <v>16.942064066093465</v>
      </c>
      <c r="E10">
        <v>18</v>
      </c>
      <c r="F10">
        <f t="shared" si="1"/>
        <v>1.0579359339065348</v>
      </c>
    </row>
    <row r="11" spans="1:9" x14ac:dyDescent="0.3">
      <c r="A11" t="s">
        <v>69</v>
      </c>
      <c r="B11">
        <v>13.372220322026923</v>
      </c>
      <c r="C11">
        <v>24.864159883359598</v>
      </c>
      <c r="D11">
        <f t="shared" si="0"/>
        <v>12.945944735023714</v>
      </c>
      <c r="E11">
        <v>19</v>
      </c>
      <c r="F11">
        <f t="shared" si="1"/>
        <v>6.0540552649762862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70</v>
      </c>
      <c r="B2">
        <v>18.59253783715323</v>
      </c>
      <c r="C2">
        <v>13.606817928252743</v>
      </c>
      <c r="D2">
        <f t="shared" ref="D2:D7" si="0">B2*$I$2+C2*$I$3</f>
        <v>12.459548745682547</v>
      </c>
      <c r="E2">
        <v>19</v>
      </c>
      <c r="F2">
        <f t="shared" ref="F2:F7" si="1">ABS(D2-E2)</f>
        <v>6.5404512543174533</v>
      </c>
      <c r="H2" t="s">
        <v>7</v>
      </c>
      <c r="I2">
        <v>0.48574468302266494</v>
      </c>
    </row>
    <row r="3" spans="1:9" x14ac:dyDescent="0.3">
      <c r="A3" t="s">
        <v>71</v>
      </c>
      <c r="B3">
        <v>15.496240767118337</v>
      </c>
      <c r="C3">
        <v>8.9722474106114412</v>
      </c>
      <c r="D3">
        <f t="shared" si="0"/>
        <v>9.7878300597196066</v>
      </c>
      <c r="E3">
        <v>10</v>
      </c>
      <c r="F3">
        <f t="shared" si="1"/>
        <v>0.21216994028039338</v>
      </c>
      <c r="H3" t="s">
        <v>9</v>
      </c>
      <c r="I3">
        <v>0.25195621529330481</v>
      </c>
    </row>
    <row r="4" spans="1:9" x14ac:dyDescent="0.3">
      <c r="A4" t="s">
        <v>72</v>
      </c>
      <c r="B4">
        <v>44.961382541977727</v>
      </c>
      <c r="C4">
        <v>21.669655448884146</v>
      </c>
      <c r="D4">
        <f t="shared" si="0"/>
        <v>27.299556884724542</v>
      </c>
      <c r="E4">
        <v>12</v>
      </c>
      <c r="F4">
        <f t="shared" si="1"/>
        <v>15.299556884724542</v>
      </c>
    </row>
    <row r="5" spans="1:9" x14ac:dyDescent="0.3">
      <c r="A5" t="s">
        <v>73</v>
      </c>
      <c r="B5">
        <v>13.072001501279116</v>
      </c>
      <c r="C5">
        <v>6.2553448391047777</v>
      </c>
      <c r="D5">
        <f t="shared" si="0"/>
        <v>7.9257282367259716</v>
      </c>
      <c r="E5">
        <v>16</v>
      </c>
      <c r="F5">
        <f t="shared" si="1"/>
        <v>8.0742717632740284</v>
      </c>
      <c r="H5" t="s">
        <v>12</v>
      </c>
      <c r="I5" cm="1">
        <f t="array" ref="I5">(SUM(TableCRY[PP]-TableCRY[AP]))^2</f>
        <v>0</v>
      </c>
    </row>
    <row r="6" spans="1:9" x14ac:dyDescent="0.3">
      <c r="A6" t="s">
        <v>74</v>
      </c>
      <c r="B6">
        <v>14.942129722957212</v>
      </c>
      <c r="C6">
        <v>8.621136651418869</v>
      </c>
      <c r="D6">
        <f t="shared" si="0"/>
        <v>9.4302090281792843</v>
      </c>
      <c r="E6">
        <v>10</v>
      </c>
      <c r="F6">
        <f t="shared" si="1"/>
        <v>0.5697909718207157</v>
      </c>
    </row>
    <row r="7" spans="1:9" x14ac:dyDescent="0.3">
      <c r="A7" t="s">
        <v>75</v>
      </c>
      <c r="B7">
        <v>22.714285653439308</v>
      </c>
      <c r="C7">
        <v>8.1910404859409187</v>
      </c>
      <c r="D7">
        <f t="shared" si="0"/>
        <v>13.097127044968049</v>
      </c>
      <c r="E7">
        <v>13</v>
      </c>
      <c r="F7">
        <f t="shared" si="1"/>
        <v>9.7127044968049248E-2</v>
      </c>
      <c r="H7" t="s">
        <v>15</v>
      </c>
      <c r="I7">
        <f>AVERAGE(TableCRY[DIFF])/5</f>
        <v>1.0264455953128393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H2" t="s">
        <v>7</v>
      </c>
      <c r="I2">
        <v>0.48651793657279335</v>
      </c>
    </row>
    <row r="3" spans="1:9" x14ac:dyDescent="0.3">
      <c r="A3" t="s">
        <v>76</v>
      </c>
      <c r="B3">
        <v>13.00430086887741</v>
      </c>
      <c r="C3">
        <v>12.924068963938728</v>
      </c>
      <c r="D3">
        <f t="shared" ref="D2:D8" si="0">B3*$I$2+C3*$I$3</f>
        <v>18.962870113507904</v>
      </c>
      <c r="E3">
        <v>13</v>
      </c>
      <c r="F3">
        <f t="shared" ref="F2:F8" si="1">ABS(D3-E3)</f>
        <v>5.9628701135079041</v>
      </c>
      <c r="H3" t="s">
        <v>9</v>
      </c>
      <c r="I3">
        <v>0.97771410253748248</v>
      </c>
    </row>
    <row r="4" spans="1:9" x14ac:dyDescent="0.3">
      <c r="A4" t="s">
        <v>77</v>
      </c>
      <c r="B4">
        <v>13.644083599752198</v>
      </c>
      <c r="C4">
        <v>8.5172456478217242</v>
      </c>
      <c r="D4">
        <f t="shared" si="0"/>
        <v>14.965522584029426</v>
      </c>
      <c r="E4">
        <v>20</v>
      </c>
      <c r="F4">
        <f t="shared" si="1"/>
        <v>5.0344774159705743</v>
      </c>
    </row>
    <row r="5" spans="1:9" x14ac:dyDescent="0.3">
      <c r="A5" t="s">
        <v>78</v>
      </c>
      <c r="B5">
        <v>13.118811852791568</v>
      </c>
      <c r="C5">
        <v>8.3241816983820272</v>
      </c>
      <c r="D5">
        <f t="shared" si="0"/>
        <v>14.521207111499379</v>
      </c>
      <c r="E5">
        <v>24</v>
      </c>
      <c r="F5">
        <f t="shared" si="1"/>
        <v>9.478792888500621</v>
      </c>
      <c r="H5" t="s">
        <v>12</v>
      </c>
      <c r="I5" cm="1">
        <f t="array" ref="I5">(SUM(TableEVE[PP]-TableEVE[AP]))^2</f>
        <v>0</v>
      </c>
    </row>
    <row r="6" spans="1:9" x14ac:dyDescent="0.3">
      <c r="A6" t="s">
        <v>79</v>
      </c>
      <c r="B6">
        <v>11.203854523974943</v>
      </c>
      <c r="C6">
        <v>19.682831529043984</v>
      </c>
      <c r="D6">
        <f t="shared" si="0"/>
        <v>24.695058148481749</v>
      </c>
      <c r="E6">
        <v>16</v>
      </c>
      <c r="F6">
        <f t="shared" si="1"/>
        <v>8.6950581484817491</v>
      </c>
    </row>
    <row r="7" spans="1:9" x14ac:dyDescent="0.3">
      <c r="A7" t="s">
        <v>80</v>
      </c>
      <c r="B7">
        <v>15.749162497312513</v>
      </c>
      <c r="C7">
        <v>8.8567625531120271</v>
      </c>
      <c r="D7">
        <f t="shared" si="0"/>
        <v>16.321631691945612</v>
      </c>
      <c r="E7">
        <v>17</v>
      </c>
      <c r="F7">
        <f t="shared" si="1"/>
        <v>0.67836830805438808</v>
      </c>
      <c r="H7" t="s">
        <v>15</v>
      </c>
      <c r="I7">
        <f>AVERAGE(TableEVE[DIFF])/5</f>
        <v>1.0127759075017055</v>
      </c>
    </row>
    <row r="8" spans="1:9" x14ac:dyDescent="0.3">
      <c r="A8" t="s">
        <v>81</v>
      </c>
      <c r="B8">
        <v>14.681041318998219</v>
      </c>
      <c r="C8">
        <v>8.5823866092340708</v>
      </c>
      <c r="D8">
        <f t="shared" si="0"/>
        <v>15.53371035053593</v>
      </c>
      <c r="E8">
        <v>15</v>
      </c>
      <c r="F8">
        <f t="shared" si="1"/>
        <v>0.53371035053593019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82</v>
      </c>
      <c r="B2">
        <v>6.8713490696851505</v>
      </c>
      <c r="C2">
        <v>13.070395116773984</v>
      </c>
      <c r="D2">
        <f t="shared" ref="D2:D10" si="0">B2*$I$2+C2*$I$3</f>
        <v>10.723216992064991</v>
      </c>
      <c r="E2">
        <v>22</v>
      </c>
      <c r="F2">
        <f t="shared" ref="F2:F10" si="1">ABS(D2-E2)</f>
        <v>11.276783007935009</v>
      </c>
      <c r="H2" t="s">
        <v>7</v>
      </c>
      <c r="I2">
        <v>0.49852932730899996</v>
      </c>
    </row>
    <row r="3" spans="1:9" x14ac:dyDescent="0.3">
      <c r="A3" t="s">
        <v>83</v>
      </c>
      <c r="B3">
        <v>7.7977834445340219</v>
      </c>
      <c r="C3">
        <v>22.677424535642231</v>
      </c>
      <c r="D3">
        <f t="shared" si="0"/>
        <v>16.549004313360072</v>
      </c>
      <c r="E3">
        <v>17</v>
      </c>
      <c r="F3">
        <f t="shared" si="1"/>
        <v>0.45099568663992784</v>
      </c>
      <c r="H3" t="s">
        <v>9</v>
      </c>
      <c r="I3">
        <v>0.55833415114467666</v>
      </c>
    </row>
    <row r="4" spans="1:9" x14ac:dyDescent="0.3">
      <c r="A4" t="s">
        <v>84</v>
      </c>
      <c r="B4">
        <v>16.033075271444346</v>
      </c>
      <c r="C4">
        <v>13.45889466836616</v>
      </c>
      <c r="D4">
        <f t="shared" si="0"/>
        <v>15.507518759775547</v>
      </c>
      <c r="E4">
        <v>11</v>
      </c>
      <c r="F4">
        <f t="shared" si="1"/>
        <v>4.5075187597755466</v>
      </c>
    </row>
    <row r="5" spans="1:9" x14ac:dyDescent="0.3">
      <c r="A5" t="s">
        <v>85</v>
      </c>
      <c r="B5">
        <v>19.25</v>
      </c>
      <c r="C5">
        <v>15.406358549051323</v>
      </c>
      <c r="D5">
        <f t="shared" si="0"/>
        <v>18.198585673413351</v>
      </c>
      <c r="E5">
        <v>11</v>
      </c>
      <c r="F5">
        <f t="shared" si="1"/>
        <v>7.1985856734133513</v>
      </c>
      <c r="H5" t="s">
        <v>12</v>
      </c>
      <c r="I5" cm="1">
        <f t="array" ref="I5">(SUM(TableFUL[PP]-TableFUL[AP]))^2</f>
        <v>7.8886090522101181E-29</v>
      </c>
    </row>
    <row r="6" spans="1:9" x14ac:dyDescent="0.3">
      <c r="A6" t="s">
        <v>86</v>
      </c>
      <c r="B6">
        <v>12.159090909090908</v>
      </c>
      <c r="C6">
        <v>12.065488171396559</v>
      </c>
      <c r="D6">
        <f t="shared" si="0"/>
        <v>12.798237507920902</v>
      </c>
      <c r="E6">
        <v>12</v>
      </c>
      <c r="F6">
        <f t="shared" si="1"/>
        <v>0.79823750792090209</v>
      </c>
    </row>
    <row r="7" spans="1:9" x14ac:dyDescent="0.3">
      <c r="A7" t="s">
        <v>87</v>
      </c>
      <c r="B7">
        <v>11.411063371395766</v>
      </c>
      <c r="C7">
        <v>14.056332672689678</v>
      </c>
      <c r="D7">
        <f t="shared" si="0"/>
        <v>13.536880317435676</v>
      </c>
      <c r="E7">
        <v>18</v>
      </c>
      <c r="F7">
        <f t="shared" si="1"/>
        <v>4.463119682564324</v>
      </c>
      <c r="H7" t="s">
        <v>15</v>
      </c>
      <c r="I7">
        <f>AVERAGE(TableFUL[DIFF])/5</f>
        <v>1.0061430004143508</v>
      </c>
    </row>
    <row r="8" spans="1:9" x14ac:dyDescent="0.3">
      <c r="A8" t="s">
        <v>88</v>
      </c>
      <c r="B8">
        <v>9.4670913961542986</v>
      </c>
      <c r="C8">
        <v>14.029337353732865</v>
      </c>
      <c r="D8">
        <f t="shared" si="0"/>
        <v>12.552680867816367</v>
      </c>
      <c r="E8">
        <v>19</v>
      </c>
      <c r="F8">
        <f t="shared" si="1"/>
        <v>6.4473191321836332</v>
      </c>
    </row>
    <row r="9" spans="1:9" x14ac:dyDescent="0.3">
      <c r="A9" t="s">
        <v>89</v>
      </c>
      <c r="B9">
        <v>9.7298033422496264</v>
      </c>
      <c r="C9">
        <v>14.72908035864684</v>
      </c>
      <c r="D9">
        <f t="shared" si="0"/>
        <v>13.074340894247378</v>
      </c>
      <c r="E9">
        <v>10</v>
      </c>
      <c r="F9">
        <f t="shared" si="1"/>
        <v>3.0743408942473778</v>
      </c>
    </row>
    <row r="10" spans="1:9" x14ac:dyDescent="0.3">
      <c r="A10" t="s">
        <v>90</v>
      </c>
      <c r="B10">
        <v>28.29411762870232</v>
      </c>
      <c r="C10">
        <v>16.03714769617741</v>
      </c>
      <c r="D10">
        <f t="shared" si="0"/>
        <v>23.059534673965707</v>
      </c>
      <c r="E10">
        <v>16</v>
      </c>
      <c r="F10">
        <f t="shared" si="1"/>
        <v>7.0595346739657074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19.629715740054579</v>
      </c>
      <c r="C2">
        <v>27.708846536013116</v>
      </c>
      <c r="D2">
        <f t="shared" ref="D2:D8" si="0">B2*$I$2+C2*$I$3</f>
        <v>18.349261079944103</v>
      </c>
      <c r="E2">
        <v>15</v>
      </c>
      <c r="F2">
        <f t="shared" ref="F2:F8" si="1">ABS(D2-E2)</f>
        <v>3.3492610799441032</v>
      </c>
      <c r="H2" t="s">
        <v>7</v>
      </c>
      <c r="I2">
        <v>0.37881686399839909</v>
      </c>
    </row>
    <row r="3" spans="1:9" x14ac:dyDescent="0.3">
      <c r="A3" t="s">
        <v>92</v>
      </c>
      <c r="B3">
        <v>20.551361169112752</v>
      </c>
      <c r="C3">
        <v>7.0531948308017922</v>
      </c>
      <c r="D3">
        <f t="shared" si="0"/>
        <v>10.563119394893965</v>
      </c>
      <c r="E3">
        <v>17</v>
      </c>
      <c r="F3">
        <f t="shared" si="1"/>
        <v>6.436880605106035</v>
      </c>
      <c r="H3" t="s">
        <v>9</v>
      </c>
      <c r="I3">
        <v>0.39385232827836281</v>
      </c>
    </row>
    <row r="4" spans="1:9" x14ac:dyDescent="0.3">
      <c r="A4" t="s">
        <v>93</v>
      </c>
      <c r="B4">
        <v>19.177215204395413</v>
      </c>
      <c r="C4">
        <v>13.742653900896066</v>
      </c>
      <c r="D4">
        <f t="shared" si="0"/>
        <v>12.67722875954313</v>
      </c>
      <c r="E4">
        <v>14</v>
      </c>
      <c r="F4">
        <f t="shared" si="1"/>
        <v>1.3227712404568699</v>
      </c>
    </row>
    <row r="5" spans="1:9" x14ac:dyDescent="0.3">
      <c r="A5" t="s">
        <v>94</v>
      </c>
      <c r="B5">
        <v>12.171875</v>
      </c>
      <c r="C5">
        <v>16.912310476311522</v>
      </c>
      <c r="D5">
        <f t="shared" si="0"/>
        <v>11.271864374142353</v>
      </c>
      <c r="E5">
        <v>14</v>
      </c>
      <c r="F5">
        <f t="shared" si="1"/>
        <v>2.7281356258576466</v>
      </c>
      <c r="H5" t="s">
        <v>12</v>
      </c>
      <c r="I5" cm="1">
        <f t="array" ref="I5">(SUM(TableLEE[PP]-TableLEE[AP]))^2</f>
        <v>2.8398992587956425E-29</v>
      </c>
    </row>
    <row r="6" spans="1:9" x14ac:dyDescent="0.3">
      <c r="A6" t="s">
        <v>95</v>
      </c>
      <c r="B6">
        <v>19.189560451667631</v>
      </c>
      <c r="C6">
        <v>27.656734246568661</v>
      </c>
      <c r="D6">
        <f t="shared" si="0"/>
        <v>18.161998287395434</v>
      </c>
      <c r="E6">
        <v>12</v>
      </c>
      <c r="F6">
        <f t="shared" si="1"/>
        <v>6.1619982873954342</v>
      </c>
    </row>
    <row r="7" spans="1:9" x14ac:dyDescent="0.3">
      <c r="A7" t="s">
        <v>96</v>
      </c>
      <c r="B7">
        <v>21.386688984361431</v>
      </c>
      <c r="C7">
        <v>25.140263715391431</v>
      </c>
      <c r="D7">
        <f t="shared" si="0"/>
        <v>18.003189850203864</v>
      </c>
      <c r="E7">
        <v>19</v>
      </c>
      <c r="F7">
        <f t="shared" si="1"/>
        <v>0.99681014979613636</v>
      </c>
      <c r="H7" t="s">
        <v>15</v>
      </c>
      <c r="I7">
        <f>AVERAGE(TableLEE[DIFF])/5</f>
        <v>0.65626272121238194</v>
      </c>
    </row>
    <row r="8" spans="1:9" x14ac:dyDescent="0.3">
      <c r="A8" t="s">
        <v>97</v>
      </c>
      <c r="B8">
        <v>17.285714262692121</v>
      </c>
      <c r="C8">
        <v>16.313774792187004</v>
      </c>
      <c r="D8">
        <f t="shared" si="0"/>
        <v>12.973338253877145</v>
      </c>
      <c r="E8">
        <v>11</v>
      </c>
      <c r="F8">
        <f t="shared" si="1"/>
        <v>1.9733382538771451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28.203988850842958</v>
      </c>
      <c r="C2">
        <v>28.117539267906881</v>
      </c>
      <c r="D2">
        <f t="shared" ref="D2:D7" si="0">B2*$I$2+C2*$I$3</f>
        <v>25.886781910497099</v>
      </c>
      <c r="E2">
        <v>10</v>
      </c>
      <c r="F2">
        <f t="shared" ref="F2:F7" si="1">ABS(D2-E2)</f>
        <v>15.886781910497099</v>
      </c>
      <c r="H2" t="s">
        <v>7</v>
      </c>
      <c r="I2">
        <v>0.45540368732584352</v>
      </c>
    </row>
    <row r="3" spans="1:9" x14ac:dyDescent="0.3">
      <c r="A3" t="s">
        <v>99</v>
      </c>
      <c r="B3">
        <v>17.79069767485197</v>
      </c>
      <c r="C3">
        <v>24.135305470553362</v>
      </c>
      <c r="D3">
        <f t="shared" si="0"/>
        <v>19.297334628084108</v>
      </c>
      <c r="E3">
        <v>10</v>
      </c>
      <c r="F3">
        <f t="shared" si="1"/>
        <v>9.2973346280841085</v>
      </c>
      <c r="H3" t="s">
        <v>9</v>
      </c>
      <c r="I3">
        <v>0.46385927538875799</v>
      </c>
    </row>
    <row r="4" spans="1:9" x14ac:dyDescent="0.3">
      <c r="A4" t="s">
        <v>100</v>
      </c>
      <c r="B4">
        <v>21.428126720238563</v>
      </c>
      <c r="C4">
        <v>28.171212256883695</v>
      </c>
      <c r="D4">
        <f t="shared" si="0"/>
        <v>22.825926025183044</v>
      </c>
      <c r="E4">
        <v>36</v>
      </c>
      <c r="F4">
        <f t="shared" si="1"/>
        <v>13.174073974816956</v>
      </c>
    </row>
    <row r="5" spans="1:9" x14ac:dyDescent="0.3">
      <c r="A5" t="s">
        <v>101</v>
      </c>
      <c r="B5">
        <v>13.250889328665558</v>
      </c>
      <c r="C5">
        <v>14.59445607553929</v>
      </c>
      <c r="D5">
        <f t="shared" si="0"/>
        <v>12.804277680513678</v>
      </c>
      <c r="E5">
        <v>16</v>
      </c>
      <c r="F5">
        <f t="shared" si="1"/>
        <v>3.1957223194863218</v>
      </c>
      <c r="H5" t="s">
        <v>12</v>
      </c>
      <c r="I5" cm="1">
        <f t="array" ref="I5">(SUM(TableLEI[PP]-TableLEI[AP]))^2</f>
        <v>1.135959703518257E-28</v>
      </c>
    </row>
    <row r="6" spans="1:9" x14ac:dyDescent="0.3">
      <c r="A6" t="s">
        <v>102</v>
      </c>
      <c r="B6">
        <v>20.165619601231771</v>
      </c>
      <c r="C6">
        <v>19.253120086374079</v>
      </c>
      <c r="D6">
        <f t="shared" si="0"/>
        <v>18.114235855849476</v>
      </c>
      <c r="E6">
        <v>28</v>
      </c>
      <c r="F6">
        <f t="shared" si="1"/>
        <v>9.8857641441505244</v>
      </c>
    </row>
    <row r="7" spans="1:9" x14ac:dyDescent="0.3">
      <c r="A7" t="s">
        <v>103</v>
      </c>
      <c r="B7">
        <v>20.94424993402437</v>
      </c>
      <c r="C7">
        <v>9.773126230675178</v>
      </c>
      <c r="D7">
        <f t="shared" si="0"/>
        <v>14.071443899872605</v>
      </c>
      <c r="E7">
        <v>13</v>
      </c>
      <c r="F7">
        <f t="shared" si="1"/>
        <v>1.0714438998726052</v>
      </c>
      <c r="H7" t="s">
        <v>15</v>
      </c>
      <c r="I7">
        <f>AVERAGE(TableLEI[DIFF])/5</f>
        <v>1.7503706958969203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104</v>
      </c>
      <c r="B2">
        <v>24.328157227550069</v>
      </c>
      <c r="C2">
        <v>9.9559193796752687</v>
      </c>
      <c r="D2">
        <f t="shared" ref="D2:D11" si="0">B2*$I$2+C2*$I$3</f>
        <v>10.517882105476229</v>
      </c>
      <c r="E2">
        <v>10</v>
      </c>
      <c r="F2">
        <f t="shared" ref="F2:F11" si="1">ABS(D2-E2)</f>
        <v>0.51788210547622882</v>
      </c>
      <c r="H2" t="s">
        <v>7</v>
      </c>
      <c r="I2">
        <v>0.32279945869122312</v>
      </c>
    </row>
    <row r="3" spans="1:9" x14ac:dyDescent="0.3">
      <c r="A3" t="s">
        <v>105</v>
      </c>
      <c r="B3">
        <v>7.6472294129686027</v>
      </c>
      <c r="C3">
        <v>34.084004504063856</v>
      </c>
      <c r="D3">
        <f t="shared" si="0"/>
        <v>11.591325449285858</v>
      </c>
      <c r="E3">
        <v>13</v>
      </c>
      <c r="F3">
        <f t="shared" si="1"/>
        <v>1.4086745507141423</v>
      </c>
      <c r="H3" t="s">
        <v>9</v>
      </c>
      <c r="I3">
        <v>0.26765645841891245</v>
      </c>
    </row>
    <row r="4" spans="1:9" x14ac:dyDescent="0.3">
      <c r="A4" t="s">
        <v>106</v>
      </c>
      <c r="B4">
        <v>25</v>
      </c>
      <c r="C4">
        <v>24.220636812961708</v>
      </c>
      <c r="D4">
        <f t="shared" si="0"/>
        <v>14.552796337288644</v>
      </c>
      <c r="E4">
        <v>15</v>
      </c>
      <c r="F4">
        <f t="shared" si="1"/>
        <v>0.44720366271135603</v>
      </c>
    </row>
    <row r="5" spans="1:9" x14ac:dyDescent="0.3">
      <c r="A5" t="s">
        <v>107</v>
      </c>
      <c r="B5">
        <v>21.703405872444513</v>
      </c>
      <c r="C5">
        <v>22.432197897537172</v>
      </c>
      <c r="D5">
        <f t="shared" si="0"/>
        <v>13.009970311187976</v>
      </c>
      <c r="E5">
        <v>21</v>
      </c>
      <c r="F5">
        <f t="shared" si="1"/>
        <v>7.9900296888120241</v>
      </c>
      <c r="H5" t="s">
        <v>12</v>
      </c>
      <c r="I5" cm="1">
        <f t="array" ref="I5">(SUM(TableLIV[PP]-TableLIV[AP]))^2</f>
        <v>3.1554436208840472E-30</v>
      </c>
    </row>
    <row r="6" spans="1:9" x14ac:dyDescent="0.3">
      <c r="A6" t="s">
        <v>108</v>
      </c>
      <c r="B6">
        <v>14.130081300813007</v>
      </c>
      <c r="C6">
        <v>12.771776092205712</v>
      </c>
      <c r="D6">
        <f t="shared" si="0"/>
        <v>7.9796309517245305</v>
      </c>
      <c r="E6">
        <v>10</v>
      </c>
      <c r="F6">
        <f t="shared" si="1"/>
        <v>2.0203690482754695</v>
      </c>
    </row>
    <row r="7" spans="1:9" x14ac:dyDescent="0.3">
      <c r="A7" t="s">
        <v>109</v>
      </c>
      <c r="B7">
        <v>86.294980196860664</v>
      </c>
      <c r="C7">
        <v>29.218131697630803</v>
      </c>
      <c r="D7">
        <f t="shared" si="0"/>
        <v>35.676394547121667</v>
      </c>
      <c r="E7">
        <v>20</v>
      </c>
      <c r="F7">
        <f t="shared" si="1"/>
        <v>15.676394547121667</v>
      </c>
      <c r="H7" t="s">
        <v>15</v>
      </c>
      <c r="I7">
        <f>AVERAGE(TableLIV[DIFF])/5</f>
        <v>0.91192470745264043</v>
      </c>
    </row>
    <row r="8" spans="1:9" x14ac:dyDescent="0.3">
      <c r="A8" t="s">
        <v>110</v>
      </c>
      <c r="B8">
        <v>25.816326530612244</v>
      </c>
      <c r="C8">
        <v>24.926237952867297</v>
      </c>
      <c r="D8">
        <f t="shared" si="0"/>
        <v>15.005164801649038</v>
      </c>
      <c r="E8">
        <v>14</v>
      </c>
      <c r="F8">
        <f t="shared" si="1"/>
        <v>1.0051648016490375</v>
      </c>
    </row>
    <row r="9" spans="1:9" x14ac:dyDescent="0.3">
      <c r="A9" t="s">
        <v>111</v>
      </c>
      <c r="B9">
        <v>27.348690190462712</v>
      </c>
      <c r="C9">
        <v>19.214688920081947</v>
      </c>
      <c r="D9">
        <f t="shared" si="0"/>
        <v>13.971077975365578</v>
      </c>
      <c r="E9">
        <v>13</v>
      </c>
      <c r="F9">
        <f t="shared" si="1"/>
        <v>0.97107797536557783</v>
      </c>
    </row>
    <row r="10" spans="1:9" x14ac:dyDescent="0.3">
      <c r="A10" t="s">
        <v>112</v>
      </c>
      <c r="B10">
        <v>28</v>
      </c>
      <c r="C10">
        <v>22.52803633606128</v>
      </c>
      <c r="D10">
        <f t="shared" si="0"/>
        <v>15.068159264196982</v>
      </c>
      <c r="E10">
        <v>26</v>
      </c>
      <c r="F10">
        <f t="shared" si="1"/>
        <v>10.931840735803018</v>
      </c>
    </row>
    <row r="11" spans="1:9" x14ac:dyDescent="0.3">
      <c r="A11" t="s">
        <v>113</v>
      </c>
      <c r="B11">
        <v>26.110056917800222</v>
      </c>
      <c r="C11">
        <v>38.105884227450751</v>
      </c>
      <c r="D11">
        <f t="shared" si="0"/>
        <v>18.6275982567035</v>
      </c>
      <c r="E11">
        <v>14</v>
      </c>
      <c r="F11">
        <f t="shared" si="1"/>
        <v>4.6275982567035001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114</v>
      </c>
      <c r="B2">
        <v>14.996969832294884</v>
      </c>
      <c r="C2">
        <v>9.2655133591053733</v>
      </c>
      <c r="D2">
        <f t="shared" ref="D2:D10" si="0">B2*$I$2+C2*$I$3</f>
        <v>13.129005575873826</v>
      </c>
      <c r="E2">
        <v>17</v>
      </c>
      <c r="F2">
        <f t="shared" ref="F2:F10" si="1">ABS(D2-E2)</f>
        <v>3.8709944241261738</v>
      </c>
      <c r="H2" t="s">
        <v>7</v>
      </c>
      <c r="I2">
        <v>0.63091332151841417</v>
      </c>
    </row>
    <row r="3" spans="1:9" x14ac:dyDescent="0.3">
      <c r="A3" t="s">
        <v>115</v>
      </c>
      <c r="B3">
        <v>29.079391764769071</v>
      </c>
      <c r="C3">
        <v>14.495997548268026</v>
      </c>
      <c r="D3">
        <f t="shared" si="0"/>
        <v>24.083977796302442</v>
      </c>
      <c r="E3">
        <v>28</v>
      </c>
      <c r="F3">
        <f t="shared" si="1"/>
        <v>3.9160222036975583</v>
      </c>
      <c r="H3" t="s">
        <v>9</v>
      </c>
      <c r="I3">
        <v>0.39579215788031552</v>
      </c>
    </row>
    <row r="4" spans="1:9" x14ac:dyDescent="0.3">
      <c r="A4" t="s">
        <v>116</v>
      </c>
      <c r="B4">
        <v>27.480108665634162</v>
      </c>
      <c r="C4">
        <v>13.273669909140132</v>
      </c>
      <c r="D4">
        <f t="shared" si="0"/>
        <v>22.591181090251787</v>
      </c>
      <c r="E4">
        <v>32</v>
      </c>
      <c r="F4">
        <f t="shared" si="1"/>
        <v>9.4088189097482129</v>
      </c>
    </row>
    <row r="5" spans="1:9" x14ac:dyDescent="0.3">
      <c r="A5" t="s">
        <v>117</v>
      </c>
      <c r="B5">
        <v>25.988326588920682</v>
      </c>
      <c r="C5">
        <v>11.255161502651376</v>
      </c>
      <c r="D5">
        <f t="shared" si="0"/>
        <v>20.851086107347108</v>
      </c>
      <c r="E5">
        <v>18</v>
      </c>
      <c r="F5">
        <f t="shared" si="1"/>
        <v>2.8510861073471077</v>
      </c>
      <c r="H5" t="s">
        <v>12</v>
      </c>
      <c r="I5" cm="1">
        <f t="array" ref="I5">(SUM(TableMCI[PP]-TableMCI[AP]))^2</f>
        <v>2.5559093329160782E-28</v>
      </c>
    </row>
    <row r="6" spans="1:9" x14ac:dyDescent="0.3">
      <c r="A6" t="s">
        <v>118</v>
      </c>
      <c r="B6">
        <v>23.283016142487512</v>
      </c>
      <c r="C6">
        <v>11.93472184020923</v>
      </c>
      <c r="D6">
        <f t="shared" si="0"/>
        <v>19.413234360261391</v>
      </c>
      <c r="E6">
        <v>17</v>
      </c>
      <c r="F6">
        <f t="shared" si="1"/>
        <v>2.4132343602613915</v>
      </c>
    </row>
    <row r="7" spans="1:9" x14ac:dyDescent="0.3">
      <c r="A7" t="s">
        <v>119</v>
      </c>
      <c r="B7">
        <v>15.693511400758769</v>
      </c>
      <c r="C7">
        <v>9.0084372850492489</v>
      </c>
      <c r="D7">
        <f t="shared" si="0"/>
        <v>13.46671423631895</v>
      </c>
      <c r="E7">
        <v>14</v>
      </c>
      <c r="F7">
        <f t="shared" si="1"/>
        <v>0.53328576368105018</v>
      </c>
      <c r="H7" t="s">
        <v>15</v>
      </c>
      <c r="I7">
        <f>AVERAGE(TableMCI[DIFF])/5</f>
        <v>0.80524430753926435</v>
      </c>
    </row>
    <row r="8" spans="1:9" x14ac:dyDescent="0.3">
      <c r="A8" t="s">
        <v>120</v>
      </c>
      <c r="B8">
        <v>14.292438435118948</v>
      </c>
      <c r="C8">
        <v>11.606684176168887</v>
      </c>
      <c r="D8">
        <f t="shared" si="0"/>
        <v>13.611124381619538</v>
      </c>
      <c r="E8">
        <v>14</v>
      </c>
      <c r="F8">
        <f t="shared" si="1"/>
        <v>0.38887561838046203</v>
      </c>
    </row>
    <row r="9" spans="1:9" x14ac:dyDescent="0.3">
      <c r="A9" t="s">
        <v>121</v>
      </c>
      <c r="B9">
        <v>47.334039331282142</v>
      </c>
      <c r="C9">
        <v>29.774295098435466</v>
      </c>
      <c r="D9">
        <f t="shared" si="0"/>
        <v>41.648108481757546</v>
      </c>
      <c r="E9">
        <v>33</v>
      </c>
      <c r="F9">
        <f t="shared" si="1"/>
        <v>8.6481084817575464</v>
      </c>
    </row>
    <row r="10" spans="1:9" x14ac:dyDescent="0.3">
      <c r="A10" t="s">
        <v>122</v>
      </c>
      <c r="B10">
        <v>12.269236345762785</v>
      </c>
      <c r="C10">
        <v>21.386839396215166</v>
      </c>
      <c r="D10">
        <f t="shared" si="0"/>
        <v>16.205567970267396</v>
      </c>
      <c r="E10">
        <v>12</v>
      </c>
      <c r="F10">
        <f t="shared" si="1"/>
        <v>4.2055679702673956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123</v>
      </c>
      <c r="B2">
        <v>24.137120699859636</v>
      </c>
      <c r="C2">
        <v>18.075599492714503</v>
      </c>
      <c r="D2">
        <f t="shared" ref="D2:D13" si="0">B2*$I$2+C2*$I$3</f>
        <v>18.481978770264888</v>
      </c>
      <c r="E2">
        <v>14</v>
      </c>
      <c r="F2">
        <f t="shared" ref="F2:F13" si="1">ABS(D2-E2)</f>
        <v>4.4819787702648881</v>
      </c>
      <c r="H2" t="s">
        <v>7</v>
      </c>
      <c r="I2">
        <v>0.34645007288210045</v>
      </c>
    </row>
    <row r="3" spans="1:9" x14ac:dyDescent="0.3">
      <c r="A3" t="s">
        <v>124</v>
      </c>
      <c r="B3">
        <v>16.65853626674572</v>
      </c>
      <c r="C3">
        <v>30.277242966402916</v>
      </c>
      <c r="D3">
        <f t="shared" si="0"/>
        <v>22.722144587534672</v>
      </c>
      <c r="E3">
        <v>22</v>
      </c>
      <c r="F3">
        <f t="shared" si="1"/>
        <v>0.7221445875346717</v>
      </c>
      <c r="H3" t="s">
        <v>9</v>
      </c>
      <c r="I3">
        <v>0.55985260951999227</v>
      </c>
    </row>
    <row r="4" spans="1:9" x14ac:dyDescent="0.3">
      <c r="A4" t="s">
        <v>125</v>
      </c>
      <c r="B4">
        <v>14.930560064087402</v>
      </c>
      <c r="C4">
        <v>13.67339176446294</v>
      </c>
      <c r="D4">
        <f t="shared" si="0"/>
        <v>12.827777682697407</v>
      </c>
      <c r="E4">
        <v>17</v>
      </c>
      <c r="F4">
        <f t="shared" si="1"/>
        <v>4.1722223173025927</v>
      </c>
    </row>
    <row r="5" spans="1:9" x14ac:dyDescent="0.3">
      <c r="A5" t="s">
        <v>126</v>
      </c>
      <c r="B5">
        <v>16.017134724145262</v>
      </c>
      <c r="C5">
        <v>26.323116774076851</v>
      </c>
      <c r="D5">
        <f t="shared" si="0"/>
        <v>20.286203109208955</v>
      </c>
      <c r="E5">
        <v>30</v>
      </c>
      <c r="F5">
        <f t="shared" si="1"/>
        <v>9.7137968907910448</v>
      </c>
      <c r="H5" t="s">
        <v>12</v>
      </c>
      <c r="I5" cm="1">
        <f t="array" ref="I5">(SUM(TableMUN[PP]-TableMUN[AP]))^2</f>
        <v>2.0194839173657902E-28</v>
      </c>
    </row>
    <row r="6" spans="1:9" x14ac:dyDescent="0.3">
      <c r="A6" t="s">
        <v>127</v>
      </c>
      <c r="B6">
        <v>18.160902829342703</v>
      </c>
      <c r="C6">
        <v>28.531159401646214</v>
      </c>
      <c r="D6">
        <f t="shared" si="0"/>
        <v>22.265090152473018</v>
      </c>
      <c r="E6">
        <v>26</v>
      </c>
      <c r="F6">
        <f t="shared" si="1"/>
        <v>3.734909847526982</v>
      </c>
    </row>
    <row r="7" spans="1:9" x14ac:dyDescent="0.3">
      <c r="A7" t="s">
        <v>128</v>
      </c>
      <c r="B7">
        <v>24.537313432711585</v>
      </c>
      <c r="C7">
        <v>30.782964944114028</v>
      </c>
      <c r="D7">
        <f t="shared" si="0"/>
        <v>25.734877279818555</v>
      </c>
      <c r="E7">
        <v>33</v>
      </c>
      <c r="F7">
        <f t="shared" si="1"/>
        <v>7.265122720181445</v>
      </c>
      <c r="H7" t="s">
        <v>15</v>
      </c>
      <c r="I7">
        <f>AVERAGE(TableMUN[DIFF])/5</f>
        <v>1.0111699633175</v>
      </c>
    </row>
    <row r="8" spans="1:9" x14ac:dyDescent="0.3">
      <c r="A8" t="s">
        <v>129</v>
      </c>
      <c r="B8">
        <v>14.711813688284403</v>
      </c>
      <c r="C8">
        <v>24.578522301227146</v>
      </c>
      <c r="D8">
        <f t="shared" si="0"/>
        <v>18.857258773021357</v>
      </c>
      <c r="E8">
        <v>19</v>
      </c>
      <c r="F8">
        <f t="shared" si="1"/>
        <v>0.142741226978643</v>
      </c>
    </row>
    <row r="9" spans="1:9" x14ac:dyDescent="0.3">
      <c r="A9" t="s">
        <v>130</v>
      </c>
      <c r="B9">
        <v>19.309012701973671</v>
      </c>
      <c r="C9">
        <v>39.182311295260988</v>
      </c>
      <c r="D9">
        <f t="shared" si="0"/>
        <v>28.625928083556712</v>
      </c>
      <c r="E9">
        <v>22</v>
      </c>
      <c r="F9">
        <f t="shared" si="1"/>
        <v>6.6259280835567118</v>
      </c>
    </row>
    <row r="10" spans="1:9" x14ac:dyDescent="0.3">
      <c r="A10" t="s">
        <v>131</v>
      </c>
      <c r="B10">
        <v>9.55555552204485</v>
      </c>
      <c r="C10">
        <v>25.690996079389862</v>
      </c>
      <c r="D10">
        <f t="shared" si="0"/>
        <v>17.693694103255702</v>
      </c>
      <c r="E10">
        <v>23</v>
      </c>
      <c r="F10">
        <f t="shared" si="1"/>
        <v>5.3063058967442984</v>
      </c>
    </row>
    <row r="11" spans="1:9" x14ac:dyDescent="0.3">
      <c r="A11" t="s">
        <v>132</v>
      </c>
      <c r="B11">
        <v>19.210526332011465</v>
      </c>
      <c r="C11">
        <v>35.07071643309132</v>
      </c>
      <c r="D11">
        <f t="shared" si="0"/>
        <v>26.289920360630731</v>
      </c>
      <c r="E11">
        <v>23</v>
      </c>
      <c r="F11">
        <f t="shared" si="1"/>
        <v>3.289920360630731</v>
      </c>
    </row>
    <row r="12" spans="1:9" x14ac:dyDescent="0.3">
      <c r="A12" t="s">
        <v>22</v>
      </c>
      <c r="B12">
        <v>14.736354419753836</v>
      </c>
      <c r="C12">
        <v>26.953105398987162</v>
      </c>
      <c r="D12">
        <f t="shared" si="0"/>
        <v>20.195177455030535</v>
      </c>
      <c r="E12">
        <v>12</v>
      </c>
      <c r="F12">
        <f t="shared" si="1"/>
        <v>8.1951774550305352</v>
      </c>
    </row>
    <row r="13" spans="1:9" x14ac:dyDescent="0.3">
      <c r="A13" t="s">
        <v>133</v>
      </c>
      <c r="B13">
        <v>11.04761997253428</v>
      </c>
      <c r="C13">
        <v>28.922792575232208</v>
      </c>
      <c r="D13">
        <f t="shared" si="0"/>
        <v>20.019949642507456</v>
      </c>
      <c r="E13">
        <v>13</v>
      </c>
      <c r="F13">
        <f t="shared" si="1"/>
        <v>7.0199496425074557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134</v>
      </c>
      <c r="B2">
        <v>22.686850428611198</v>
      </c>
      <c r="C2">
        <v>35.520822897658611</v>
      </c>
      <c r="D2">
        <f t="shared" ref="D2:D11" si="0">B2*$I$2+C2*$I$3</f>
        <v>21.064382590453512</v>
      </c>
      <c r="E2">
        <v>15</v>
      </c>
      <c r="F2">
        <f t="shared" ref="F2:F11" si="1">ABS(D2-E2)</f>
        <v>6.064382590453512</v>
      </c>
      <c r="H2" t="s">
        <v>7</v>
      </c>
      <c r="I2">
        <v>0.26919962354414972</v>
      </c>
    </row>
    <row r="3" spans="1:9" x14ac:dyDescent="0.3">
      <c r="A3" t="s">
        <v>135</v>
      </c>
      <c r="B3">
        <v>26.088773854409052</v>
      </c>
      <c r="C3">
        <v>53.211903787813284</v>
      </c>
      <c r="D3">
        <f t="shared" si="0"/>
        <v>29.429530915588014</v>
      </c>
      <c r="E3">
        <v>29</v>
      </c>
      <c r="F3">
        <f t="shared" si="1"/>
        <v>0.42953091558801404</v>
      </c>
      <c r="H3" t="s">
        <v>9</v>
      </c>
      <c r="I3">
        <v>0.42107951830853718</v>
      </c>
    </row>
    <row r="4" spans="1:9" x14ac:dyDescent="0.3">
      <c r="A4" t="s">
        <v>136</v>
      </c>
      <c r="B4">
        <v>14.486882803069737</v>
      </c>
      <c r="C4">
        <v>32.215231133659316</v>
      </c>
      <c r="D4">
        <f t="shared" si="0"/>
        <v>17.465037404874042</v>
      </c>
      <c r="E4">
        <v>25</v>
      </c>
      <c r="F4">
        <f t="shared" si="1"/>
        <v>7.5349625951259576</v>
      </c>
    </row>
    <row r="5" spans="1:9" x14ac:dyDescent="0.3">
      <c r="A5" t="s">
        <v>137</v>
      </c>
      <c r="B5">
        <v>20.176470588235293</v>
      </c>
      <c r="C5">
        <v>33.620111639587947</v>
      </c>
      <c r="D5">
        <f t="shared" si="0"/>
        <v>19.588238701479487</v>
      </c>
      <c r="E5">
        <v>22</v>
      </c>
      <c r="F5">
        <f t="shared" si="1"/>
        <v>2.4117612985205135</v>
      </c>
      <c r="H5" t="s">
        <v>12</v>
      </c>
      <c r="I5" cm="1">
        <f t="array" ref="I5">(SUM(TableNEW[PP]-TableNEW[AP]))^2</f>
        <v>1.2621774483536189E-29</v>
      </c>
    </row>
    <row r="6" spans="1:9" x14ac:dyDescent="0.3">
      <c r="A6" t="s">
        <v>138</v>
      </c>
      <c r="B6">
        <v>29.328361792607225</v>
      </c>
      <c r="C6">
        <v>41.744853577956547</v>
      </c>
      <c r="D6">
        <f t="shared" si="0"/>
        <v>25.473086790202846</v>
      </c>
      <c r="E6">
        <v>20</v>
      </c>
      <c r="F6">
        <f t="shared" si="1"/>
        <v>5.4730867902028457</v>
      </c>
    </row>
    <row r="7" spans="1:9" x14ac:dyDescent="0.3">
      <c r="A7" t="s">
        <v>139</v>
      </c>
      <c r="B7">
        <v>23.869565251663971</v>
      </c>
      <c r="C7">
        <v>21.01770036426602</v>
      </c>
      <c r="D7">
        <f t="shared" si="0"/>
        <v>15.27580112524876</v>
      </c>
      <c r="E7">
        <v>20</v>
      </c>
      <c r="F7">
        <f t="shared" si="1"/>
        <v>4.7241988747512398</v>
      </c>
      <c r="H7" t="s">
        <v>15</v>
      </c>
      <c r="I7">
        <f>AVERAGE(TableNEW[DIFF])/5</f>
        <v>0.84586153967564681</v>
      </c>
    </row>
    <row r="8" spans="1:9" x14ac:dyDescent="0.3">
      <c r="A8" t="s">
        <v>140</v>
      </c>
      <c r="B8">
        <v>20.235294117647058</v>
      </c>
      <c r="C8">
        <v>28.992599518382807</v>
      </c>
      <c r="D8">
        <f t="shared" si="0"/>
        <v>17.655523398488697</v>
      </c>
      <c r="E8">
        <v>11</v>
      </c>
      <c r="F8">
        <f t="shared" si="1"/>
        <v>6.6555233984886968</v>
      </c>
    </row>
    <row r="9" spans="1:9" x14ac:dyDescent="0.3">
      <c r="A9" t="s">
        <v>141</v>
      </c>
      <c r="B9">
        <v>18.407071653495272</v>
      </c>
      <c r="C9">
        <v>25.961867502248971</v>
      </c>
      <c r="D9">
        <f t="shared" si="0"/>
        <v>15.887187421908179</v>
      </c>
      <c r="E9">
        <v>14</v>
      </c>
      <c r="F9">
        <f t="shared" si="1"/>
        <v>1.8871874219081786</v>
      </c>
    </row>
    <row r="10" spans="1:9" x14ac:dyDescent="0.3">
      <c r="A10" t="s">
        <v>142</v>
      </c>
      <c r="B10">
        <v>21.460176976315147</v>
      </c>
      <c r="C10">
        <v>32.647782937802795</v>
      </c>
      <c r="D10">
        <f t="shared" si="0"/>
        <v>19.524384276506545</v>
      </c>
      <c r="E10">
        <v>26</v>
      </c>
      <c r="F10">
        <f t="shared" si="1"/>
        <v>6.4756157234934548</v>
      </c>
    </row>
    <row r="11" spans="1:9" x14ac:dyDescent="0.3">
      <c r="A11" t="s">
        <v>143</v>
      </c>
      <c r="B11">
        <v>22.04628263545445</v>
      </c>
      <c r="C11">
        <v>37.289812746798972</v>
      </c>
      <c r="D11">
        <f t="shared" si="0"/>
        <v>21.636827375249922</v>
      </c>
      <c r="E11">
        <v>21</v>
      </c>
      <c r="F11">
        <f t="shared" si="1"/>
        <v>0.63682737524992206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144</v>
      </c>
      <c r="B2">
        <v>8.1103372370073252</v>
      </c>
      <c r="C2">
        <v>18.970531484303699</v>
      </c>
      <c r="D2">
        <f t="shared" ref="D2:D8" si="0">B2*$I$2+C2*$I$3</f>
        <v>15.139208882839728</v>
      </c>
      <c r="E2">
        <v>15</v>
      </c>
      <c r="F2">
        <f t="shared" ref="F2:F8" si="1">ABS(D2-E2)</f>
        <v>0.13920888283972843</v>
      </c>
      <c r="H2" t="s">
        <v>7</v>
      </c>
      <c r="I2">
        <v>0.35597650424347566</v>
      </c>
    </row>
    <row r="3" spans="1:9" x14ac:dyDescent="0.3">
      <c r="A3" t="s">
        <v>145</v>
      </c>
      <c r="B3">
        <v>6.9166666196103677</v>
      </c>
      <c r="C3">
        <v>20.976566761160072</v>
      </c>
      <c r="D3">
        <f t="shared" si="0"/>
        <v>16.009888244722084</v>
      </c>
      <c r="E3">
        <v>16</v>
      </c>
      <c r="F3">
        <f t="shared" si="1"/>
        <v>9.8882447220844938E-3</v>
      </c>
      <c r="H3" t="s">
        <v>9</v>
      </c>
      <c r="I3">
        <v>0.6458500857032724</v>
      </c>
    </row>
    <row r="4" spans="1:9" x14ac:dyDescent="0.3">
      <c r="A4" t="s">
        <v>146</v>
      </c>
      <c r="B4">
        <v>5.0441175770540401</v>
      </c>
      <c r="C4">
        <v>12.25927481312004</v>
      </c>
      <c r="D4">
        <f t="shared" si="0"/>
        <v>9.713241030786314</v>
      </c>
      <c r="E4">
        <v>11</v>
      </c>
      <c r="F4">
        <f t="shared" si="1"/>
        <v>1.286758969213686</v>
      </c>
    </row>
    <row r="5" spans="1:9" x14ac:dyDescent="0.3">
      <c r="A5" t="s">
        <v>147</v>
      </c>
      <c r="B5">
        <v>24.352941176470587</v>
      </c>
      <c r="C5">
        <v>23.924347615026555</v>
      </c>
      <c r="D5">
        <f t="shared" si="0"/>
        <v>24.120616825606774</v>
      </c>
      <c r="E5">
        <v>32</v>
      </c>
      <c r="F5">
        <f t="shared" si="1"/>
        <v>7.8793831743932259</v>
      </c>
      <c r="H5" t="s">
        <v>12</v>
      </c>
      <c r="I5" cm="1">
        <f t="array" ref="I5">(SUM(TableNFO[PP]-TableNFO[AP]))^2</f>
        <v>0</v>
      </c>
    </row>
    <row r="6" spans="1:9" x14ac:dyDescent="0.3">
      <c r="A6" t="s">
        <v>148</v>
      </c>
      <c r="B6">
        <v>10.329836568209007</v>
      </c>
      <c r="C6">
        <v>16.275785101270181</v>
      </c>
      <c r="D6">
        <f t="shared" si="0"/>
        <v>14.188896313500855</v>
      </c>
      <c r="E6">
        <v>16</v>
      </c>
      <c r="F6">
        <f t="shared" si="1"/>
        <v>1.8111036864991448</v>
      </c>
    </row>
    <row r="7" spans="1:9" x14ac:dyDescent="0.3">
      <c r="A7" t="s">
        <v>149</v>
      </c>
      <c r="B7">
        <v>20.916666696209745</v>
      </c>
      <c r="C7">
        <v>26.761830367812038</v>
      </c>
      <c r="D7">
        <f t="shared" si="0"/>
        <v>24.729972327570518</v>
      </c>
      <c r="E7">
        <v>21</v>
      </c>
      <c r="F7">
        <f t="shared" si="1"/>
        <v>3.7299723275705183</v>
      </c>
      <c r="H7" t="s">
        <v>15</v>
      </c>
      <c r="I7">
        <f>AVERAGE(TableNFO[DIFF])/5</f>
        <v>0.62727119029177469</v>
      </c>
    </row>
    <row r="8" spans="1:9" x14ac:dyDescent="0.3">
      <c r="A8" t="s">
        <v>150</v>
      </c>
      <c r="B8">
        <v>10.076666991012178</v>
      </c>
      <c r="C8">
        <v>36.40337007850065</v>
      </c>
      <c r="D8">
        <f t="shared" si="0"/>
        <v>27.098176374973725</v>
      </c>
      <c r="E8">
        <v>20</v>
      </c>
      <c r="F8">
        <f t="shared" si="1"/>
        <v>7.0981763749737254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151</v>
      </c>
      <c r="B2">
        <v>10.185185349775285</v>
      </c>
      <c r="C2">
        <v>13.724683030270146</v>
      </c>
      <c r="D2">
        <f>B2*$I$2+C2*$I$3</f>
        <v>11.074750784475908</v>
      </c>
      <c r="E2">
        <v>19</v>
      </c>
      <c r="F2">
        <f>ABS(D2-E2)</f>
        <v>7.9252492155240919</v>
      </c>
      <c r="H2" t="s">
        <v>7</v>
      </c>
      <c r="I2">
        <v>0.38025221328183584</v>
      </c>
    </row>
    <row r="3" spans="1:9" x14ac:dyDescent="0.3">
      <c r="A3" t="s">
        <v>152</v>
      </c>
      <c r="B3">
        <v>20.69565217615029</v>
      </c>
      <c r="C3">
        <v>15.829495664168915</v>
      </c>
      <c r="D3">
        <f>B3*$I$2+C3*$I$3</f>
        <v>16.175846375954563</v>
      </c>
      <c r="E3">
        <v>16</v>
      </c>
      <c r="F3">
        <f>ABS(D3-E3)</f>
        <v>0.17584637595456343</v>
      </c>
      <c r="H3" t="s">
        <v>9</v>
      </c>
      <c r="I3">
        <v>0.52473426866429951</v>
      </c>
    </row>
    <row r="4" spans="1:9" x14ac:dyDescent="0.3">
      <c r="A4" t="s">
        <v>153</v>
      </c>
      <c r="B4">
        <v>19.460005953389974</v>
      </c>
      <c r="C4">
        <v>28.331788157153387</v>
      </c>
      <c r="D4">
        <f>B4*$I$2+C4*$I$3</f>
        <v>22.266370472849985</v>
      </c>
      <c r="E4">
        <v>22</v>
      </c>
      <c r="F4">
        <f>ABS(D4-E4)</f>
        <v>0.26637047284998516</v>
      </c>
    </row>
    <row r="5" spans="1:9" x14ac:dyDescent="0.3">
      <c r="A5" t="s">
        <v>154</v>
      </c>
      <c r="B5">
        <v>10.327417996852432</v>
      </c>
      <c r="C5">
        <v>25.834045202415101</v>
      </c>
      <c r="D5">
        <f>B5*$I$2+C5*$I$3</f>
        <v>17.483032366719545</v>
      </c>
      <c r="E5">
        <v>10</v>
      </c>
      <c r="F5">
        <f>ABS(D5-E5)</f>
        <v>7.4830323667195451</v>
      </c>
      <c r="H5" t="s">
        <v>12</v>
      </c>
      <c r="I5" cm="1">
        <f t="array" ref="I5">(SUM(TableSOU[PP]-TableSOU[AP]))^2</f>
        <v>3.1554436208840472E-30</v>
      </c>
    </row>
    <row r="7" spans="1:9" x14ac:dyDescent="0.3">
      <c r="H7" t="s">
        <v>15</v>
      </c>
      <c r="I7">
        <f>AVERAGE(TableSOU[DIFF])/5</f>
        <v>0.79252492155240928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155</v>
      </c>
      <c r="B2">
        <v>21.241016520896018</v>
      </c>
      <c r="C2">
        <v>17.63819535378715</v>
      </c>
      <c r="D2">
        <f t="shared" ref="D2:D14" si="0">B2*$I$2+C2*$I$3</f>
        <v>22.720071768351168</v>
      </c>
      <c r="E2">
        <v>27</v>
      </c>
      <c r="F2">
        <f t="shared" ref="F2:F14" si="1">ABS(D2-E2)</f>
        <v>4.2799282316488316</v>
      </c>
      <c r="H2" t="s">
        <v>7</v>
      </c>
      <c r="I2">
        <v>0.60657702269245128</v>
      </c>
    </row>
    <row r="3" spans="1:9" x14ac:dyDescent="0.3">
      <c r="A3" t="s">
        <v>156</v>
      </c>
      <c r="B3">
        <v>29.428571426866821</v>
      </c>
      <c r="C3">
        <v>27.528380114941129</v>
      </c>
      <c r="D3">
        <f t="shared" si="0"/>
        <v>33.201614806211623</v>
      </c>
      <c r="E3">
        <v>37</v>
      </c>
      <c r="F3">
        <f t="shared" si="1"/>
        <v>3.798385193788377</v>
      </c>
      <c r="H3" t="s">
        <v>9</v>
      </c>
      <c r="I3">
        <v>0.55763977044471424</v>
      </c>
    </row>
    <row r="4" spans="1:9" x14ac:dyDescent="0.3">
      <c r="A4" t="s">
        <v>157</v>
      </c>
      <c r="B4">
        <v>19.12770179201998</v>
      </c>
      <c r="C4">
        <v>15.299421600374608</v>
      </c>
      <c r="D4">
        <f t="shared" si="0"/>
        <v>20.133990353122343</v>
      </c>
      <c r="E4">
        <v>20</v>
      </c>
      <c r="F4">
        <f t="shared" si="1"/>
        <v>0.13399035312234275</v>
      </c>
    </row>
    <row r="5" spans="1:9" x14ac:dyDescent="0.3">
      <c r="A5" t="s">
        <v>158</v>
      </c>
      <c r="B5">
        <v>38.031704706592691</v>
      </c>
      <c r="C5">
        <v>21.018049243066724</v>
      </c>
      <c r="D5">
        <f t="shared" si="0"/>
        <v>34.789658363942912</v>
      </c>
      <c r="E5">
        <v>18</v>
      </c>
      <c r="F5">
        <f t="shared" si="1"/>
        <v>16.789658363942912</v>
      </c>
      <c r="H5" t="s">
        <v>12</v>
      </c>
      <c r="I5" cm="1">
        <f t="array" ref="I5">(SUM(TableTOT[PP]-TableTOT[AP]))^2</f>
        <v>8.0779356694631609E-28</v>
      </c>
    </row>
    <row r="6" spans="1:9" x14ac:dyDescent="0.3">
      <c r="A6" t="s">
        <v>159</v>
      </c>
      <c r="B6">
        <v>15.09594655727755</v>
      </c>
      <c r="C6">
        <v>11.180969450923495</v>
      </c>
      <c r="D6">
        <f t="shared" si="0"/>
        <v>15.391807555400117</v>
      </c>
      <c r="E6">
        <v>17</v>
      </c>
      <c r="F6">
        <f t="shared" si="1"/>
        <v>1.608192444599883</v>
      </c>
    </row>
    <row r="7" spans="1:9" x14ac:dyDescent="0.3">
      <c r="A7" t="s">
        <v>160</v>
      </c>
      <c r="B7">
        <v>14.609276429692201</v>
      </c>
      <c r="C7">
        <v>15.228292396029888</v>
      </c>
      <c r="D7">
        <f t="shared" si="0"/>
        <v>17.353552876400794</v>
      </c>
      <c r="E7">
        <v>18</v>
      </c>
      <c r="F7">
        <f t="shared" si="1"/>
        <v>0.64644712359920575</v>
      </c>
      <c r="H7" t="s">
        <v>15</v>
      </c>
      <c r="I7">
        <f>AVERAGE(TableTOT[DIFF])/5</f>
        <v>1.3410641176915306</v>
      </c>
    </row>
    <row r="8" spans="1:9" x14ac:dyDescent="0.3">
      <c r="A8" t="s">
        <v>161</v>
      </c>
      <c r="B8">
        <v>14.962869486820342</v>
      </c>
      <c r="C8">
        <v>18.765981787612443</v>
      </c>
      <c r="D8">
        <f t="shared" si="0"/>
        <v>19.540790600465101</v>
      </c>
      <c r="E8">
        <v>16</v>
      </c>
      <c r="F8">
        <f t="shared" si="1"/>
        <v>3.5407906004651011</v>
      </c>
    </row>
    <row r="9" spans="1:9" x14ac:dyDescent="0.3">
      <c r="A9" t="s">
        <v>162</v>
      </c>
      <c r="B9">
        <v>14.875418192065414</v>
      </c>
      <c r="C9">
        <v>15.941946669748276</v>
      </c>
      <c r="D9">
        <f t="shared" si="0"/>
        <v>17.91295035960847</v>
      </c>
      <c r="E9">
        <v>26</v>
      </c>
      <c r="F9">
        <f t="shared" si="1"/>
        <v>8.0870496403915304</v>
      </c>
    </row>
    <row r="10" spans="1:9" x14ac:dyDescent="0.3">
      <c r="A10" t="s">
        <v>163</v>
      </c>
      <c r="B10">
        <v>14.821428571221949</v>
      </c>
      <c r="C10">
        <v>18.055482497431463</v>
      </c>
      <c r="D10">
        <f t="shared" si="0"/>
        <v>19.058793129916879</v>
      </c>
      <c r="E10">
        <v>13</v>
      </c>
      <c r="F10">
        <f t="shared" si="1"/>
        <v>6.0587931299168787</v>
      </c>
    </row>
    <row r="11" spans="1:9" x14ac:dyDescent="0.3">
      <c r="A11" t="s">
        <v>164</v>
      </c>
      <c r="B11">
        <v>2.5345987794621019</v>
      </c>
      <c r="C11">
        <v>9.6058625303996408</v>
      </c>
      <c r="D11">
        <f t="shared" si="0"/>
        <v>6.8940403577415807</v>
      </c>
      <c r="E11">
        <v>24</v>
      </c>
      <c r="F11">
        <f t="shared" si="1"/>
        <v>17.105959642258419</v>
      </c>
    </row>
    <row r="12" spans="1:9" x14ac:dyDescent="0.3">
      <c r="A12" t="s">
        <v>165</v>
      </c>
      <c r="B12">
        <v>34.043478234976789</v>
      </c>
      <c r="C12">
        <v>15.652248421027805</v>
      </c>
      <c r="D12">
        <f t="shared" si="0"/>
        <v>29.378307886313074</v>
      </c>
      <c r="E12">
        <v>19</v>
      </c>
      <c r="F12">
        <f t="shared" si="1"/>
        <v>10.378307886313074</v>
      </c>
    </row>
    <row r="13" spans="1:9" x14ac:dyDescent="0.3">
      <c r="A13" t="s">
        <v>166</v>
      </c>
      <c r="B13">
        <v>13.823529411764707</v>
      </c>
      <c r="C13">
        <v>11.757309082157263</v>
      </c>
      <c r="D13">
        <f t="shared" si="0"/>
        <v>14.941378451311497</v>
      </c>
      <c r="E13">
        <v>23</v>
      </c>
      <c r="F13">
        <f t="shared" si="1"/>
        <v>8.0586215486885031</v>
      </c>
    </row>
    <row r="14" spans="1:9" x14ac:dyDescent="0.3">
      <c r="A14" t="s">
        <v>167</v>
      </c>
      <c r="B14">
        <v>9.5357153109436439</v>
      </c>
      <c r="C14">
        <v>24.924509379191356</v>
      </c>
      <c r="D14">
        <f t="shared" si="0"/>
        <v>19.683043491214413</v>
      </c>
      <c r="E14">
        <v>13</v>
      </c>
      <c r="F14">
        <f t="shared" si="1"/>
        <v>6.6830434912144128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"/>
  <sheetViews>
    <sheetView workbookViewId="0">
      <selection activeCell="M29" sqref="M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168</v>
      </c>
      <c r="B2">
        <v>16.1779743982651</v>
      </c>
      <c r="C2">
        <v>20.640039701665518</v>
      </c>
      <c r="D2">
        <f t="shared" ref="D2:D10" si="0">B2*$I$2+C2*$I$3</f>
        <v>18.472243612988912</v>
      </c>
      <c r="E2">
        <v>12</v>
      </c>
      <c r="F2">
        <f t="shared" ref="F2:F10" si="1">ABS(D2-E2)</f>
        <v>6.4722436129889118</v>
      </c>
      <c r="H2" t="s">
        <v>7</v>
      </c>
      <c r="I2">
        <v>0.49659793943439512</v>
      </c>
    </row>
    <row r="3" spans="1:9" x14ac:dyDescent="0.3">
      <c r="A3" t="s">
        <v>169</v>
      </c>
      <c r="B3">
        <v>18.175675675675677</v>
      </c>
      <c r="C3">
        <v>23.402572963432824</v>
      </c>
      <c r="D3">
        <f t="shared" si="0"/>
        <v>20.861394912533889</v>
      </c>
      <c r="E3">
        <v>16</v>
      </c>
      <c r="F3">
        <f t="shared" si="1"/>
        <v>4.8613949125338891</v>
      </c>
      <c r="H3" t="s">
        <v>9</v>
      </c>
      <c r="I3">
        <v>0.50573036745398137</v>
      </c>
    </row>
    <row r="4" spans="1:9" x14ac:dyDescent="0.3">
      <c r="A4" t="s">
        <v>170</v>
      </c>
      <c r="B4">
        <v>18.96946564885496</v>
      </c>
      <c r="C4">
        <v>13.291394844191185</v>
      </c>
      <c r="D4">
        <f t="shared" si="0"/>
        <v>16.142059551921676</v>
      </c>
      <c r="E4">
        <v>12</v>
      </c>
      <c r="F4">
        <f t="shared" si="1"/>
        <v>4.1420595519216761</v>
      </c>
    </row>
    <row r="5" spans="1:9" x14ac:dyDescent="0.3">
      <c r="A5" t="s">
        <v>171</v>
      </c>
      <c r="B5">
        <v>20.323509589491273</v>
      </c>
      <c r="C5">
        <v>16.640158921075926</v>
      </c>
      <c r="D5">
        <f t="shared" si="0"/>
        <v>18.50804666986491</v>
      </c>
      <c r="E5">
        <v>30</v>
      </c>
      <c r="F5">
        <f t="shared" si="1"/>
        <v>11.49195333013509</v>
      </c>
      <c r="H5" t="s">
        <v>12</v>
      </c>
      <c r="I5" cm="1">
        <f t="array" ref="I5">(SUM(TableWHU[PP]-TableWHU[AP]))^2</f>
        <v>3.1554436208840472E-28</v>
      </c>
    </row>
    <row r="6" spans="1:9" x14ac:dyDescent="0.3">
      <c r="A6" t="s">
        <v>172</v>
      </c>
      <c r="B6">
        <v>14.150701956707296</v>
      </c>
      <c r="C6">
        <v>13.88925289381457</v>
      </c>
      <c r="D6">
        <f t="shared" si="0"/>
        <v>14.051426402901223</v>
      </c>
      <c r="E6">
        <v>13</v>
      </c>
      <c r="F6">
        <f t="shared" si="1"/>
        <v>1.0514264029012228</v>
      </c>
    </row>
    <row r="7" spans="1:9" x14ac:dyDescent="0.3">
      <c r="A7" t="s">
        <v>173</v>
      </c>
      <c r="B7">
        <v>20.237533530611575</v>
      </c>
      <c r="C7">
        <v>20.304612569941305</v>
      </c>
      <c r="D7">
        <f t="shared" si="0"/>
        <v>20.318576626543333</v>
      </c>
      <c r="E7">
        <v>30</v>
      </c>
      <c r="F7">
        <f t="shared" si="1"/>
        <v>9.681423373456667</v>
      </c>
      <c r="H7" t="s">
        <v>15</v>
      </c>
      <c r="I7">
        <f>AVERAGE(TableWHU[DIFF])/5</f>
        <v>0.94103896460407765</v>
      </c>
    </row>
    <row r="8" spans="1:9" x14ac:dyDescent="0.3">
      <c r="A8" t="s">
        <v>174</v>
      </c>
      <c r="B8">
        <v>14.388157889063351</v>
      </c>
      <c r="C8">
        <v>17.538561253824017</v>
      </c>
      <c r="D8">
        <f t="shared" si="0"/>
        <v>16.014912587476175</v>
      </c>
      <c r="E8">
        <v>15</v>
      </c>
      <c r="F8">
        <f t="shared" si="1"/>
        <v>1.0149125874761751</v>
      </c>
    </row>
    <row r="9" spans="1:9" x14ac:dyDescent="0.3">
      <c r="A9" t="s">
        <v>147</v>
      </c>
      <c r="B9">
        <v>17.818681331179068</v>
      </c>
      <c r="C9">
        <v>11.127893576281373</v>
      </c>
      <c r="D9">
        <f t="shared" si="0"/>
        <v>14.476434139823228</v>
      </c>
      <c r="E9">
        <v>12</v>
      </c>
      <c r="F9">
        <f t="shared" si="1"/>
        <v>2.4764341398232279</v>
      </c>
    </row>
    <row r="10" spans="1:9" x14ac:dyDescent="0.3">
      <c r="A10" t="s">
        <v>175</v>
      </c>
      <c r="B10">
        <v>10.999563360885904</v>
      </c>
      <c r="C10">
        <v>17.188101715176511</v>
      </c>
      <c r="D10">
        <f t="shared" si="0"/>
        <v>14.154905495946636</v>
      </c>
      <c r="E10">
        <v>13</v>
      </c>
      <c r="F10">
        <f t="shared" si="1"/>
        <v>1.1549054959466361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176</v>
      </c>
      <c r="B2">
        <v>20.399999998537712</v>
      </c>
      <c r="C2">
        <v>19.008294716957579</v>
      </c>
      <c r="D2">
        <f t="shared" ref="D2:D7" si="0">B2*$I$2+C2*$I$3</f>
        <v>21.989080475713166</v>
      </c>
      <c r="E2">
        <v>22</v>
      </c>
      <c r="F2">
        <f t="shared" ref="F2:F7" si="1">ABS(D2-E2)</f>
        <v>1.0919524286833848E-2</v>
      </c>
      <c r="H2" t="s">
        <v>7</v>
      </c>
      <c r="I2">
        <v>0.57564679108017802</v>
      </c>
    </row>
    <row r="3" spans="1:9" x14ac:dyDescent="0.3">
      <c r="A3" t="s">
        <v>177</v>
      </c>
      <c r="B3">
        <v>21.171568257607053</v>
      </c>
      <c r="C3">
        <v>20.979303621829096</v>
      </c>
      <c r="D3">
        <f t="shared" si="0"/>
        <v>23.495648108994889</v>
      </c>
      <c r="E3">
        <v>20</v>
      </c>
      <c r="F3">
        <f t="shared" si="1"/>
        <v>3.4956481089948888</v>
      </c>
      <c r="H3" t="s">
        <v>9</v>
      </c>
      <c r="I3">
        <v>0.53902183710245144</v>
      </c>
    </row>
    <row r="4" spans="1:9" x14ac:dyDescent="0.3">
      <c r="A4" t="s">
        <v>178</v>
      </c>
      <c r="B4">
        <v>15.383561643835616</v>
      </c>
      <c r="C4">
        <v>16.577987936878763</v>
      </c>
      <c r="D4">
        <f t="shared" si="0"/>
        <v>17.791395408856751</v>
      </c>
      <c r="E4">
        <v>19</v>
      </c>
      <c r="F4">
        <f t="shared" si="1"/>
        <v>1.2086045911432493</v>
      </c>
    </row>
    <row r="5" spans="1:9" x14ac:dyDescent="0.3">
      <c r="A5" t="s">
        <v>179</v>
      </c>
      <c r="B5">
        <v>15.588235294117647</v>
      </c>
      <c r="C5">
        <v>13.274504885210931</v>
      </c>
      <c r="D5">
        <f t="shared" si="0"/>
        <v>16.128565635513461</v>
      </c>
      <c r="E5">
        <v>23</v>
      </c>
      <c r="F5">
        <f t="shared" si="1"/>
        <v>6.8714343644865394</v>
      </c>
      <c r="H5" t="s">
        <v>12</v>
      </c>
      <c r="I5" cm="1">
        <f t="array" ref="I5">(SUM(TableWOL[PP]-TableWOL[AP]))^2</f>
        <v>2.0194839173657902E-28</v>
      </c>
    </row>
    <row r="6" spans="1:9" x14ac:dyDescent="0.3">
      <c r="A6" t="s">
        <v>180</v>
      </c>
      <c r="B6">
        <v>13.732394379761059</v>
      </c>
      <c r="C6">
        <v>10.505345570089105</v>
      </c>
      <c r="D6">
        <f t="shared" si="0"/>
        <v>13.567619427142454</v>
      </c>
      <c r="E6">
        <v>11</v>
      </c>
      <c r="F6">
        <f t="shared" si="1"/>
        <v>2.5676194271424535</v>
      </c>
    </row>
    <row r="7" spans="1:9" x14ac:dyDescent="0.3">
      <c r="A7" t="s">
        <v>181</v>
      </c>
      <c r="B7">
        <v>13.689635067937047</v>
      </c>
      <c r="C7">
        <v>13.259753045040695</v>
      </c>
      <c r="D7">
        <f t="shared" si="0"/>
        <v>15.027690943779294</v>
      </c>
      <c r="E7">
        <v>13</v>
      </c>
      <c r="F7">
        <f t="shared" si="1"/>
        <v>2.0276909437792945</v>
      </c>
      <c r="H7" t="s">
        <v>15</v>
      </c>
      <c r="I7">
        <f>AVERAGE(TableWOL[DIFF])/5</f>
        <v>0.53939723199444201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2023-02-17T17:33:52Z</dcterms:created>
  <dcterms:modified xsi:type="dcterms:W3CDTF">2023-02-17T17:49:10Z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a7725ca5-e2d5-445a-902f-cc3bae0347a9</vt:lpwstr>
  </property>
</Properties>
</file>