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99B07467-D5FA-46EB-9653-DEA04724EF01}" xr6:coauthVersionLast="47" xr6:coauthVersionMax="47" xr10:uidLastSave="{00000000-0000-0000-0000-000000000000}"/>
  <bookViews>
    <workbookView xWindow="-108" yWindow="-108" windowWidth="23256" windowHeight="12576" firstSheet="3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0" l="1"/>
  <c r="F7" i="20" s="1"/>
  <c r="D6" i="20"/>
  <c r="F6" i="20" s="1"/>
  <c r="D5" i="20"/>
  <c r="F5" i="20" s="1"/>
  <c r="D4" i="20"/>
  <c r="F4" i="20" s="1"/>
  <c r="D3" i="20"/>
  <c r="F3" i="20" s="1"/>
  <c r="D2" i="20"/>
  <c r="F2" i="20" s="1"/>
  <c r="D12" i="19"/>
  <c r="F12" i="19" s="1"/>
  <c r="D11" i="19"/>
  <c r="F11" i="19" s="1"/>
  <c r="D10" i="19"/>
  <c r="F10" i="19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D14" i="18"/>
  <c r="F14" i="18" s="1"/>
  <c r="D13" i="18"/>
  <c r="F13" i="18" s="1"/>
  <c r="D12" i="18"/>
  <c r="F12" i="18" s="1"/>
  <c r="D11" i="18"/>
  <c r="F11" i="18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7" i="17"/>
  <c r="F7" i="17" s="1"/>
  <c r="D6" i="17"/>
  <c r="D5" i="17"/>
  <c r="F5" i="17" s="1"/>
  <c r="D4" i="17"/>
  <c r="F4" i="17" s="1"/>
  <c r="D3" i="17"/>
  <c r="F3" i="17" s="1"/>
  <c r="D2" i="17"/>
  <c r="F2" i="17" s="1"/>
  <c r="D8" i="16"/>
  <c r="F8" i="16" s="1"/>
  <c r="D7" i="16"/>
  <c r="F7" i="16" s="1"/>
  <c r="D6" i="16"/>
  <c r="F6" i="16" s="1"/>
  <c r="D5" i="16"/>
  <c r="F5" i="16" s="1"/>
  <c r="D4" i="16"/>
  <c r="D3" i="16"/>
  <c r="F3" i="16" s="1"/>
  <c r="D2" i="16"/>
  <c r="F2" i="16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D14" i="14"/>
  <c r="F14" i="14" s="1"/>
  <c r="D13" i="14"/>
  <c r="F13" i="14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12" i="12"/>
  <c r="F12" i="12" s="1"/>
  <c r="D11" i="12"/>
  <c r="F11" i="12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D5" i="11"/>
  <c r="D4" i="11"/>
  <c r="F4" i="11" s="1"/>
  <c r="D3" i="11"/>
  <c r="F3" i="11" s="1"/>
  <c r="D2" i="11"/>
  <c r="F2" i="11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9" i="9"/>
  <c r="F9" i="9" s="1"/>
  <c r="D8" i="9"/>
  <c r="F8" i="9" s="1"/>
  <c r="D7" i="9"/>
  <c r="F7" i="9" s="1"/>
  <c r="D6" i="9"/>
  <c r="F6" i="9" s="1"/>
  <c r="D5" i="9"/>
  <c r="D4" i="9"/>
  <c r="F4" i="9" s="1"/>
  <c r="D3" i="9"/>
  <c r="F3" i="9" s="1"/>
  <c r="D2" i="9"/>
  <c r="F2" i="9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D8" i="6"/>
  <c r="F8" i="6" s="1"/>
  <c r="D7" i="6"/>
  <c r="D6" i="6"/>
  <c r="F6" i="6" s="1"/>
  <c r="D5" i="6"/>
  <c r="F5" i="6" s="1"/>
  <c r="D4" i="6"/>
  <c r="F4" i="6" s="1"/>
  <c r="D3" i="6"/>
  <c r="F3" i="6" s="1"/>
  <c r="D2" i="6"/>
  <c r="F2" i="6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13" i="4"/>
  <c r="F13" i="4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2" i="2"/>
  <c r="F12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I5" i="20" l="1" a="1"/>
  <c r="I5" i="20" s="1"/>
  <c r="I5" i="19" a="1"/>
  <c r="I5" i="19" s="1"/>
  <c r="F2" i="19"/>
  <c r="I7" i="19" s="1"/>
  <c r="I5" i="18" a="1"/>
  <c r="I5" i="18" s="1"/>
  <c r="I5" i="17" a="1"/>
  <c r="I5" i="17" s="1"/>
  <c r="F6" i="17"/>
  <c r="I7" i="17" s="1"/>
  <c r="I5" i="16" a="1"/>
  <c r="I5" i="16" s="1"/>
  <c r="F4" i="16"/>
  <c r="I7" i="16" s="1"/>
  <c r="I5" i="15" a="1"/>
  <c r="I5" i="15" s="1"/>
  <c r="F2" i="15"/>
  <c r="I5" i="14" a="1"/>
  <c r="I5" i="14" s="1"/>
  <c r="I5" i="13" a="1"/>
  <c r="I5" i="13" s="1"/>
  <c r="I5" i="12" a="1"/>
  <c r="I5" i="12" s="1"/>
  <c r="F2" i="12"/>
  <c r="I7" i="12" s="1"/>
  <c r="I5" i="11" a="1"/>
  <c r="I5" i="11" s="1"/>
  <c r="I5" i="10" a="1"/>
  <c r="I5" i="10" s="1"/>
  <c r="I7" i="10"/>
  <c r="I5" i="9" a="1"/>
  <c r="I5" i="9" s="1"/>
  <c r="I5" i="8" a="1"/>
  <c r="I5" i="8" s="1"/>
  <c r="I7" i="8"/>
  <c r="I5" i="7" a="1"/>
  <c r="I5" i="7" s="1"/>
  <c r="F2" i="7"/>
  <c r="I5" i="6" a="1"/>
  <c r="I5" i="6" s="1"/>
  <c r="F7" i="6"/>
  <c r="I7" i="6" s="1"/>
  <c r="I7" i="5"/>
  <c r="I5" i="5" a="1"/>
  <c r="I5" i="5" s="1"/>
  <c r="I5" i="4" a="1"/>
  <c r="I5" i="4" s="1"/>
  <c r="I5" i="3" a="1"/>
  <c r="I5" i="3" s="1"/>
  <c r="I5" i="2" a="1"/>
  <c r="I5" i="2" s="1"/>
  <c r="F2" i="2"/>
  <c r="I7" i="2" s="1"/>
  <c r="I5" i="1" a="1"/>
  <c r="I5" i="1" s="1"/>
  <c r="F5" i="1"/>
  <c r="I7" i="1" s="1"/>
  <c r="I7" i="14"/>
  <c r="I7" i="4"/>
  <c r="I7" i="20"/>
  <c r="I7" i="18"/>
  <c r="I7" i="3"/>
  <c r="I7" i="13"/>
  <c r="F5" i="9"/>
  <c r="I7" i="9" s="1"/>
  <c r="F5" i="11"/>
  <c r="I7" i="11" s="1"/>
  <c r="F5" i="15"/>
  <c r="F5" i="7"/>
  <c r="I7" i="15" l="1"/>
  <c r="I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<sst xmlns="http://schemas.openxmlformats.org/spreadsheetml/2006/main" count="388" uniqueCount="196">
  <si>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</si>
  <si>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</si>
  <si>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</si>
  <si>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</si>
  <si>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</si>
  <si>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</si>
  <si>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</si>
  <si>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</si>
  <si>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</si>
  <si>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</si>
  <si>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</si>
  <si>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</si>
  <si>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</si>
  <si>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</si>
  <si>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</si>
  <si>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</si>
  <si>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</si>
  <si>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</si>
  <si>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</si>
  <si>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</si>
  <si>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Jesus</t>
  </si>
  <si>
    <t>Trossard</t>
  </si>
  <si>
    <t>Jorginho</t>
  </si>
  <si>
    <t>Zinchenko</t>
  </si>
  <si>
    <t>Coutinho</t>
  </si>
  <si>
    <t>Martínez</t>
  </si>
  <si>
    <t>McGinn</t>
  </si>
  <si>
    <t>Watkins</t>
  </si>
  <si>
    <t>Buendía</t>
  </si>
  <si>
    <t>Cash</t>
  </si>
  <si>
    <t>Konsa</t>
  </si>
  <si>
    <t>Bailey</t>
  </si>
  <si>
    <t>Douglas Luiz</t>
  </si>
  <si>
    <t>Ramsey</t>
  </si>
  <si>
    <t>Kamara</t>
  </si>
  <si>
    <t>Stanislas</t>
  </si>
  <si>
    <t>Lerma</t>
  </si>
  <si>
    <t>Solanke</t>
  </si>
  <si>
    <t>Cook</t>
  </si>
  <si>
    <t>Billing</t>
  </si>
  <si>
    <t>Travers</t>
  </si>
  <si>
    <t>Zemura</t>
  </si>
  <si>
    <t>Stephens</t>
  </si>
  <si>
    <t>Tavernier</t>
  </si>
  <si>
    <t>Jansson</t>
  </si>
  <si>
    <t>Nørgaard</t>
  </si>
  <si>
    <t>Toney</t>
  </si>
  <si>
    <t>Raya</t>
  </si>
  <si>
    <t>Dasilva</t>
  </si>
  <si>
    <t>Henry</t>
  </si>
  <si>
    <t>Janelt</t>
  </si>
  <si>
    <t>Jensen</t>
  </si>
  <si>
    <t>Wissa</t>
  </si>
  <si>
    <t>Mbeumo</t>
  </si>
  <si>
    <t>Hickey</t>
  </si>
  <si>
    <t>Mee</t>
  </si>
  <si>
    <t>Lallana</t>
  </si>
  <si>
    <t>Welbeck</t>
  </si>
  <si>
    <t>Groß</t>
  </si>
  <si>
    <t>Dunk</t>
  </si>
  <si>
    <t>March</t>
  </si>
  <si>
    <t>Webster</t>
  </si>
  <si>
    <t>Veltman</t>
  </si>
  <si>
    <t>Sánchez</t>
  </si>
  <si>
    <t>Lamptey</t>
  </si>
  <si>
    <t>Mwepu</t>
  </si>
  <si>
    <t>Cucurella</t>
  </si>
  <si>
    <t>Thiago Silva</t>
  </si>
  <si>
    <t>Kanté</t>
  </si>
  <si>
    <t>Mendy</t>
  </si>
  <si>
    <t>Broja</t>
  </si>
  <si>
    <t>Sterling</t>
  </si>
  <si>
    <t>Koulibaly</t>
  </si>
  <si>
    <t>Guaita</t>
  </si>
  <si>
    <t>Clyne</t>
  </si>
  <si>
    <t>J.Ayew</t>
  </si>
  <si>
    <t>Zaha</t>
  </si>
  <si>
    <t>Schlupp</t>
  </si>
  <si>
    <t>Andersen</t>
  </si>
  <si>
    <t>Guéhi</t>
  </si>
  <si>
    <t>Eze</t>
  </si>
  <si>
    <t>Mitchell</t>
  </si>
  <si>
    <t>C.Doucouré</t>
  </si>
  <si>
    <t>Pickford</t>
  </si>
  <si>
    <t>Iwobi</t>
  </si>
  <si>
    <t>Mina</t>
  </si>
  <si>
    <t>Gray</t>
  </si>
  <si>
    <t>Holgate</t>
  </si>
  <si>
    <t>Mykolenko</t>
  </si>
  <si>
    <t>Tarkowski</t>
  </si>
  <si>
    <t>McNeil</t>
  </si>
  <si>
    <t>Ream</t>
  </si>
  <si>
    <t>Kebano</t>
  </si>
  <si>
    <t>De Cordova-Reid</t>
  </si>
  <si>
    <t>Mitrović</t>
  </si>
  <si>
    <t>Reed</t>
  </si>
  <si>
    <t>Tete</t>
  </si>
  <si>
    <t>Robinson</t>
  </si>
  <si>
    <t>Andreas</t>
  </si>
  <si>
    <t>Rodrigo</t>
  </si>
  <si>
    <t>Bamford</t>
  </si>
  <si>
    <t>Koch</t>
  </si>
  <si>
    <t>Harrison</t>
  </si>
  <si>
    <t>Struijk</t>
  </si>
  <si>
    <t>Meslier</t>
  </si>
  <si>
    <t>Summerville</t>
  </si>
  <si>
    <t>Adams</t>
  </si>
  <si>
    <t>Ward</t>
  </si>
  <si>
    <t>Maddison</t>
  </si>
  <si>
    <t>Justin</t>
  </si>
  <si>
    <t>Daka</t>
  </si>
  <si>
    <t>Matip</t>
  </si>
  <si>
    <t>Thiago</t>
  </si>
  <si>
    <t>Firmino</t>
  </si>
  <si>
    <t>Van Dijk</t>
  </si>
  <si>
    <t>Alisson</t>
  </si>
  <si>
    <t>Fabinho</t>
  </si>
  <si>
    <t>Salah</t>
  </si>
  <si>
    <t>Robertson</t>
  </si>
  <si>
    <t>Alexander-Arnold</t>
  </si>
  <si>
    <t>Luis Díaz</t>
  </si>
  <si>
    <t>Darwin</t>
  </si>
  <si>
    <t>Gündogan</t>
  </si>
  <si>
    <t>De Bruyne</t>
  </si>
  <si>
    <t>Mahrez</t>
  </si>
  <si>
    <t>Grealish</t>
  </si>
  <si>
    <t>Ederson</t>
  </si>
  <si>
    <t>Aké</t>
  </si>
  <si>
    <t>Bernardo</t>
  </si>
  <si>
    <t>Foden</t>
  </si>
  <si>
    <t>Haaland</t>
  </si>
  <si>
    <t>Álvarez</t>
  </si>
  <si>
    <t>Ronaldo</t>
  </si>
  <si>
    <t>De Gea</t>
  </si>
  <si>
    <t>Maguire</t>
  </si>
  <si>
    <t>Fred</t>
  </si>
  <si>
    <t>Shaw</t>
  </si>
  <si>
    <t>Fernandes</t>
  </si>
  <si>
    <t>Rashford</t>
  </si>
  <si>
    <t>Sancho</t>
  </si>
  <si>
    <t>Dalot</t>
  </si>
  <si>
    <t>Malacia</t>
  </si>
  <si>
    <t>Eriksen</t>
  </si>
  <si>
    <t>Garnacho</t>
  </si>
  <si>
    <t>Wilson</t>
  </si>
  <si>
    <t>Trippier</t>
  </si>
  <si>
    <t>Burn</t>
  </si>
  <si>
    <t>Schär</t>
  </si>
  <si>
    <t>Almirón</t>
  </si>
  <si>
    <t>S.Longstaff</t>
  </si>
  <si>
    <t>Willock</t>
  </si>
  <si>
    <t>Bruno Guimarães</t>
  </si>
  <si>
    <t>Pope</t>
  </si>
  <si>
    <t>Botman</t>
  </si>
  <si>
    <t>Wood</t>
  </si>
  <si>
    <t>McKenna</t>
  </si>
  <si>
    <t>Surridge</t>
  </si>
  <si>
    <t>Johnson</t>
  </si>
  <si>
    <t>Awoniyi</t>
  </si>
  <si>
    <t>Henderson</t>
  </si>
  <si>
    <t>Gibbs-White</t>
  </si>
  <si>
    <t>Romeu</t>
  </si>
  <si>
    <t>Redmond</t>
  </si>
  <si>
    <t>Ward-Prowse</t>
  </si>
  <si>
    <t>Bednarek</t>
  </si>
  <si>
    <t>Perraud</t>
  </si>
  <si>
    <t>Bazunu</t>
  </si>
  <si>
    <t>Lloris</t>
  </si>
  <si>
    <t>Kane</t>
  </si>
  <si>
    <t>Son</t>
  </si>
  <si>
    <t>Doherty</t>
  </si>
  <si>
    <t>Dier</t>
  </si>
  <si>
    <t>Davies</t>
  </si>
  <si>
    <t>Højbjerg</t>
  </si>
  <si>
    <t>Bentancur</t>
  </si>
  <si>
    <t>Romero</t>
  </si>
  <si>
    <t>Emerson Royal</t>
  </si>
  <si>
    <t>Kulusevski</t>
  </si>
  <si>
    <t>Perišić</t>
  </si>
  <si>
    <t>Lenglet</t>
  </si>
  <si>
    <t>Ings</t>
  </si>
  <si>
    <t>Fabianski</t>
  </si>
  <si>
    <t>Antonio</t>
  </si>
  <si>
    <t>Zouma</t>
  </si>
  <si>
    <t>Coufal</t>
  </si>
  <si>
    <t>Benrahma</t>
  </si>
  <si>
    <t>Bowen</t>
  </si>
  <si>
    <t>Rice</t>
  </si>
  <si>
    <t>Fornals</t>
  </si>
  <si>
    <t>Scamacca</t>
  </si>
  <si>
    <t>Sá</t>
  </si>
  <si>
    <t>Neves</t>
  </si>
  <si>
    <t>Podence</t>
  </si>
  <si>
    <t>Kilman</t>
  </si>
  <si>
    <t>Neto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</si>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</sst>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5">
  <autoFilter ref="A1:F15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2">
  <autoFilter ref="A1:F12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0">
  <autoFilter ref="A1:F10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3">
  <autoFilter ref="A1:F13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11">
  <autoFilter ref="A1:F11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8">
  <autoFilter ref="A1:F8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1">
  <autoFilter ref="A1:F11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9">
  <autoFilter ref="A1:F9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9">
  <autoFilter ref="A1:F9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9">
  <autoFilter ref="A1:F9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5">
  <autoFilter ref="A1:F5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12">
  <autoFilter ref="A1:F12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1">
  <autoFilter ref="A1:F11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4">
  <autoFilter ref="A1:F1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1">
  <autoFilter ref="A1:F11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>
  <autoFilter ref="A1:F8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7">
  <autoFilter ref="A1:F7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4">
  <autoFilter ref="A1:F14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12">
  <autoFilter ref="A1:F12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7">
  <autoFilter ref="A1:F7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13.576923091201534</v>
      </c>
      <c r="C2">
        <v>16.683217379835799</v>
      </c>
      <c r="D2">
        <f t="shared" ref="D2:D15" si="0">B2*$I$2+C2*$I$3</f>
        <v>12.200797518048287</v>
      </c>
      <c r="E2">
        <v>14</v>
      </c>
      <c r="F2">
        <f t="shared" ref="F2:F15" si="1">ABS(D2-E2)</f>
        <v>1.7992024819517134</v>
      </c>
      <c r="H2" t="s">
        <v>7</v>
      </c>
      <c r="I2">
        <v>0.27052297239314838</v>
      </c>
    </row>
    <row r="3" spans="1:9" x14ac:dyDescent="0.3">
      <c r="A3" t="s">
        <v>8</v>
      </c>
      <c r="B3">
        <v>12.372881325823693</v>
      </c>
      <c r="C3">
        <v>14.535530300545688</v>
      </c>
      <c r="D3">
        <f t="shared" si="0"/>
        <v>10.777247514636068</v>
      </c>
      <c r="E3">
        <v>10</v>
      </c>
      <c r="F3">
        <f t="shared" si="1"/>
        <v>0.777247514636068</v>
      </c>
      <c r="H3" t="s">
        <v>9</v>
      </c>
      <c r="I3">
        <v>0.51116806388739922</v>
      </c>
    </row>
    <row r="4" spans="1:9" x14ac:dyDescent="0.3">
      <c r="A4" t="s">
        <v>10</v>
      </c>
      <c r="B4">
        <v>20.33947684260718</v>
      </c>
      <c r="C4">
        <v>28.691962183304447</v>
      </c>
      <c r="D4">
        <f t="shared" si="0"/>
        <v>20.168710490753913</v>
      </c>
      <c r="E4">
        <v>25</v>
      </c>
      <c r="F4">
        <f t="shared" si="1"/>
        <v>4.831289509246087</v>
      </c>
    </row>
    <row r="5" spans="1:9" x14ac:dyDescent="0.3">
      <c r="A5" t="s">
        <v>11</v>
      </c>
      <c r="B5">
        <v>20.815686474086995</v>
      </c>
      <c r="C5">
        <v>30.136452819670822</v>
      </c>
      <c r="D5">
        <f t="shared" si="0"/>
        <v>21.035913617638954</v>
      </c>
      <c r="E5">
        <v>10</v>
      </c>
      <c r="F5">
        <f t="shared" si="1"/>
        <v>11.035913617638954</v>
      </c>
      <c r="H5" t="s">
        <v>12</v>
      </c>
      <c r="I5" cm="1">
        <f t="array" ref="I5">(SUM(TableARS[PP]-TableARS[AP]))^2</f>
        <v>1.135959703518257E-28</v>
      </c>
    </row>
    <row r="6" spans="1:9" x14ac:dyDescent="0.3">
      <c r="A6" t="s">
        <v>13</v>
      </c>
      <c r="B6">
        <v>12.097346732867361</v>
      </c>
      <c r="C6">
        <v>21.386882577059865</v>
      </c>
      <c r="D6">
        <f t="shared" si="0"/>
        <v>14.204901555748663</v>
      </c>
      <c r="E6">
        <v>25</v>
      </c>
      <c r="F6">
        <f t="shared" si="1"/>
        <v>10.795098444251337</v>
      </c>
    </row>
    <row r="7" spans="1:9" x14ac:dyDescent="0.3">
      <c r="A7" t="s">
        <v>14</v>
      </c>
      <c r="B7">
        <v>19.999077016305506</v>
      </c>
      <c r="C7">
        <v>26.826073692042439</v>
      </c>
      <c r="D7">
        <f t="shared" si="0"/>
        <v>19.122841910432491</v>
      </c>
      <c r="E7">
        <v>38</v>
      </c>
      <c r="F7">
        <f t="shared" si="1"/>
        <v>18.877158089567509</v>
      </c>
      <c r="H7" t="s">
        <v>15</v>
      </c>
      <c r="I7">
        <f>AVERAGE(TableARS[DIFF])/5</f>
        <v>1.306244219274266</v>
      </c>
    </row>
    <row r="8" spans="1:9" x14ac:dyDescent="0.3">
      <c r="A8" t="s">
        <v>16</v>
      </c>
      <c r="B8">
        <v>18.347107457480043</v>
      </c>
      <c r="C8">
        <v>23.010678973348327</v>
      </c>
      <c r="D8">
        <f t="shared" si="0"/>
        <v>16.725638263754952</v>
      </c>
      <c r="E8">
        <v>14</v>
      </c>
      <c r="F8">
        <f t="shared" si="1"/>
        <v>2.7256382637549521</v>
      </c>
    </row>
    <row r="9" spans="1:9" x14ac:dyDescent="0.3">
      <c r="A9" t="s">
        <v>17</v>
      </c>
      <c r="B9">
        <v>22.228356721945197</v>
      </c>
      <c r="C9">
        <v>29.319500997143606</v>
      </c>
      <c r="D9">
        <f t="shared" si="0"/>
        <v>21.000473690690402</v>
      </c>
      <c r="E9">
        <v>11</v>
      </c>
      <c r="F9">
        <f t="shared" si="1"/>
        <v>10.000473690690402</v>
      </c>
    </row>
    <row r="10" spans="1:9" x14ac:dyDescent="0.3">
      <c r="A10" t="s">
        <v>18</v>
      </c>
      <c r="B10">
        <v>28.297039573564497</v>
      </c>
      <c r="C10">
        <v>31.802908124754389</v>
      </c>
      <c r="D10">
        <f t="shared" si="0"/>
        <v>23.911630227486754</v>
      </c>
      <c r="E10">
        <v>27</v>
      </c>
      <c r="F10">
        <f t="shared" si="1"/>
        <v>3.0883697725132464</v>
      </c>
    </row>
    <row r="11" spans="1:9" x14ac:dyDescent="0.3">
      <c r="A11" t="s">
        <v>19</v>
      </c>
      <c r="B11">
        <v>24.257452952748565</v>
      </c>
      <c r="C11">
        <v>26.576815048237268</v>
      </c>
      <c r="D11">
        <f t="shared" si="0"/>
        <v>20.147417367965438</v>
      </c>
      <c r="E11">
        <v>11</v>
      </c>
      <c r="F11">
        <f t="shared" si="1"/>
        <v>9.1474173679654385</v>
      </c>
    </row>
    <row r="12" spans="1:9" x14ac:dyDescent="0.3">
      <c r="A12" t="s">
        <v>20</v>
      </c>
      <c r="B12">
        <v>25.243030254553211</v>
      </c>
      <c r="C12">
        <v>26.96864077857451</v>
      </c>
      <c r="D12">
        <f t="shared" si="0"/>
        <v>20.6143274691306</v>
      </c>
      <c r="E12">
        <v>17</v>
      </c>
      <c r="F12">
        <f t="shared" si="1"/>
        <v>3.6143274691306004</v>
      </c>
    </row>
    <row r="13" spans="1:9" x14ac:dyDescent="0.3">
      <c r="A13" t="s">
        <v>21</v>
      </c>
      <c r="B13">
        <v>19.39980624414186</v>
      </c>
      <c r="C13">
        <v>25.954866373142977</v>
      </c>
      <c r="D13">
        <f t="shared" si="0"/>
        <v>18.515392041432076</v>
      </c>
      <c r="E13">
        <v>11</v>
      </c>
      <c r="F13">
        <f t="shared" si="1"/>
        <v>7.5153920414320758</v>
      </c>
    </row>
    <row r="14" spans="1:9" x14ac:dyDescent="0.3">
      <c r="A14" t="s">
        <v>22</v>
      </c>
      <c r="B14">
        <v>16.953617049080357</v>
      </c>
      <c r="C14">
        <v>16.268220610609685</v>
      </c>
      <c r="D14">
        <f t="shared" si="0"/>
        <v>12.902137709350811</v>
      </c>
      <c r="E14">
        <v>12</v>
      </c>
      <c r="F14">
        <f t="shared" si="1"/>
        <v>0.90213770935081072</v>
      </c>
    </row>
    <row r="15" spans="1:9" x14ac:dyDescent="0.3">
      <c r="A15" t="s">
        <v>23</v>
      </c>
      <c r="B15">
        <v>17.388888888888889</v>
      </c>
      <c r="C15">
        <v>19.501368372438144</v>
      </c>
      <c r="D15">
        <f t="shared" si="0"/>
        <v>14.672570622930582</v>
      </c>
      <c r="E15">
        <v>21</v>
      </c>
      <c r="F15">
        <f t="shared" si="1"/>
        <v>6.3274293770694179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24</v>
      </c>
      <c r="B2">
        <v>10.204300500092989</v>
      </c>
      <c r="C2">
        <v>13.54015738253814</v>
      </c>
      <c r="D2">
        <f t="shared" ref="D2:D12" si="0">B2*$I$2+C2*$I$3</f>
        <v>12.672851028518135</v>
      </c>
      <c r="E2">
        <v>12</v>
      </c>
      <c r="F2">
        <f t="shared" ref="F2:F12" si="1">ABS(D2-E2)</f>
        <v>0.67285102851813505</v>
      </c>
      <c r="H2" t="s">
        <v>7</v>
      </c>
      <c r="I2">
        <v>0.47735110949489806</v>
      </c>
    </row>
    <row r="3" spans="1:9" x14ac:dyDescent="0.3">
      <c r="A3" t="s">
        <v>25</v>
      </c>
      <c r="B3">
        <v>15.588235294009753</v>
      </c>
      <c r="C3">
        <v>22.448747233860399</v>
      </c>
      <c r="D3">
        <f t="shared" si="0"/>
        <v>20.375993391537421</v>
      </c>
      <c r="E3">
        <v>18</v>
      </c>
      <c r="F3">
        <f t="shared" si="1"/>
        <v>2.3759933915374205</v>
      </c>
      <c r="H3" t="s">
        <v>9</v>
      </c>
      <c r="I3">
        <v>0.57619838845011495</v>
      </c>
    </row>
    <row r="4" spans="1:9" x14ac:dyDescent="0.3">
      <c r="A4" t="s">
        <v>26</v>
      </c>
      <c r="B4">
        <v>14.900974931874677</v>
      </c>
      <c r="C4">
        <v>12.361105514942865</v>
      </c>
      <c r="D4">
        <f t="shared" si="0"/>
        <v>14.235445993457947</v>
      </c>
      <c r="E4">
        <v>23</v>
      </c>
      <c r="F4">
        <f t="shared" si="1"/>
        <v>8.7645540065420526</v>
      </c>
    </row>
    <row r="5" spans="1:9" x14ac:dyDescent="0.3">
      <c r="A5" t="s">
        <v>27</v>
      </c>
      <c r="B5">
        <v>23.356172876784893</v>
      </c>
      <c r="C5">
        <v>17.971752042882386</v>
      </c>
      <c r="D5">
        <f t="shared" si="0"/>
        <v>21.504389601021806</v>
      </c>
      <c r="E5">
        <v>40</v>
      </c>
      <c r="F5">
        <f t="shared" si="1"/>
        <v>18.495610398978194</v>
      </c>
      <c r="H5" t="s">
        <v>12</v>
      </c>
      <c r="I5" cm="1">
        <f t="array" ref="I5">(SUM(TableAVL[PP]-TableAVL[AP]))^2</f>
        <v>5.0487097934144756E-29</v>
      </c>
    </row>
    <row r="6" spans="1:9" x14ac:dyDescent="0.3">
      <c r="A6" t="s">
        <v>28</v>
      </c>
      <c r="B6">
        <v>15.952040583605527</v>
      </c>
      <c r="C6">
        <v>16.396191644832129</v>
      </c>
      <c r="D6">
        <f t="shared" si="0"/>
        <v>17.062183473763252</v>
      </c>
      <c r="E6">
        <v>17</v>
      </c>
      <c r="F6">
        <f t="shared" si="1"/>
        <v>6.218347376325184E-2</v>
      </c>
    </row>
    <row r="7" spans="1:9" x14ac:dyDescent="0.3">
      <c r="A7" t="s">
        <v>29</v>
      </c>
      <c r="B7">
        <v>6.7740474783010241</v>
      </c>
      <c r="C7">
        <v>19.952189005330737</v>
      </c>
      <c r="D7">
        <f t="shared" si="0"/>
        <v>14.730018230461784</v>
      </c>
      <c r="E7">
        <v>12</v>
      </c>
      <c r="F7">
        <f t="shared" si="1"/>
        <v>2.7300182304617842</v>
      </c>
      <c r="H7" t="s">
        <v>15</v>
      </c>
      <c r="I7">
        <f>AVERAGE(TableAVL[DIFF])/5</f>
        <v>1.0411831647919141</v>
      </c>
    </row>
    <row r="8" spans="1:9" x14ac:dyDescent="0.3">
      <c r="A8" t="s">
        <v>30</v>
      </c>
      <c r="B8">
        <v>16.989993728416692</v>
      </c>
      <c r="C8">
        <v>13.376436823197933</v>
      </c>
      <c r="D8">
        <f t="shared" si="0"/>
        <v>15.817673697302492</v>
      </c>
      <c r="E8">
        <v>14</v>
      </c>
      <c r="F8">
        <f t="shared" si="1"/>
        <v>1.8176736973024923</v>
      </c>
    </row>
    <row r="9" spans="1:9" x14ac:dyDescent="0.3">
      <c r="A9" t="s">
        <v>31</v>
      </c>
      <c r="B9">
        <v>17.444444421637513</v>
      </c>
      <c r="C9">
        <v>17.88941098063702</v>
      </c>
      <c r="D9">
        <f t="shared" si="0"/>
        <v>18.634974676555593</v>
      </c>
      <c r="E9">
        <v>10</v>
      </c>
      <c r="F9">
        <f t="shared" si="1"/>
        <v>8.6349746765555935</v>
      </c>
    </row>
    <row r="10" spans="1:9" x14ac:dyDescent="0.3">
      <c r="A10" t="s">
        <v>32</v>
      </c>
      <c r="B10">
        <v>12.656945288665128</v>
      </c>
      <c r="C10">
        <v>14.900806162399414</v>
      </c>
      <c r="D10">
        <f t="shared" si="0"/>
        <v>14.627627373742605</v>
      </c>
      <c r="E10">
        <v>16</v>
      </c>
      <c r="F10">
        <f t="shared" si="1"/>
        <v>1.3723726262573948</v>
      </c>
    </row>
    <row r="11" spans="1:9" x14ac:dyDescent="0.3">
      <c r="A11" t="s">
        <v>33</v>
      </c>
      <c r="B11">
        <v>13.175174936007345</v>
      </c>
      <c r="C11">
        <v>16.326298087094219</v>
      </c>
      <c r="D11">
        <f t="shared" si="0"/>
        <v>15.696371020632363</v>
      </c>
      <c r="E11">
        <v>10</v>
      </c>
      <c r="F11">
        <f t="shared" si="1"/>
        <v>5.6963710206323626</v>
      </c>
    </row>
    <row r="12" spans="1:9" x14ac:dyDescent="0.3">
      <c r="A12" t="s">
        <v>34</v>
      </c>
      <c r="B12">
        <v>9.8383923610495501</v>
      </c>
      <c r="C12">
        <v>24.203649790354909</v>
      </c>
      <c r="D12">
        <f t="shared" si="0"/>
        <v>18.642471513006594</v>
      </c>
      <c r="E12">
        <v>12</v>
      </c>
      <c r="F12">
        <f t="shared" si="1"/>
        <v>6.6424715130065941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35</v>
      </c>
      <c r="B2">
        <v>25.432432477378867</v>
      </c>
      <c r="C2">
        <v>15.83269853306739</v>
      </c>
      <c r="D2">
        <f t="shared" ref="D2:D10" si="0">B2*$I$2+C2*$I$3</f>
        <v>21.425914404096424</v>
      </c>
      <c r="E2">
        <v>10</v>
      </c>
      <c r="F2">
        <f t="shared" ref="F2:F10" si="1">ABS(D2-E2)</f>
        <v>11.425914404096424</v>
      </c>
      <c r="H2" t="s">
        <v>7</v>
      </c>
      <c r="I2">
        <v>0.4596242379985897</v>
      </c>
    </row>
    <row r="3" spans="1:9" x14ac:dyDescent="0.3">
      <c r="A3" t="s">
        <v>36</v>
      </c>
      <c r="B3">
        <v>13.635550381936461</v>
      </c>
      <c r="C3">
        <v>19.022929945821083</v>
      </c>
      <c r="D3">
        <f t="shared" si="0"/>
        <v>17.965661426373885</v>
      </c>
      <c r="E3">
        <v>14</v>
      </c>
      <c r="F3">
        <f t="shared" si="1"/>
        <v>3.9656614263738845</v>
      </c>
      <c r="H3" t="s">
        <v>9</v>
      </c>
      <c r="I3">
        <v>0.61496478227607876</v>
      </c>
    </row>
    <row r="4" spans="1:9" x14ac:dyDescent="0.3">
      <c r="A4" t="s">
        <v>37</v>
      </c>
      <c r="B4">
        <v>12.579328790468036</v>
      </c>
      <c r="C4">
        <v>16.952851415322186</v>
      </c>
      <c r="D4">
        <f t="shared" si="0"/>
        <v>16.207170989434914</v>
      </c>
      <c r="E4">
        <v>15</v>
      </c>
      <c r="F4">
        <f t="shared" si="1"/>
        <v>1.2071709894349141</v>
      </c>
    </row>
    <row r="5" spans="1:9" x14ac:dyDescent="0.3">
      <c r="A5" t="s">
        <v>38</v>
      </c>
      <c r="B5">
        <v>8.6831914042999632</v>
      </c>
      <c r="C5">
        <v>11.064041119302352</v>
      </c>
      <c r="D5">
        <f t="shared" si="0"/>
        <v>10.795000870622628</v>
      </c>
      <c r="E5">
        <v>12</v>
      </c>
      <c r="F5">
        <f t="shared" si="1"/>
        <v>1.2049991293773719</v>
      </c>
      <c r="H5" t="s">
        <v>12</v>
      </c>
      <c r="I5" cm="1">
        <f t="array" ref="I5">(SUM(TableBOU[PP]-TableBOU[AP]))^2</f>
        <v>2.0194839173657902E-28</v>
      </c>
    </row>
    <row r="6" spans="1:9" x14ac:dyDescent="0.3">
      <c r="A6" t="s">
        <v>39</v>
      </c>
      <c r="B6">
        <v>12.028330844277638</v>
      </c>
      <c r="C6">
        <v>13.768660546492477</v>
      </c>
      <c r="D6">
        <f t="shared" si="0"/>
        <v>13.995753733903024</v>
      </c>
      <c r="E6">
        <v>10</v>
      </c>
      <c r="F6">
        <f t="shared" si="1"/>
        <v>3.9957537339030242</v>
      </c>
    </row>
    <row r="7" spans="1:9" x14ac:dyDescent="0.3">
      <c r="A7" t="s">
        <v>40</v>
      </c>
      <c r="B7">
        <v>5.2352404432905839</v>
      </c>
      <c r="C7">
        <v>24.023144211121181</v>
      </c>
      <c r="D7">
        <f t="shared" si="0"/>
        <v>17.179631048865811</v>
      </c>
      <c r="E7">
        <v>14</v>
      </c>
      <c r="F7">
        <f t="shared" si="1"/>
        <v>3.1796310488658115</v>
      </c>
      <c r="H7" t="s">
        <v>15</v>
      </c>
      <c r="I7">
        <f>AVERAGE(TableBOU[DIFF])/5</f>
        <v>1.3487449110231631</v>
      </c>
    </row>
    <row r="8" spans="1:9" x14ac:dyDescent="0.3">
      <c r="A8" t="s">
        <v>41</v>
      </c>
      <c r="B8">
        <v>14.665930091819144</v>
      </c>
      <c r="C8">
        <v>19.239820382173427</v>
      </c>
      <c r="D8">
        <f t="shared" si="0"/>
        <v>18.572628895347105</v>
      </c>
      <c r="E8">
        <v>12</v>
      </c>
      <c r="F8">
        <f t="shared" si="1"/>
        <v>6.5726288953471048</v>
      </c>
    </row>
    <row r="9" spans="1:9" x14ac:dyDescent="0.3">
      <c r="A9" t="s">
        <v>42</v>
      </c>
      <c r="B9">
        <v>11.402439084143053</v>
      </c>
      <c r="C9">
        <v>11.584894784406607</v>
      </c>
      <c r="D9">
        <f t="shared" si="0"/>
        <v>12.365139674158478</v>
      </c>
      <c r="E9">
        <v>16</v>
      </c>
      <c r="F9">
        <f t="shared" si="1"/>
        <v>3.6348603258415224</v>
      </c>
    </row>
    <row r="10" spans="1:9" x14ac:dyDescent="0.3">
      <c r="A10" t="s">
        <v>43</v>
      </c>
      <c r="B10">
        <v>10.96364309201992</v>
      </c>
      <c r="C10">
        <v>21.877582656919728</v>
      </c>
      <c r="D10">
        <f t="shared" si="0"/>
        <v>18.493098957197716</v>
      </c>
      <c r="E10">
        <v>44</v>
      </c>
      <c r="F10">
        <f t="shared" si="1"/>
        <v>25.506901042802284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44</v>
      </c>
      <c r="B2">
        <v>23.113765568674744</v>
      </c>
      <c r="C2">
        <v>20.981066157892993</v>
      </c>
      <c r="D2">
        <f t="shared" ref="D2:D13" si="0">B2*$I$2+C2*$I$3</f>
        <v>21.014245123986811</v>
      </c>
      <c r="E2">
        <v>10</v>
      </c>
      <c r="F2">
        <f t="shared" ref="F2:F13" si="1">ABS(D2-E2)</f>
        <v>11.014245123986811</v>
      </c>
      <c r="H2" t="s">
        <v>7</v>
      </c>
      <c r="I2">
        <v>0.46021466549188977</v>
      </c>
    </row>
    <row r="3" spans="1:9" x14ac:dyDescent="0.3">
      <c r="A3" t="s">
        <v>45</v>
      </c>
      <c r="B3">
        <v>15.89293611388039</v>
      </c>
      <c r="C3">
        <v>20.773186448404605</v>
      </c>
      <c r="D3">
        <f t="shared" si="0"/>
        <v>17.588299022287799</v>
      </c>
      <c r="E3">
        <v>14</v>
      </c>
      <c r="F3">
        <f t="shared" si="1"/>
        <v>3.5882990222877993</v>
      </c>
      <c r="H3" t="s">
        <v>9</v>
      </c>
      <c r="I3">
        <v>0.49458645983237781</v>
      </c>
    </row>
    <row r="4" spans="1:9" x14ac:dyDescent="0.3">
      <c r="A4" t="s">
        <v>46</v>
      </c>
      <c r="B4">
        <v>20.6856437530585</v>
      </c>
      <c r="C4">
        <v>32.218188738748125</v>
      </c>
      <c r="D4">
        <f t="shared" si="0"/>
        <v>25.454516530807034</v>
      </c>
      <c r="E4">
        <v>22</v>
      </c>
      <c r="F4">
        <f t="shared" si="1"/>
        <v>3.4545165308070338</v>
      </c>
    </row>
    <row r="5" spans="1:9" x14ac:dyDescent="0.3">
      <c r="A5" t="s">
        <v>47</v>
      </c>
      <c r="B5">
        <v>18.303191286916729</v>
      </c>
      <c r="C5">
        <v>23.422448309256797</v>
      </c>
      <c r="D5">
        <f t="shared" si="0"/>
        <v>20.007822845424634</v>
      </c>
      <c r="E5">
        <v>31</v>
      </c>
      <c r="F5">
        <f t="shared" si="1"/>
        <v>10.992177154575366</v>
      </c>
      <c r="H5" t="s">
        <v>12</v>
      </c>
      <c r="I5" cm="1">
        <f t="array" ref="I5">(SUM(TableBRE[PP]-TableBRE[AP]))^2</f>
        <v>1.8175355256292112E-27</v>
      </c>
    </row>
    <row r="6" spans="1:9" x14ac:dyDescent="0.3">
      <c r="A6" t="s">
        <v>48</v>
      </c>
      <c r="B6">
        <v>24.222222191742578</v>
      </c>
      <c r="C6">
        <v>21.735580771272868</v>
      </c>
      <c r="D6">
        <f t="shared" si="0"/>
        <v>21.897545829507592</v>
      </c>
      <c r="E6">
        <v>14</v>
      </c>
      <c r="F6">
        <f t="shared" si="1"/>
        <v>7.8975458295075924</v>
      </c>
    </row>
    <row r="7" spans="1:9" x14ac:dyDescent="0.3">
      <c r="A7" t="s">
        <v>49</v>
      </c>
      <c r="B7">
        <v>24.193629629667932</v>
      </c>
      <c r="C7">
        <v>16.648244821708516</v>
      </c>
      <c r="D7">
        <f t="shared" si="0"/>
        <v>19.368259635843831</v>
      </c>
      <c r="E7">
        <v>23</v>
      </c>
      <c r="F7">
        <f t="shared" si="1"/>
        <v>3.631740364156169</v>
      </c>
      <c r="H7" t="s">
        <v>15</v>
      </c>
      <c r="I7">
        <f>AVERAGE(TableBRE[DIFF])/5</f>
        <v>1.1471463320007218</v>
      </c>
    </row>
    <row r="8" spans="1:9" x14ac:dyDescent="0.3">
      <c r="A8" t="s">
        <v>50</v>
      </c>
      <c r="B8">
        <v>17.189353990270664</v>
      </c>
      <c r="C8">
        <v>16.951666328621201</v>
      </c>
      <c r="D8">
        <f t="shared" si="0"/>
        <v>16.294857434386575</v>
      </c>
      <c r="E8">
        <v>14</v>
      </c>
      <c r="F8">
        <f t="shared" si="1"/>
        <v>2.2948574343865751</v>
      </c>
    </row>
    <row r="9" spans="1:9" x14ac:dyDescent="0.3">
      <c r="A9" t="s">
        <v>51</v>
      </c>
      <c r="B9">
        <v>21.164854461796928</v>
      </c>
      <c r="C9">
        <v>15.711548773032133</v>
      </c>
      <c r="D9">
        <f t="shared" si="0"/>
        <v>17.511095702458107</v>
      </c>
      <c r="E9">
        <v>25</v>
      </c>
      <c r="F9">
        <f t="shared" si="1"/>
        <v>7.4889042975418931</v>
      </c>
    </row>
    <row r="10" spans="1:9" x14ac:dyDescent="0.3">
      <c r="A10" t="s">
        <v>52</v>
      </c>
      <c r="B10">
        <v>14.666666666596544</v>
      </c>
      <c r="C10">
        <v>18.24390310223038</v>
      </c>
      <c r="D10">
        <f t="shared" si="0"/>
        <v>15.773002542705836</v>
      </c>
      <c r="E10">
        <v>13</v>
      </c>
      <c r="F10">
        <f t="shared" si="1"/>
        <v>2.7730025427058358</v>
      </c>
    </row>
    <row r="11" spans="1:9" x14ac:dyDescent="0.3">
      <c r="A11" t="s">
        <v>53</v>
      </c>
      <c r="B11">
        <v>27.387712726266869</v>
      </c>
      <c r="C11">
        <v>19.613574586685708</v>
      </c>
      <c r="D11">
        <f t="shared" si="0"/>
        <v>22.304835470394057</v>
      </c>
      <c r="E11">
        <v>23</v>
      </c>
      <c r="F11">
        <f t="shared" si="1"/>
        <v>0.69516452960594322</v>
      </c>
    </row>
    <row r="12" spans="1:9" x14ac:dyDescent="0.3">
      <c r="A12" t="s">
        <v>54</v>
      </c>
      <c r="B12">
        <v>9.4285711465774185</v>
      </c>
      <c r="C12">
        <v>22.347471388111387</v>
      </c>
      <c r="D12">
        <f t="shared" si="0"/>
        <v>15.391923476339976</v>
      </c>
      <c r="E12">
        <v>12</v>
      </c>
      <c r="F12">
        <f t="shared" si="1"/>
        <v>3.3919234763399757</v>
      </c>
    </row>
    <row r="13" spans="1:9" x14ac:dyDescent="0.3">
      <c r="A13" t="s">
        <v>55</v>
      </c>
      <c r="B13">
        <v>15.667061310646044</v>
      </c>
      <c r="C13">
        <v>20.589696307070557</v>
      </c>
      <c r="D13">
        <f t="shared" si="0"/>
        <v>17.393596385857705</v>
      </c>
      <c r="E13">
        <v>29</v>
      </c>
      <c r="F13">
        <f t="shared" si="1"/>
        <v>11.606403614142295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56</v>
      </c>
      <c r="B2">
        <v>11.739446587592912</v>
      </c>
      <c r="C2">
        <v>12.183764025465207</v>
      </c>
      <c r="D2">
        <f t="shared" ref="D2:D11" si="0">B2*$I$2+C2*$I$3</f>
        <v>10.211898859999263</v>
      </c>
      <c r="E2">
        <v>16</v>
      </c>
      <c r="F2">
        <f t="shared" ref="F2:F11" si="1">ABS(D2-E2)</f>
        <v>5.7881011400007374</v>
      </c>
      <c r="H2" t="s">
        <v>7</v>
      </c>
      <c r="I2">
        <v>0.40294611124429924</v>
      </c>
    </row>
    <row r="3" spans="1:9" x14ac:dyDescent="0.3">
      <c r="A3" t="s">
        <v>57</v>
      </c>
      <c r="B3">
        <v>15.126298451613616</v>
      </c>
      <c r="C3">
        <v>18.812863256476835</v>
      </c>
      <c r="D3">
        <f t="shared" si="0"/>
        <v>14.559081533911321</v>
      </c>
      <c r="E3">
        <v>10</v>
      </c>
      <c r="F3">
        <f t="shared" si="1"/>
        <v>4.5590815339113213</v>
      </c>
      <c r="H3" t="s">
        <v>9</v>
      </c>
      <c r="I3">
        <v>0.44990484860931473</v>
      </c>
    </row>
    <row r="4" spans="1:9" x14ac:dyDescent="0.3">
      <c r="A4" t="s">
        <v>58</v>
      </c>
      <c r="B4">
        <v>18.138342473668967</v>
      </c>
      <c r="C4">
        <v>21.532487190337314</v>
      </c>
      <c r="D4">
        <f t="shared" si="0"/>
        <v>16.99634495373293</v>
      </c>
      <c r="E4">
        <v>12</v>
      </c>
      <c r="F4">
        <f t="shared" si="1"/>
        <v>4.9963449537329296</v>
      </c>
    </row>
    <row r="5" spans="1:9" x14ac:dyDescent="0.3">
      <c r="A5" t="s">
        <v>59</v>
      </c>
      <c r="B5">
        <v>18.85329146384268</v>
      </c>
      <c r="C5">
        <v>16.886188413151402</v>
      </c>
      <c r="D5">
        <f t="shared" si="0"/>
        <v>15.194038521117996</v>
      </c>
      <c r="E5">
        <v>16</v>
      </c>
      <c r="F5">
        <f t="shared" si="1"/>
        <v>0.8059614788820042</v>
      </c>
      <c r="H5" t="s">
        <v>12</v>
      </c>
      <c r="I5" cm="1">
        <f t="array" ref="I5">(SUM(TableBHA[PP]-TableBHA[AP]))^2</f>
        <v>1.2621774483536189E-29</v>
      </c>
    </row>
    <row r="6" spans="1:9" x14ac:dyDescent="0.3">
      <c r="A6" t="s">
        <v>60</v>
      </c>
      <c r="B6">
        <v>16.276397373764539</v>
      </c>
      <c r="C6">
        <v>30.019556646539392</v>
      </c>
      <c r="D6">
        <f t="shared" si="0"/>
        <v>20.064455115205398</v>
      </c>
      <c r="E6">
        <v>36</v>
      </c>
      <c r="F6">
        <f t="shared" si="1"/>
        <v>15.935544884794602</v>
      </c>
    </row>
    <row r="7" spans="1:9" x14ac:dyDescent="0.3">
      <c r="A7" t="s">
        <v>61</v>
      </c>
      <c r="B7">
        <v>27.33333933847857</v>
      </c>
      <c r="C7">
        <v>15.154553217406628</v>
      </c>
      <c r="D7">
        <f t="shared" si="0"/>
        <v>17.831969764779899</v>
      </c>
      <c r="E7">
        <v>11</v>
      </c>
      <c r="F7">
        <f t="shared" si="1"/>
        <v>6.8319697647798989</v>
      </c>
      <c r="H7" t="s">
        <v>15</v>
      </c>
      <c r="I7">
        <f>AVERAGE(TableBHA[DIFF])/5</f>
        <v>1.1166475390616928</v>
      </c>
    </row>
    <row r="8" spans="1:9" x14ac:dyDescent="0.3">
      <c r="A8" t="s">
        <v>62</v>
      </c>
      <c r="B8">
        <v>15.069444419746214</v>
      </c>
      <c r="C8">
        <v>16.8377788461911</v>
      </c>
      <c r="D8">
        <f t="shared" si="0"/>
        <v>13.647572370261571</v>
      </c>
      <c r="E8">
        <v>11</v>
      </c>
      <c r="F8">
        <f t="shared" si="1"/>
        <v>2.647572370261571</v>
      </c>
    </row>
    <row r="9" spans="1:9" x14ac:dyDescent="0.3">
      <c r="A9" t="s">
        <v>63</v>
      </c>
      <c r="B9">
        <v>17.799999968607104</v>
      </c>
      <c r="C9">
        <v>18.848690336398128</v>
      </c>
      <c r="D9">
        <f t="shared" si="0"/>
        <v>15.652557939779935</v>
      </c>
      <c r="E9">
        <v>20</v>
      </c>
      <c r="F9">
        <f t="shared" si="1"/>
        <v>4.3474420602200645</v>
      </c>
    </row>
    <row r="10" spans="1:9" x14ac:dyDescent="0.3">
      <c r="A10" t="s">
        <v>64</v>
      </c>
      <c r="B10">
        <v>10.372752626328783</v>
      </c>
      <c r="C10">
        <v>10.627137645784035</v>
      </c>
      <c r="D10">
        <f t="shared" si="0"/>
        <v>8.9608610873550916</v>
      </c>
      <c r="E10">
        <v>10</v>
      </c>
      <c r="F10">
        <f t="shared" si="1"/>
        <v>1.0391389126449084</v>
      </c>
    </row>
    <row r="11" spans="1:9" x14ac:dyDescent="0.3">
      <c r="A11" t="s">
        <v>65</v>
      </c>
      <c r="B11">
        <v>17.194130836563403</v>
      </c>
      <c r="C11">
        <v>26.567643656175122</v>
      </c>
      <c r="D11">
        <f t="shared" si="0"/>
        <v>18.881219853856599</v>
      </c>
      <c r="E11">
        <v>10</v>
      </c>
      <c r="F11">
        <f t="shared" si="1"/>
        <v>8.8812198538565994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66</v>
      </c>
      <c r="B2">
        <v>12.727975315794145</v>
      </c>
      <c r="C2">
        <v>27.115703551258129</v>
      </c>
      <c r="D2">
        <f t="shared" ref="D2:D8" si="0">B2*$I$2+C2*$I$3</f>
        <v>11.587682686907176</v>
      </c>
      <c r="E2">
        <v>17</v>
      </c>
      <c r="F2">
        <f t="shared" ref="F2:F8" si="1">ABS(D2-E2)</f>
        <v>5.4123173130928244</v>
      </c>
      <c r="H2" t="s">
        <v>7</v>
      </c>
      <c r="I2">
        <v>0.30566314531937244</v>
      </c>
    </row>
    <row r="3" spans="1:9" x14ac:dyDescent="0.3">
      <c r="A3" t="s">
        <v>67</v>
      </c>
      <c r="B3">
        <v>20.482838427234753</v>
      </c>
      <c r="C3">
        <v>17.1225220986598</v>
      </c>
      <c r="D3">
        <f t="shared" si="0"/>
        <v>11.121340203408579</v>
      </c>
      <c r="E3">
        <v>23</v>
      </c>
      <c r="F3">
        <f t="shared" si="1"/>
        <v>11.878659796591421</v>
      </c>
      <c r="H3" t="s">
        <v>9</v>
      </c>
      <c r="I3">
        <v>0.28386538832687103</v>
      </c>
    </row>
    <row r="4" spans="1:9" x14ac:dyDescent="0.3">
      <c r="A4" t="s">
        <v>68</v>
      </c>
      <c r="B4">
        <v>14.116856501820624</v>
      </c>
      <c r="C4">
        <v>14.894884048495184</v>
      </c>
      <c r="D4">
        <f t="shared" si="0"/>
        <v>8.5431448048785263</v>
      </c>
      <c r="E4">
        <v>10</v>
      </c>
      <c r="F4">
        <f t="shared" si="1"/>
        <v>1.4568551951214737</v>
      </c>
    </row>
    <row r="5" spans="1:9" x14ac:dyDescent="0.3">
      <c r="A5" t="s">
        <v>69</v>
      </c>
      <c r="B5">
        <v>62.610858483759827</v>
      </c>
      <c r="C5">
        <v>18.716218405543504</v>
      </c>
      <c r="D5">
        <f t="shared" si="0"/>
        <v>24.450718540992284</v>
      </c>
      <c r="E5">
        <v>10</v>
      </c>
      <c r="F5">
        <f t="shared" si="1"/>
        <v>14.450718540992284</v>
      </c>
      <c r="H5" t="s">
        <v>12</v>
      </c>
      <c r="I5" cm="1">
        <f t="array" ref="I5">(SUM(TableCHE[PP]-TableCHE[AP]))^2</f>
        <v>3.1554436208840472E-30</v>
      </c>
    </row>
    <row r="6" spans="1:9" x14ac:dyDescent="0.3">
      <c r="A6" t="s">
        <v>70</v>
      </c>
      <c r="B6">
        <v>13.240070016836889</v>
      </c>
      <c r="C6">
        <v>12.724618190505408</v>
      </c>
      <c r="D6">
        <f t="shared" si="0"/>
        <v>7.6590801295540647</v>
      </c>
      <c r="E6">
        <v>10</v>
      </c>
      <c r="F6">
        <f t="shared" si="1"/>
        <v>2.3409198704459353</v>
      </c>
    </row>
    <row r="7" spans="1:9" x14ac:dyDescent="0.3">
      <c r="A7" t="s">
        <v>71</v>
      </c>
      <c r="B7">
        <v>33.483235987568733</v>
      </c>
      <c r="C7">
        <v>39.544863801357607</v>
      </c>
      <c r="D7">
        <f t="shared" si="0"/>
        <v>21.460009346736665</v>
      </c>
      <c r="E7">
        <v>14</v>
      </c>
      <c r="F7">
        <f t="shared" si="1"/>
        <v>7.4600093467366655</v>
      </c>
      <c r="H7" t="s">
        <v>15</v>
      </c>
      <c r="I7">
        <f>AVERAGE(TableCHE[DIFF])/5</f>
        <v>1.2520415935845117</v>
      </c>
    </row>
    <row r="8" spans="1:9" x14ac:dyDescent="0.3">
      <c r="A8" t="s">
        <v>72</v>
      </c>
      <c r="B8">
        <v>13.727269458790328</v>
      </c>
      <c r="C8">
        <v>28.119327879843173</v>
      </c>
      <c r="D8">
        <f t="shared" si="0"/>
        <v>12.178024287522703</v>
      </c>
      <c r="E8">
        <v>13</v>
      </c>
      <c r="F8">
        <f t="shared" si="1"/>
        <v>0.82197571247729684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73</v>
      </c>
      <c r="B2">
        <v>18.327077007617621</v>
      </c>
      <c r="C2">
        <v>17.890130704691185</v>
      </c>
      <c r="D2">
        <f t="shared" ref="D2:D11" si="0">B2*$I$2+C2*$I$3</f>
        <v>14.334089552681867</v>
      </c>
      <c r="E2">
        <v>28</v>
      </c>
      <c r="F2">
        <f t="shared" ref="F2:F11" si="1">ABS(D2-E2)</f>
        <v>13.665910447318133</v>
      </c>
      <c r="H2" t="s">
        <v>7</v>
      </c>
      <c r="I2">
        <v>0.45895239054571274</v>
      </c>
    </row>
    <row r="3" spans="1:9" x14ac:dyDescent="0.3">
      <c r="A3" t="s">
        <v>74</v>
      </c>
      <c r="B3">
        <v>11.852301740787295</v>
      </c>
      <c r="C3">
        <v>12.237369171380664</v>
      </c>
      <c r="D3">
        <f t="shared" si="0"/>
        <v>9.4910325797948776</v>
      </c>
      <c r="E3">
        <v>11</v>
      </c>
      <c r="F3">
        <f t="shared" si="1"/>
        <v>1.5089674202051224</v>
      </c>
      <c r="H3" t="s">
        <v>9</v>
      </c>
      <c r="I3">
        <v>0.33106710320273386</v>
      </c>
    </row>
    <row r="4" spans="1:9" x14ac:dyDescent="0.3">
      <c r="A4" t="s">
        <v>75</v>
      </c>
      <c r="B4">
        <v>13.407407102850922</v>
      </c>
      <c r="C4">
        <v>12.460399003637072</v>
      </c>
      <c r="D4">
        <f t="shared" si="0"/>
        <v>10.278589743757355</v>
      </c>
      <c r="E4">
        <v>11</v>
      </c>
      <c r="F4">
        <f t="shared" si="1"/>
        <v>0.72141025624264543</v>
      </c>
    </row>
    <row r="5" spans="1:9" x14ac:dyDescent="0.3">
      <c r="A5" t="s">
        <v>76</v>
      </c>
      <c r="B5">
        <v>24.586705726101023</v>
      </c>
      <c r="C5">
        <v>25.137134814473114</v>
      </c>
      <c r="D5">
        <f t="shared" si="0"/>
        <v>19.606205774482234</v>
      </c>
      <c r="E5">
        <v>12</v>
      </c>
      <c r="F5">
        <f t="shared" si="1"/>
        <v>7.606205774482234</v>
      </c>
      <c r="H5" t="s">
        <v>12</v>
      </c>
      <c r="I5" cm="1">
        <f t="array" ref="I5">(SUM(TableCRY[PP]-TableCRY[AP]))^2</f>
        <v>0</v>
      </c>
    </row>
    <row r="6" spans="1:9" x14ac:dyDescent="0.3">
      <c r="A6" t="s">
        <v>77</v>
      </c>
      <c r="B6">
        <v>13.048348402532012</v>
      </c>
      <c r="C6">
        <v>11.590020309759247</v>
      </c>
      <c r="D6">
        <f t="shared" si="0"/>
        <v>9.8256451420282449</v>
      </c>
      <c r="E6">
        <v>16</v>
      </c>
      <c r="F6">
        <f t="shared" si="1"/>
        <v>6.1743548579717551</v>
      </c>
    </row>
    <row r="7" spans="1:9" x14ac:dyDescent="0.3">
      <c r="A7" t="s">
        <v>78</v>
      </c>
      <c r="B7">
        <v>17.75342465710083</v>
      </c>
      <c r="C7">
        <v>17.199272580856821</v>
      </c>
      <c r="D7">
        <f t="shared" si="0"/>
        <v>13.842090037288102</v>
      </c>
      <c r="E7">
        <v>12</v>
      </c>
      <c r="F7">
        <f t="shared" si="1"/>
        <v>1.8420900372881022</v>
      </c>
      <c r="H7" t="s">
        <v>15</v>
      </c>
      <c r="I7">
        <f>AVERAGE(TableCRY[DIFF])/5</f>
        <v>1.3371641724707026</v>
      </c>
    </row>
    <row r="8" spans="1:9" x14ac:dyDescent="0.3">
      <c r="A8" t="s">
        <v>79</v>
      </c>
      <c r="B8">
        <v>15.226235766736185</v>
      </c>
      <c r="C8">
        <v>14.16003286923498</v>
      </c>
      <c r="D8">
        <f t="shared" si="0"/>
        <v>11.676038367429326</v>
      </c>
      <c r="E8">
        <v>16</v>
      </c>
      <c r="F8">
        <f t="shared" si="1"/>
        <v>4.3239616325706738</v>
      </c>
    </row>
    <row r="9" spans="1:9" x14ac:dyDescent="0.3">
      <c r="A9" t="s">
        <v>80</v>
      </c>
      <c r="B9">
        <v>72.145971266408623</v>
      </c>
      <c r="C9">
        <v>17.586299126654776</v>
      </c>
      <c r="D9">
        <f t="shared" si="0"/>
        <v>38.933811088878905</v>
      </c>
      <c r="E9">
        <v>15</v>
      </c>
      <c r="F9">
        <f t="shared" si="1"/>
        <v>23.933811088878905</v>
      </c>
    </row>
    <row r="10" spans="1:9" x14ac:dyDescent="0.3">
      <c r="A10" t="s">
        <v>81</v>
      </c>
      <c r="B10">
        <v>19.164117186301262</v>
      </c>
      <c r="C10">
        <v>12.595884238718851</v>
      </c>
      <c r="D10">
        <f t="shared" si="0"/>
        <v>12.965500302540764</v>
      </c>
      <c r="E10">
        <v>20</v>
      </c>
      <c r="F10">
        <f t="shared" si="1"/>
        <v>7.0344996974592355</v>
      </c>
    </row>
    <row r="11" spans="1:9" x14ac:dyDescent="0.3">
      <c r="A11" t="s">
        <v>82</v>
      </c>
      <c r="B11">
        <v>16.624999964938446</v>
      </c>
      <c r="C11">
        <v>19.38251753892304</v>
      </c>
      <c r="D11">
        <f t="shared" si="0"/>
        <v>14.046997411118323</v>
      </c>
      <c r="E11">
        <v>14</v>
      </c>
      <c r="F11">
        <f t="shared" si="1"/>
        <v>4.6997411118322674E-2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21.277777785526368</v>
      </c>
      <c r="C2">
        <v>16.130238629242768</v>
      </c>
      <c r="D2">
        <f t="shared" ref="D2:D9" si="0">B2*$I$2+C2*$I$3</f>
        <v>20.395986623300679</v>
      </c>
      <c r="E2">
        <v>13</v>
      </c>
      <c r="F2">
        <f t="shared" ref="F2:F9" si="1">ABS(D2-E2)</f>
        <v>7.3959866233006792</v>
      </c>
      <c r="H2" t="s">
        <v>7</v>
      </c>
      <c r="I2">
        <v>0.55435776175208717</v>
      </c>
    </row>
    <row r="3" spans="1:9" x14ac:dyDescent="0.3">
      <c r="A3" t="s">
        <v>84</v>
      </c>
      <c r="B3">
        <v>13.036271886369278</v>
      </c>
      <c r="C3">
        <v>15.236234867831806</v>
      </c>
      <c r="D3">
        <f t="shared" si="0"/>
        <v>15.350569804461838</v>
      </c>
      <c r="E3">
        <v>16</v>
      </c>
      <c r="F3">
        <f t="shared" si="1"/>
        <v>0.64943019553816228</v>
      </c>
      <c r="H3" t="s">
        <v>9</v>
      </c>
      <c r="I3">
        <v>0.53319021204472705</v>
      </c>
    </row>
    <row r="4" spans="1:9" x14ac:dyDescent="0.3">
      <c r="A4" t="s">
        <v>85</v>
      </c>
      <c r="B4">
        <v>13.641093191250695</v>
      </c>
      <c r="C4">
        <v>14.126740351644363</v>
      </c>
      <c r="D4">
        <f t="shared" si="0"/>
        <v>15.094285572947431</v>
      </c>
      <c r="E4">
        <v>20</v>
      </c>
      <c r="F4">
        <f t="shared" si="1"/>
        <v>4.905714427052569</v>
      </c>
    </row>
    <row r="5" spans="1:9" x14ac:dyDescent="0.3">
      <c r="A5" t="s">
        <v>86</v>
      </c>
      <c r="B5">
        <v>13.431372547797896</v>
      </c>
      <c r="C5">
        <v>14.509302807675688</v>
      </c>
      <c r="D5">
        <f t="shared" si="0"/>
        <v>15.182003863501425</v>
      </c>
      <c r="E5">
        <v>16</v>
      </c>
      <c r="F5">
        <f t="shared" si="1"/>
        <v>0.81799613649857505</v>
      </c>
      <c r="H5" t="s">
        <v>12</v>
      </c>
      <c r="I5" cm="1">
        <f t="array" ref="I5">(SUM(TableEVE[PP]-TableEVE[AP]))^2</f>
        <v>5.0487097934144756E-29</v>
      </c>
    </row>
    <row r="6" spans="1:9" x14ac:dyDescent="0.3">
      <c r="A6" t="s">
        <v>87</v>
      </c>
      <c r="B6">
        <v>12.216512371955231</v>
      </c>
      <c r="C6">
        <v>13.662594693107046</v>
      </c>
      <c r="D6">
        <f t="shared" si="0"/>
        <v>14.057080216432691</v>
      </c>
      <c r="E6">
        <v>12</v>
      </c>
      <c r="F6">
        <f t="shared" si="1"/>
        <v>2.0570802164326913</v>
      </c>
    </row>
    <row r="7" spans="1:9" x14ac:dyDescent="0.3">
      <c r="A7" t="s">
        <v>88</v>
      </c>
      <c r="B7">
        <v>13.40699979347678</v>
      </c>
      <c r="C7">
        <v>15.500114839142142</v>
      </c>
      <c r="D7">
        <f t="shared" si="0"/>
        <v>15.696783915122303</v>
      </c>
      <c r="E7">
        <v>12</v>
      </c>
      <c r="F7">
        <f t="shared" si="1"/>
        <v>3.6967839151223032</v>
      </c>
      <c r="H7" t="s">
        <v>15</v>
      </c>
      <c r="I7">
        <f>AVERAGE(TableEVE[DIFF])/5</f>
        <v>0.68225675933801289</v>
      </c>
    </row>
    <row r="8" spans="1:9" x14ac:dyDescent="0.3">
      <c r="A8" t="s">
        <v>89</v>
      </c>
      <c r="B8">
        <v>16.40777748867734</v>
      </c>
      <c r="C8">
        <v>12.438763162860244</v>
      </c>
      <c r="D8">
        <f t="shared" si="0"/>
        <v>15.728005572329046</v>
      </c>
      <c r="E8">
        <v>23</v>
      </c>
      <c r="F8">
        <f t="shared" si="1"/>
        <v>7.2719944276709541</v>
      </c>
    </row>
    <row r="9" spans="1:9" x14ac:dyDescent="0.3">
      <c r="A9" t="s">
        <v>90</v>
      </c>
      <c r="B9">
        <v>14.649417500615989</v>
      </c>
      <c r="C9">
        <v>11.954957145305841</v>
      </c>
      <c r="D9">
        <f t="shared" si="0"/>
        <v>14.495284431904579</v>
      </c>
      <c r="E9">
        <v>14</v>
      </c>
      <c r="F9">
        <f t="shared" si="1"/>
        <v>0.49528443190457949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91</v>
      </c>
      <c r="B2">
        <v>6.6796645424685579</v>
      </c>
      <c r="C2">
        <v>13.989371617658463</v>
      </c>
      <c r="D2">
        <f t="shared" ref="D2:D9" si="0">B2*$I$2+C2*$I$3</f>
        <v>10.559868793522989</v>
      </c>
      <c r="E2">
        <v>27</v>
      </c>
      <c r="F2">
        <f t="shared" ref="F2:F9" si="1">ABS(D2-E2)</f>
        <v>16.440131206477012</v>
      </c>
      <c r="H2" t="s">
        <v>7</v>
      </c>
      <c r="I2">
        <v>0.47294008543659227</v>
      </c>
    </row>
    <row r="3" spans="1:9" x14ac:dyDescent="0.3">
      <c r="A3" t="s">
        <v>92</v>
      </c>
      <c r="B3">
        <v>7.7977834445340219</v>
      </c>
      <c r="C3">
        <v>20.581933777610445</v>
      </c>
      <c r="D3">
        <f t="shared" si="0"/>
        <v>14.576330681432225</v>
      </c>
      <c r="E3">
        <v>17</v>
      </c>
      <c r="F3">
        <f t="shared" si="1"/>
        <v>2.4236693185677751</v>
      </c>
      <c r="H3" t="s">
        <v>9</v>
      </c>
      <c r="I3">
        <v>0.52902931428158573</v>
      </c>
    </row>
    <row r="4" spans="1:9" x14ac:dyDescent="0.3">
      <c r="A4" t="s">
        <v>93</v>
      </c>
      <c r="B4">
        <v>18.6165167520819</v>
      </c>
      <c r="C4">
        <v>24.156003267094444</v>
      </c>
      <c r="D4">
        <f t="shared" si="0"/>
        <v>21.583730867436085</v>
      </c>
      <c r="E4">
        <v>11</v>
      </c>
      <c r="F4">
        <f t="shared" si="1"/>
        <v>10.583730867436085</v>
      </c>
    </row>
    <row r="5" spans="1:9" x14ac:dyDescent="0.3">
      <c r="A5" t="s">
        <v>94</v>
      </c>
      <c r="B5">
        <v>48.447353596488796</v>
      </c>
      <c r="C5">
        <v>20.45025755386829</v>
      </c>
      <c r="D5">
        <f t="shared" si="0"/>
        <v>33.731481279704965</v>
      </c>
      <c r="E5">
        <v>11</v>
      </c>
      <c r="F5">
        <f t="shared" si="1"/>
        <v>22.731481279704965</v>
      </c>
      <c r="H5" t="s">
        <v>12</v>
      </c>
      <c r="I5" cm="1">
        <f t="array" ref="I5">(SUM(TableFUL[PP]-TableFUL[AP]))^2</f>
        <v>1.2621774483536189E-29</v>
      </c>
    </row>
    <row r="6" spans="1:9" x14ac:dyDescent="0.3">
      <c r="A6" t="s">
        <v>95</v>
      </c>
      <c r="B6">
        <v>12.065217391304348</v>
      </c>
      <c r="C6">
        <v>15.209483376308256</v>
      </c>
      <c r="D6">
        <f t="shared" si="0"/>
        <v>13.752387505000071</v>
      </c>
      <c r="E6">
        <v>12</v>
      </c>
      <c r="F6">
        <f t="shared" si="1"/>
        <v>1.7523875050000708</v>
      </c>
    </row>
    <row r="7" spans="1:9" x14ac:dyDescent="0.3">
      <c r="A7" t="s">
        <v>96</v>
      </c>
      <c r="B7">
        <v>11.348221753348707</v>
      </c>
      <c r="C7">
        <v>15.50403671069858</v>
      </c>
      <c r="D7">
        <f t="shared" si="0"/>
        <v>13.569118875239532</v>
      </c>
      <c r="E7">
        <v>22</v>
      </c>
      <c r="F7">
        <f t="shared" si="1"/>
        <v>8.430881124760468</v>
      </c>
      <c r="H7" t="s">
        <v>15</v>
      </c>
      <c r="I7">
        <f>AVERAGE(TableFUL[DIFF])/5</f>
        <v>2.1846984741775062</v>
      </c>
    </row>
    <row r="8" spans="1:9" x14ac:dyDescent="0.3">
      <c r="A8" t="s">
        <v>97</v>
      </c>
      <c r="B8">
        <v>9.8193365920611413</v>
      </c>
      <c r="C8">
        <v>13.150035530492783</v>
      </c>
      <c r="D8">
        <f t="shared" si="0"/>
        <v>11.600712166255139</v>
      </c>
      <c r="E8">
        <v>28</v>
      </c>
      <c r="F8">
        <f t="shared" si="1"/>
        <v>16.399287833744861</v>
      </c>
    </row>
    <row r="9" spans="1:9" x14ac:dyDescent="0.3">
      <c r="A9" t="s">
        <v>98</v>
      </c>
      <c r="B9">
        <v>18.595472571873479</v>
      </c>
      <c r="C9">
        <v>26.145669192862727</v>
      </c>
      <c r="D9">
        <f t="shared" si="0"/>
        <v>22.626369831409001</v>
      </c>
      <c r="E9">
        <v>14</v>
      </c>
      <c r="F9">
        <f t="shared" si="1"/>
        <v>8.6263698314090007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99</v>
      </c>
      <c r="B2">
        <v>19.629715740054579</v>
      </c>
      <c r="C2">
        <v>20.200935033690502</v>
      </c>
      <c r="D2">
        <f t="shared" ref="D2:D9" si="0">B2*$I$2+C2*$I$3</f>
        <v>15.93790778211228</v>
      </c>
      <c r="E2">
        <v>15</v>
      </c>
      <c r="F2">
        <f t="shared" ref="F2:F9" si="1">ABS(D2-E2)</f>
        <v>0.93790778211227988</v>
      </c>
      <c r="H2" t="s">
        <v>7</v>
      </c>
      <c r="I2">
        <v>0.40396522335310675</v>
      </c>
    </row>
    <row r="3" spans="1:9" x14ac:dyDescent="0.3">
      <c r="A3" t="s">
        <v>100</v>
      </c>
      <c r="B3">
        <v>19.737388248153543</v>
      </c>
      <c r="C3">
        <v>17.391050878586952</v>
      </c>
      <c r="D3">
        <f t="shared" si="0"/>
        <v>14.867491286319495</v>
      </c>
      <c r="E3">
        <v>10</v>
      </c>
      <c r="F3">
        <f t="shared" si="1"/>
        <v>4.8674912863194955</v>
      </c>
      <c r="H3" t="s">
        <v>9</v>
      </c>
      <c r="I3">
        <v>0.39642646567930306</v>
      </c>
    </row>
    <row r="4" spans="1:9" x14ac:dyDescent="0.3">
      <c r="A4" t="s">
        <v>101</v>
      </c>
      <c r="B4">
        <v>17.553534191320551</v>
      </c>
      <c r="C4">
        <v>10.236836990453325</v>
      </c>
      <c r="D4">
        <f t="shared" si="0"/>
        <v>11.149170468093768</v>
      </c>
      <c r="E4">
        <v>17</v>
      </c>
      <c r="F4">
        <f t="shared" si="1"/>
        <v>5.850829531906232</v>
      </c>
    </row>
    <row r="5" spans="1:9" x14ac:dyDescent="0.3">
      <c r="A5" t="s">
        <v>102</v>
      </c>
      <c r="B5">
        <v>24.287189659425149</v>
      </c>
      <c r="C5">
        <v>18.106386045997965</v>
      </c>
      <c r="D5">
        <f t="shared" si="0"/>
        <v>16.98903062182897</v>
      </c>
      <c r="E5">
        <v>16</v>
      </c>
      <c r="F5">
        <f t="shared" si="1"/>
        <v>0.98903062182897017</v>
      </c>
      <c r="H5" t="s">
        <v>12</v>
      </c>
      <c r="I5" cm="1">
        <f t="array" ref="I5">(SUM(TableLEE[PP]-TableLEE[AP]))^2</f>
        <v>0</v>
      </c>
    </row>
    <row r="6" spans="1:9" x14ac:dyDescent="0.3">
      <c r="A6" t="s">
        <v>103</v>
      </c>
      <c r="B6">
        <v>22.706866200059842</v>
      </c>
      <c r="C6">
        <v>13.039288631677788</v>
      </c>
      <c r="D6">
        <f t="shared" si="0"/>
        <v>14.341903383384626</v>
      </c>
      <c r="E6">
        <v>14</v>
      </c>
      <c r="F6">
        <f t="shared" si="1"/>
        <v>0.34190338338462567</v>
      </c>
    </row>
    <row r="7" spans="1:9" x14ac:dyDescent="0.3">
      <c r="A7" t="s">
        <v>104</v>
      </c>
      <c r="B7">
        <v>19.732558132638832</v>
      </c>
      <c r="C7">
        <v>16.616635243783382</v>
      </c>
      <c r="D7">
        <f t="shared" si="0"/>
        <v>14.558541234554799</v>
      </c>
      <c r="E7">
        <v>19</v>
      </c>
      <c r="F7">
        <f t="shared" si="1"/>
        <v>4.4414587654452014</v>
      </c>
      <c r="H7" t="s">
        <v>15</v>
      </c>
      <c r="I7">
        <f>AVERAGE(TableLEE[DIFF])/5</f>
        <v>0.51461441486757165</v>
      </c>
    </row>
    <row r="8" spans="1:9" x14ac:dyDescent="0.3">
      <c r="A8" t="s">
        <v>105</v>
      </c>
      <c r="B8">
        <v>13.045644826142292</v>
      </c>
      <c r="C8">
        <v>26.697772946309097</v>
      </c>
      <c r="D8">
        <f t="shared" si="0"/>
        <v>15.853690596591701</v>
      </c>
      <c r="E8">
        <v>15</v>
      </c>
      <c r="F8">
        <f t="shared" si="1"/>
        <v>0.85369059659170077</v>
      </c>
    </row>
    <row r="9" spans="1:9" x14ac:dyDescent="0.3">
      <c r="A9" t="s">
        <v>106</v>
      </c>
      <c r="B9">
        <v>9.588234346896062</v>
      </c>
      <c r="C9">
        <v>21.262332682973113</v>
      </c>
      <c r="D9">
        <f t="shared" si="0"/>
        <v>12.302264627114361</v>
      </c>
      <c r="E9">
        <v>10</v>
      </c>
      <c r="F9">
        <f t="shared" si="1"/>
        <v>2.3022646271143614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107</v>
      </c>
      <c r="B2">
        <v>16.428304320389589</v>
      </c>
      <c r="C2">
        <v>17.812879754152686</v>
      </c>
      <c r="D2">
        <f>B2*$I$2+C2*$I$3</f>
        <v>17.171151915961275</v>
      </c>
      <c r="E2">
        <v>10</v>
      </c>
      <c r="F2">
        <f>ABS(D2-E2)</f>
        <v>7.1711519159612749</v>
      </c>
      <c r="H2" t="s">
        <v>7</v>
      </c>
      <c r="I2">
        <v>0.48897389102036332</v>
      </c>
    </row>
    <row r="3" spans="1:9" x14ac:dyDescent="0.3">
      <c r="A3" t="s">
        <v>108</v>
      </c>
      <c r="B3">
        <v>22.723162358159087</v>
      </c>
      <c r="C3">
        <v>29.199039150130684</v>
      </c>
      <c r="D3">
        <f>B3*$I$2+C3*$I$3</f>
        <v>26.090357747347078</v>
      </c>
      <c r="E3">
        <v>27</v>
      </c>
      <c r="F3">
        <f>ABS(D3-E3)</f>
        <v>0.90964225265292242</v>
      </c>
      <c r="H3" t="s">
        <v>9</v>
      </c>
      <c r="I3">
        <v>0.5130074505456298</v>
      </c>
    </row>
    <row r="4" spans="1:9" x14ac:dyDescent="0.3">
      <c r="A4" t="s">
        <v>109</v>
      </c>
      <c r="B4">
        <v>20.165619601231771</v>
      </c>
      <c r="C4">
        <v>16.911741333430147</v>
      </c>
      <c r="D4">
        <f>B4*$I$2+C4*$I$3</f>
        <v>18.536310787000957</v>
      </c>
      <c r="E4">
        <v>28</v>
      </c>
      <c r="F4">
        <f>ABS(D4-E4)</f>
        <v>9.4636892129990429</v>
      </c>
    </row>
    <row r="5" spans="1:9" x14ac:dyDescent="0.3">
      <c r="A5" t="s">
        <v>110</v>
      </c>
      <c r="B5">
        <v>15.644249202515491</v>
      </c>
      <c r="C5">
        <v>14.722106154621455</v>
      </c>
      <c r="D5">
        <f>B5*$I$2+C5*$I$3</f>
        <v>15.202179549690694</v>
      </c>
      <c r="E5">
        <v>12</v>
      </c>
      <c r="F5">
        <f>ABS(D5-E5)</f>
        <v>3.202179549690694</v>
      </c>
      <c r="H5" t="s">
        <v>12</v>
      </c>
      <c r="I5" cm="1">
        <f t="array" ref="I5">(SUM(TableLEI[PP]-TableLEI[AP]))^2</f>
        <v>1.2621774483536189E-29</v>
      </c>
    </row>
    <row r="7" spans="1:9" x14ac:dyDescent="0.3">
      <c r="H7" t="s">
        <v>15</v>
      </c>
      <c r="I7">
        <f>AVERAGE(TableLEI[DIFF])/5</f>
        <v>1.0373331465651967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111</v>
      </c>
      <c r="B2">
        <v>21.399999986213331</v>
      </c>
      <c r="C2">
        <v>24.139516003438146</v>
      </c>
      <c r="D2">
        <f t="shared" ref="D2:D12" si="0">B2*$I$2+C2*$I$3</f>
        <v>19.302114163419894</v>
      </c>
      <c r="E2">
        <v>13</v>
      </c>
      <c r="F2">
        <f t="shared" ref="F2:F12" si="1">ABS(D2-E2)</f>
        <v>6.3021141634198941</v>
      </c>
      <c r="H2" t="s">
        <v>7</v>
      </c>
      <c r="I2">
        <v>0.44373235982400061</v>
      </c>
    </row>
    <row r="3" spans="1:9" x14ac:dyDescent="0.3">
      <c r="A3" t="s">
        <v>112</v>
      </c>
      <c r="B3">
        <v>10.980392186548652</v>
      </c>
      <c r="C3">
        <v>12.805375531903024</v>
      </c>
      <c r="D3">
        <f t="shared" si="0"/>
        <v>10.074307484989836</v>
      </c>
      <c r="E3">
        <v>10</v>
      </c>
      <c r="F3">
        <f t="shared" si="1"/>
        <v>7.430748498983597E-2</v>
      </c>
      <c r="H3" t="s">
        <v>9</v>
      </c>
      <c r="I3">
        <v>0.40623190903691642</v>
      </c>
    </row>
    <row r="4" spans="1:9" x14ac:dyDescent="0.3">
      <c r="A4" t="s">
        <v>113</v>
      </c>
      <c r="B4">
        <v>49.751879699248121</v>
      </c>
      <c r="C4">
        <v>22.280663361843327</v>
      </c>
      <c r="D4">
        <f t="shared" si="0"/>
        <v>31.127635396717658</v>
      </c>
      <c r="E4">
        <v>11</v>
      </c>
      <c r="F4">
        <f t="shared" si="1"/>
        <v>20.127635396717658</v>
      </c>
    </row>
    <row r="5" spans="1:9" x14ac:dyDescent="0.3">
      <c r="A5" t="s">
        <v>114</v>
      </c>
      <c r="B5">
        <v>24.727345255588151</v>
      </c>
      <c r="C5">
        <v>23.150514375705171</v>
      </c>
      <c r="D5">
        <f t="shared" si="0"/>
        <v>20.376800912474224</v>
      </c>
      <c r="E5">
        <v>32</v>
      </c>
      <c r="F5">
        <f t="shared" si="1"/>
        <v>11.623199087525776</v>
      </c>
      <c r="H5" t="s">
        <v>12</v>
      </c>
      <c r="I5" cm="1">
        <f t="array" ref="I5">(SUM(TableLIV[PP]-TableLIV[AP]))^2</f>
        <v>3.1554436208840472E-30</v>
      </c>
    </row>
    <row r="6" spans="1:9" x14ac:dyDescent="0.3">
      <c r="A6" t="s">
        <v>115</v>
      </c>
      <c r="B6">
        <v>21.555214788990597</v>
      </c>
      <c r="C6">
        <v>23.959463464883886</v>
      </c>
      <c r="D6">
        <f t="shared" si="0"/>
        <v>19.29784490767203</v>
      </c>
      <c r="E6">
        <v>30</v>
      </c>
      <c r="F6">
        <f t="shared" si="1"/>
        <v>10.70215509232797</v>
      </c>
    </row>
    <row r="7" spans="1:9" x14ac:dyDescent="0.3">
      <c r="A7" t="s">
        <v>116</v>
      </c>
      <c r="B7">
        <v>13.080000056961625</v>
      </c>
      <c r="C7">
        <v>14.413157169721691</v>
      </c>
      <c r="D7">
        <f t="shared" si="0"/>
        <v>11.659103644078806</v>
      </c>
      <c r="E7">
        <v>10</v>
      </c>
      <c r="F7">
        <f t="shared" si="1"/>
        <v>1.6591036440788063</v>
      </c>
      <c r="H7" t="s">
        <v>15</v>
      </c>
      <c r="I7">
        <f>AVERAGE(TableLIV[DIFF])/5</f>
        <v>1.2491364610773268</v>
      </c>
    </row>
    <row r="8" spans="1:9" x14ac:dyDescent="0.3">
      <c r="A8" t="s">
        <v>117</v>
      </c>
      <c r="B8">
        <v>39.128399735396336</v>
      </c>
      <c r="C8">
        <v>34.680246148095748</v>
      </c>
      <c r="D8">
        <f t="shared" si="0"/>
        <v>31.450759749335319</v>
      </c>
      <c r="E8">
        <v>30</v>
      </c>
      <c r="F8">
        <f t="shared" si="1"/>
        <v>1.4507597493353188</v>
      </c>
    </row>
    <row r="9" spans="1:9" x14ac:dyDescent="0.3">
      <c r="A9" t="s">
        <v>118</v>
      </c>
      <c r="B9">
        <v>25.536912751316308</v>
      </c>
      <c r="C9">
        <v>24.923143620383367</v>
      </c>
      <c r="D9">
        <f t="shared" si="0"/>
        <v>21.456130769870775</v>
      </c>
      <c r="E9">
        <v>25</v>
      </c>
      <c r="F9">
        <f t="shared" si="1"/>
        <v>3.5438692301292249</v>
      </c>
    </row>
    <row r="10" spans="1:9" x14ac:dyDescent="0.3">
      <c r="A10" t="s">
        <v>119</v>
      </c>
      <c r="B10">
        <v>26.060518391352726</v>
      </c>
      <c r="C10">
        <v>22.748306176434145</v>
      </c>
      <c r="D10">
        <f t="shared" si="0"/>
        <v>20.804983169440831</v>
      </c>
      <c r="E10">
        <v>27</v>
      </c>
      <c r="F10">
        <f t="shared" si="1"/>
        <v>6.1950168305591689</v>
      </c>
    </row>
    <row r="11" spans="1:9" x14ac:dyDescent="0.3">
      <c r="A11" t="s">
        <v>120</v>
      </c>
      <c r="B11">
        <v>28</v>
      </c>
      <c r="C11">
        <v>27.78826880588003</v>
      </c>
      <c r="D11">
        <f t="shared" si="0"/>
        <v>23.712987560915657</v>
      </c>
      <c r="E11">
        <v>26</v>
      </c>
      <c r="F11">
        <f t="shared" si="1"/>
        <v>2.2870124390843429</v>
      </c>
    </row>
    <row r="12" spans="1:9" x14ac:dyDescent="0.3">
      <c r="A12" t="s">
        <v>121</v>
      </c>
      <c r="B12">
        <v>20.542871465954217</v>
      </c>
      <c r="C12">
        <v>26.147122300456012</v>
      </c>
      <c r="D12">
        <f t="shared" si="0"/>
        <v>19.737332241084967</v>
      </c>
      <c r="E12">
        <v>15</v>
      </c>
      <c r="F12">
        <f t="shared" si="1"/>
        <v>4.7373322410849674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122</v>
      </c>
      <c r="B2">
        <v>15.39603888262487</v>
      </c>
      <c r="C2">
        <v>18.837076557377046</v>
      </c>
      <c r="D2">
        <f t="shared" ref="D2:D11" si="0">B2*$I$2+C2*$I$3</f>
        <v>12.953526887147033</v>
      </c>
      <c r="E2">
        <v>15</v>
      </c>
      <c r="F2">
        <f t="shared" ref="F2:F11" si="1">ABS(D2-E2)</f>
        <v>2.0464731128529667</v>
      </c>
      <c r="H2" t="s">
        <v>7</v>
      </c>
      <c r="I2">
        <v>0.35971510128519807</v>
      </c>
    </row>
    <row r="3" spans="1:9" x14ac:dyDescent="0.3">
      <c r="A3" t="s">
        <v>123</v>
      </c>
      <c r="B3">
        <v>28.827300559511158</v>
      </c>
      <c r="C3">
        <v>16.25666078984311</v>
      </c>
      <c r="D3">
        <f t="shared" si="0"/>
        <v>16.769156886526122</v>
      </c>
      <c r="E3">
        <v>27</v>
      </c>
      <c r="F3">
        <f t="shared" si="1"/>
        <v>10.230843113473878</v>
      </c>
      <c r="H3" t="s">
        <v>9</v>
      </c>
      <c r="I3">
        <v>0.39365658352058658</v>
      </c>
    </row>
    <row r="4" spans="1:9" x14ac:dyDescent="0.3">
      <c r="A4" t="s">
        <v>124</v>
      </c>
      <c r="B4">
        <v>27.117175848528518</v>
      </c>
      <c r="C4">
        <v>22.678732204287467</v>
      </c>
      <c r="D4">
        <f t="shared" si="0"/>
        <v>18.682089895040068</v>
      </c>
      <c r="E4">
        <v>27</v>
      </c>
      <c r="F4">
        <f t="shared" si="1"/>
        <v>8.3179101049599318</v>
      </c>
    </row>
    <row r="5" spans="1:9" x14ac:dyDescent="0.3">
      <c r="A5" t="s">
        <v>125</v>
      </c>
      <c r="B5">
        <v>18.782254023326086</v>
      </c>
      <c r="C5">
        <v>19.001804108539005</v>
      </c>
      <c r="D5">
        <f t="shared" si="0"/>
        <v>14.236445694459972</v>
      </c>
      <c r="E5">
        <v>20</v>
      </c>
      <c r="F5">
        <f t="shared" si="1"/>
        <v>5.763554305540028</v>
      </c>
      <c r="H5" t="s">
        <v>12</v>
      </c>
      <c r="I5" cm="1">
        <f t="array" ref="I5">(SUM(TableMCI[PP]-TableMCI[AP]))^2</f>
        <v>1.135959703518257E-28</v>
      </c>
    </row>
    <row r="6" spans="1:9" x14ac:dyDescent="0.3">
      <c r="A6" t="s">
        <v>126</v>
      </c>
      <c r="B6">
        <v>20.326797385620914</v>
      </c>
      <c r="C6">
        <v>20.141954870456495</v>
      </c>
      <c r="D6">
        <f t="shared" si="0"/>
        <v>15.240869120102069</v>
      </c>
      <c r="E6">
        <v>12</v>
      </c>
      <c r="F6">
        <f t="shared" si="1"/>
        <v>3.2408691201020687</v>
      </c>
    </row>
    <row r="7" spans="1:9" x14ac:dyDescent="0.3">
      <c r="A7" t="s">
        <v>127</v>
      </c>
      <c r="B7">
        <v>15.556410581016875</v>
      </c>
      <c r="C7">
        <v>17.098413403535933</v>
      </c>
      <c r="D7">
        <f t="shared" si="0"/>
        <v>12.326778811843173</v>
      </c>
      <c r="E7">
        <v>12</v>
      </c>
      <c r="F7">
        <f t="shared" si="1"/>
        <v>0.32677881184317314</v>
      </c>
      <c r="H7" t="s">
        <v>15</v>
      </c>
      <c r="I7">
        <f>AVERAGE(TableMCI[DIFF])/5</f>
        <v>1.2530213943682196</v>
      </c>
    </row>
    <row r="8" spans="1:9" x14ac:dyDescent="0.3">
      <c r="A8" t="s">
        <v>128</v>
      </c>
      <c r="B8">
        <v>49.625</v>
      </c>
      <c r="C8">
        <v>26.922358139103927</v>
      </c>
      <c r="D8">
        <f t="shared" si="0"/>
        <v>28.449025426635266</v>
      </c>
      <c r="E8">
        <v>15</v>
      </c>
      <c r="F8">
        <f t="shared" si="1"/>
        <v>13.449025426635266</v>
      </c>
    </row>
    <row r="9" spans="1:9" x14ac:dyDescent="0.3">
      <c r="A9" t="s">
        <v>129</v>
      </c>
      <c r="B9">
        <v>20.266703745437201</v>
      </c>
      <c r="C9">
        <v>23.176309640696807</v>
      </c>
      <c r="D9">
        <f t="shared" si="0"/>
        <v>16.413746262278984</v>
      </c>
      <c r="E9">
        <v>18</v>
      </c>
      <c r="F9">
        <f t="shared" si="1"/>
        <v>1.586253737721016</v>
      </c>
    </row>
    <row r="10" spans="1:9" x14ac:dyDescent="0.3">
      <c r="A10" t="s">
        <v>130</v>
      </c>
      <c r="B10">
        <v>45.117647054107564</v>
      </c>
      <c r="C10">
        <v>89.111586060829495</v>
      </c>
      <c r="D10">
        <f t="shared" si="0"/>
        <v>51.308861500624985</v>
      </c>
      <c r="E10">
        <v>37</v>
      </c>
      <c r="F10">
        <f t="shared" si="1"/>
        <v>14.308861500624985</v>
      </c>
    </row>
    <row r="11" spans="1:9" x14ac:dyDescent="0.3">
      <c r="A11" t="s">
        <v>131</v>
      </c>
      <c r="B11">
        <v>10.719037611054226</v>
      </c>
      <c r="C11">
        <v>22.26229709414681</v>
      </c>
      <c r="D11">
        <f t="shared" si="0"/>
        <v>12.619499515342333</v>
      </c>
      <c r="E11">
        <v>16</v>
      </c>
      <c r="F11">
        <f t="shared" si="1"/>
        <v>3.3805004846576665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132</v>
      </c>
      <c r="B2">
        <v>24.137120699859636</v>
      </c>
      <c r="C2">
        <v>23.32209557423446</v>
      </c>
      <c r="D2">
        <f t="shared" ref="D2:D14" si="0">B2*$I$2+C2*$I$3</f>
        <v>22.504001850652813</v>
      </c>
      <c r="E2">
        <v>14</v>
      </c>
      <c r="F2">
        <f t="shared" ref="F2:F14" si="1">ABS(D2-E2)</f>
        <v>8.5040018506528128</v>
      </c>
      <c r="H2" t="s">
        <v>7</v>
      </c>
      <c r="I2">
        <v>0.41875157131520324</v>
      </c>
    </row>
    <row r="3" spans="1:9" x14ac:dyDescent="0.3">
      <c r="A3" t="s">
        <v>133</v>
      </c>
      <c r="B3">
        <v>21.255625140119172</v>
      </c>
      <c r="C3">
        <v>30.100325950848429</v>
      </c>
      <c r="D3">
        <f t="shared" si="0"/>
        <v>24.900247784730198</v>
      </c>
      <c r="E3">
        <v>22</v>
      </c>
      <c r="F3">
        <f t="shared" si="1"/>
        <v>2.9002477847301975</v>
      </c>
      <c r="H3" t="s">
        <v>9</v>
      </c>
      <c r="I3">
        <v>0.53153648183558588</v>
      </c>
    </row>
    <row r="4" spans="1:9" x14ac:dyDescent="0.3">
      <c r="A4" t="s">
        <v>134</v>
      </c>
      <c r="B4">
        <v>18.660584237514271</v>
      </c>
      <c r="C4">
        <v>14.572922511086079</v>
      </c>
      <c r="D4">
        <f t="shared" si="0"/>
        <v>15.56018893272412</v>
      </c>
      <c r="E4">
        <v>17</v>
      </c>
      <c r="F4">
        <f t="shared" si="1"/>
        <v>1.4398110672758797</v>
      </c>
    </row>
    <row r="5" spans="1:9" x14ac:dyDescent="0.3">
      <c r="A5" t="s">
        <v>135</v>
      </c>
      <c r="B5">
        <v>20.883594398151615</v>
      </c>
      <c r="C5">
        <v>14.9927157131555</v>
      </c>
      <c r="D5">
        <f t="shared" si="0"/>
        <v>16.714213332267146</v>
      </c>
      <c r="E5">
        <v>10</v>
      </c>
      <c r="F5">
        <f t="shared" si="1"/>
        <v>6.7142133322671462</v>
      </c>
      <c r="H5" t="s">
        <v>12</v>
      </c>
      <c r="I5" cm="1">
        <f t="array" ref="I5">(SUM(TableMUN[PP]-TableMUN[AP]))^2</f>
        <v>1.0223637331664313E-27</v>
      </c>
    </row>
    <row r="6" spans="1:9" x14ac:dyDescent="0.3">
      <c r="A6" t="s">
        <v>136</v>
      </c>
      <c r="B6">
        <v>18.065850707836191</v>
      </c>
      <c r="C6">
        <v>20.123118740548076</v>
      </c>
      <c r="D6">
        <f t="shared" si="0"/>
        <v>18.261275109962952</v>
      </c>
      <c r="E6">
        <v>21</v>
      </c>
      <c r="F6">
        <f t="shared" si="1"/>
        <v>2.738724890037048</v>
      </c>
    </row>
    <row r="7" spans="1:9" x14ac:dyDescent="0.3">
      <c r="A7" t="s">
        <v>137</v>
      </c>
      <c r="B7">
        <v>18.311589411322124</v>
      </c>
      <c r="C7">
        <v>29.591574870319675</v>
      </c>
      <c r="D7">
        <f t="shared" si="0"/>
        <v>23.39700843781403</v>
      </c>
      <c r="E7">
        <v>32</v>
      </c>
      <c r="F7">
        <f t="shared" si="1"/>
        <v>8.6029915621859701</v>
      </c>
      <c r="H7" t="s">
        <v>15</v>
      </c>
      <c r="I7">
        <f>AVERAGE(TableMUN[DIFF])/5</f>
        <v>1.1397709573723356</v>
      </c>
    </row>
    <row r="8" spans="1:9" x14ac:dyDescent="0.3">
      <c r="A8" t="s">
        <v>138</v>
      </c>
      <c r="B8">
        <v>35.666666691383028</v>
      </c>
      <c r="C8">
        <v>23.862383861053321</v>
      </c>
      <c r="D8">
        <f t="shared" si="0"/>
        <v>27.61920028630681</v>
      </c>
      <c r="E8">
        <v>40</v>
      </c>
      <c r="F8">
        <f t="shared" si="1"/>
        <v>12.38079971369319</v>
      </c>
    </row>
    <row r="9" spans="1:9" x14ac:dyDescent="0.3">
      <c r="A9" t="s">
        <v>139</v>
      </c>
      <c r="B9">
        <v>14.870410687644405</v>
      </c>
      <c r="C9">
        <v>20.946693461799548</v>
      </c>
      <c r="D9">
        <f t="shared" si="0"/>
        <v>17.360939590326886</v>
      </c>
      <c r="E9">
        <v>22</v>
      </c>
      <c r="F9">
        <f t="shared" si="1"/>
        <v>4.6390604096731138</v>
      </c>
    </row>
    <row r="10" spans="1:9" x14ac:dyDescent="0.3">
      <c r="A10" t="s">
        <v>140</v>
      </c>
      <c r="B10">
        <v>18.427372434564937</v>
      </c>
      <c r="C10">
        <v>32.351611560054351</v>
      </c>
      <c r="D10">
        <f t="shared" si="0"/>
        <v>24.912552952527289</v>
      </c>
      <c r="E10">
        <v>19</v>
      </c>
      <c r="F10">
        <f t="shared" si="1"/>
        <v>5.9125529525272889</v>
      </c>
    </row>
    <row r="11" spans="1:9" x14ac:dyDescent="0.3">
      <c r="A11" t="s">
        <v>141</v>
      </c>
      <c r="B11">
        <v>11.1111110775835</v>
      </c>
      <c r="C11">
        <v>27.375270857752366</v>
      </c>
      <c r="D11">
        <f t="shared" si="0"/>
        <v>19.203750383821784</v>
      </c>
      <c r="E11">
        <v>23</v>
      </c>
      <c r="F11">
        <f t="shared" si="1"/>
        <v>3.7962496161782155</v>
      </c>
    </row>
    <row r="12" spans="1:9" x14ac:dyDescent="0.3">
      <c r="A12" t="s">
        <v>142</v>
      </c>
      <c r="B12">
        <v>19.210526332011465</v>
      </c>
      <c r="C12">
        <v>21.655414915962563</v>
      </c>
      <c r="D12">
        <f t="shared" si="0"/>
        <v>19.5550811444425</v>
      </c>
      <c r="E12">
        <v>23</v>
      </c>
      <c r="F12">
        <f t="shared" si="1"/>
        <v>3.4449188555574999</v>
      </c>
    </row>
    <row r="13" spans="1:9" x14ac:dyDescent="0.3">
      <c r="A13" t="s">
        <v>25</v>
      </c>
      <c r="B13">
        <v>16.181539621314066</v>
      </c>
      <c r="C13">
        <v>25.462251518142992</v>
      </c>
      <c r="D13">
        <f t="shared" si="0"/>
        <v>20.310160734291014</v>
      </c>
      <c r="E13">
        <v>17</v>
      </c>
      <c r="F13">
        <f t="shared" si="1"/>
        <v>3.3101607342910135</v>
      </c>
    </row>
    <row r="14" spans="1:9" x14ac:dyDescent="0.3">
      <c r="A14" t="s">
        <v>143</v>
      </c>
      <c r="B14">
        <v>10.14285715889023</v>
      </c>
      <c r="C14">
        <v>29.07428298026344</v>
      </c>
      <c r="D14">
        <f t="shared" si="0"/>
        <v>19.701379460132426</v>
      </c>
      <c r="E14">
        <v>10</v>
      </c>
      <c r="F14">
        <f t="shared" si="1"/>
        <v>9.7013794601324257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144</v>
      </c>
      <c r="B2">
        <v>22.191232230920427</v>
      </c>
      <c r="C2">
        <v>22.050937366411006</v>
      </c>
      <c r="D2">
        <f t="shared" ref="D2:D11" si="0">B2*$I$2+C2*$I$3</f>
        <v>15.313510108384181</v>
      </c>
      <c r="E2">
        <v>16</v>
      </c>
      <c r="F2">
        <f t="shared" ref="F2:F11" si="1">ABS(D2-E2)</f>
        <v>0.6864898916158193</v>
      </c>
      <c r="H2" t="s">
        <v>7</v>
      </c>
      <c r="I2">
        <v>0.30403840223443496</v>
      </c>
    </row>
    <row r="3" spans="1:9" x14ac:dyDescent="0.3">
      <c r="A3" t="s">
        <v>145</v>
      </c>
      <c r="B3">
        <v>27.338146880686864</v>
      </c>
      <c r="C3">
        <v>34.366154695982196</v>
      </c>
      <c r="D3">
        <f t="shared" si="0"/>
        <v>21.662683273277644</v>
      </c>
      <c r="E3">
        <v>22</v>
      </c>
      <c r="F3">
        <f t="shared" si="1"/>
        <v>0.33731672672235646</v>
      </c>
      <c r="H3" t="s">
        <v>9</v>
      </c>
      <c r="I3">
        <v>0.38848794384273017</v>
      </c>
    </row>
    <row r="4" spans="1:9" x14ac:dyDescent="0.3">
      <c r="A4" t="s">
        <v>146</v>
      </c>
      <c r="B4">
        <v>14.62951399960696</v>
      </c>
      <c r="C4">
        <v>21.5823484715748</v>
      </c>
      <c r="D4">
        <f t="shared" si="0"/>
        <v>12.832416242926183</v>
      </c>
      <c r="E4">
        <v>20</v>
      </c>
      <c r="F4">
        <f t="shared" si="1"/>
        <v>7.1675837570738175</v>
      </c>
    </row>
    <row r="5" spans="1:9" x14ac:dyDescent="0.3">
      <c r="A5" t="s">
        <v>147</v>
      </c>
      <c r="B5">
        <v>22.310679645330708</v>
      </c>
      <c r="C5">
        <v>23.303735069379872</v>
      </c>
      <c r="D5">
        <f t="shared" si="0"/>
        <v>15.836523513089787</v>
      </c>
      <c r="E5">
        <v>17</v>
      </c>
      <c r="F5">
        <f t="shared" si="1"/>
        <v>1.1634764869102128</v>
      </c>
      <c r="H5" t="s">
        <v>12</v>
      </c>
      <c r="I5" cm="1">
        <f t="array" ref="I5">(SUM(TableNEW[PP]-TableNEW[AP]))^2</f>
        <v>5.0487097934144756E-29</v>
      </c>
    </row>
    <row r="6" spans="1:9" x14ac:dyDescent="0.3">
      <c r="A6" t="s">
        <v>148</v>
      </c>
      <c r="B6">
        <v>29.490818744500352</v>
      </c>
      <c r="C6">
        <v>36.956497997927144</v>
      </c>
      <c r="D6">
        <f t="shared" si="0"/>
        <v>23.323495330505899</v>
      </c>
      <c r="E6">
        <v>19</v>
      </c>
      <c r="F6">
        <f t="shared" si="1"/>
        <v>4.3234953305058994</v>
      </c>
    </row>
    <row r="7" spans="1:9" x14ac:dyDescent="0.3">
      <c r="A7" t="s">
        <v>149</v>
      </c>
      <c r="B7">
        <v>1.4400539206863376</v>
      </c>
      <c r="C7">
        <v>14.529011685587284</v>
      </c>
      <c r="D7">
        <f t="shared" si="0"/>
        <v>6.0821775689777109</v>
      </c>
      <c r="E7">
        <v>19</v>
      </c>
      <c r="F7">
        <f t="shared" si="1"/>
        <v>12.917822431022289</v>
      </c>
      <c r="H7" t="s">
        <v>15</v>
      </c>
      <c r="I7">
        <f>AVERAGE(TableNEW[DIFF])/5</f>
        <v>0.89090757173377955</v>
      </c>
    </row>
    <row r="8" spans="1:9" x14ac:dyDescent="0.3">
      <c r="A8" t="s">
        <v>150</v>
      </c>
      <c r="B8">
        <v>27.235294117647058</v>
      </c>
      <c r="C8">
        <v>28.324407329375891</v>
      </c>
      <c r="D8">
        <f t="shared" si="0"/>
        <v>19.284266071867513</v>
      </c>
      <c r="E8">
        <v>11</v>
      </c>
      <c r="F8">
        <f t="shared" si="1"/>
        <v>8.2842660718675134</v>
      </c>
    </row>
    <row r="9" spans="1:9" x14ac:dyDescent="0.3">
      <c r="A9" t="s">
        <v>151</v>
      </c>
      <c r="B9">
        <v>18.407071653495272</v>
      </c>
      <c r="C9">
        <v>26.0039312703869</v>
      </c>
      <c r="D9">
        <f t="shared" si="0"/>
        <v>15.698670446403742</v>
      </c>
      <c r="E9">
        <v>14</v>
      </c>
      <c r="F9">
        <f t="shared" si="1"/>
        <v>1.6986704464037423</v>
      </c>
    </row>
    <row r="10" spans="1:9" x14ac:dyDescent="0.3">
      <c r="A10" t="s">
        <v>152</v>
      </c>
      <c r="B10">
        <v>21.710526315789473</v>
      </c>
      <c r="C10">
        <v>25.702428408727794</v>
      </c>
      <c r="D10">
        <f t="shared" si="0"/>
        <v>16.585917296992921</v>
      </c>
      <c r="E10">
        <v>13</v>
      </c>
      <c r="F10">
        <f t="shared" si="1"/>
        <v>3.5859172969929212</v>
      </c>
    </row>
    <row r="11" spans="1:9" x14ac:dyDescent="0.3">
      <c r="A11" t="s">
        <v>153</v>
      </c>
      <c r="B11">
        <v>23.883833678933787</v>
      </c>
      <c r="C11">
        <v>33.76871206564185</v>
      </c>
      <c r="D11">
        <f t="shared" si="0"/>
        <v>20.380340147574412</v>
      </c>
      <c r="E11">
        <v>16</v>
      </c>
      <c r="F11">
        <f t="shared" si="1"/>
        <v>4.3803401475744117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154</v>
      </c>
      <c r="B2">
        <v>17.035089865336914</v>
      </c>
      <c r="C2">
        <v>14.638631109974229</v>
      </c>
      <c r="D2">
        <f t="shared" ref="D2:D8" si="0">B2*$I$2+C2*$I$3</f>
        <v>13.776653723674185</v>
      </c>
      <c r="E2">
        <v>16</v>
      </c>
      <c r="F2">
        <f t="shared" ref="F2:F8" si="1">ABS(D2-E2)</f>
        <v>2.2233462763258149</v>
      </c>
      <c r="H2" t="s">
        <v>7</v>
      </c>
      <c r="I2">
        <v>0.38401041196870866</v>
      </c>
    </row>
    <row r="3" spans="1:9" x14ac:dyDescent="0.3">
      <c r="A3" t="s">
        <v>155</v>
      </c>
      <c r="B3">
        <v>8.1103372370073252</v>
      </c>
      <c r="C3">
        <v>19.581003002553345</v>
      </c>
      <c r="D3">
        <f t="shared" si="0"/>
        <v>12.792175297225381</v>
      </c>
      <c r="E3">
        <v>15</v>
      </c>
      <c r="F3">
        <f t="shared" si="1"/>
        <v>2.2078247027746194</v>
      </c>
      <c r="H3" t="s">
        <v>9</v>
      </c>
      <c r="I3">
        <v>0.49424032836188597</v>
      </c>
    </row>
    <row r="4" spans="1:9" x14ac:dyDescent="0.3">
      <c r="A4" t="s">
        <v>156</v>
      </c>
      <c r="B4">
        <v>5.0269605770678263</v>
      </c>
      <c r="C4">
        <v>19.56929743537885</v>
      </c>
      <c r="D4">
        <f t="shared" si="0"/>
        <v>11.60234119242333</v>
      </c>
      <c r="E4">
        <v>11</v>
      </c>
      <c r="F4">
        <f t="shared" si="1"/>
        <v>0.60234119242332973</v>
      </c>
    </row>
    <row r="5" spans="1:9" x14ac:dyDescent="0.3">
      <c r="A5" t="s">
        <v>157</v>
      </c>
      <c r="B5">
        <v>27.263157894736842</v>
      </c>
      <c r="C5">
        <v>23.920304260136877</v>
      </c>
      <c r="D5">
        <f t="shared" si="0"/>
        <v>22.291715526772116</v>
      </c>
      <c r="E5">
        <v>20</v>
      </c>
      <c r="F5">
        <f t="shared" si="1"/>
        <v>2.2917155267721157</v>
      </c>
      <c r="H5" t="s">
        <v>12</v>
      </c>
      <c r="I5" cm="1">
        <f t="array" ref="I5">(SUM(TableNFO[PP]-TableNFO[AP]))^2</f>
        <v>2.0194839173657902E-28</v>
      </c>
    </row>
    <row r="6" spans="1:9" x14ac:dyDescent="0.3">
      <c r="A6" t="s">
        <v>158</v>
      </c>
      <c r="B6">
        <v>10.329836568209007</v>
      </c>
      <c r="C6">
        <v>24.611903049224203</v>
      </c>
      <c r="D6">
        <f t="shared" si="0"/>
        <v>16.130959840786844</v>
      </c>
      <c r="E6">
        <v>16</v>
      </c>
      <c r="F6">
        <f t="shared" si="1"/>
        <v>0.13095984078684353</v>
      </c>
    </row>
    <row r="7" spans="1:9" x14ac:dyDescent="0.3">
      <c r="A7" t="s">
        <v>159</v>
      </c>
      <c r="B7">
        <v>20.916666696209745</v>
      </c>
      <c r="C7">
        <v>23.360895373993362</v>
      </c>
      <c r="D7">
        <f t="shared" si="0"/>
        <v>19.578114395493813</v>
      </c>
      <c r="E7">
        <v>21</v>
      </c>
      <c r="F7">
        <f t="shared" si="1"/>
        <v>1.421885604506187</v>
      </c>
      <c r="H7" t="s">
        <v>15</v>
      </c>
      <c r="I7">
        <f>AVERAGE(TableNFO[DIFF])/5</f>
        <v>0.33446037620609226</v>
      </c>
    </row>
    <row r="8" spans="1:9" x14ac:dyDescent="0.3">
      <c r="A8" t="s">
        <v>160</v>
      </c>
      <c r="B8">
        <v>22.088997595809275</v>
      </c>
      <c r="C8">
        <v>16.885783045148543</v>
      </c>
      <c r="D8">
        <f t="shared" si="0"/>
        <v>16.828040023624318</v>
      </c>
      <c r="E8">
        <v>14</v>
      </c>
      <c r="F8">
        <f t="shared" si="1"/>
        <v>2.8280400236243182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161</v>
      </c>
      <c r="B2">
        <v>12.185185349775285</v>
      </c>
      <c r="C2">
        <v>13.104352588848514</v>
      </c>
      <c r="D2">
        <f t="shared" ref="D2:D7" si="0">B2*$I$2+C2*$I$3</f>
        <v>12.443712915924181</v>
      </c>
      <c r="E2">
        <v>19</v>
      </c>
      <c r="F2">
        <f t="shared" ref="F2:F7" si="1">ABS(D2-E2)</f>
        <v>6.5562870840758194</v>
      </c>
      <c r="H2" t="s">
        <v>7</v>
      </c>
      <c r="I2">
        <v>0.46679109059098939</v>
      </c>
    </row>
    <row r="3" spans="1:9" x14ac:dyDescent="0.3">
      <c r="A3" t="s">
        <v>162</v>
      </c>
      <c r="B3">
        <v>17.801388439637488</v>
      </c>
      <c r="C3">
        <v>16.303541875613959</v>
      </c>
      <c r="D3">
        <f t="shared" si="0"/>
        <v>16.714606522525322</v>
      </c>
      <c r="E3">
        <v>16</v>
      </c>
      <c r="F3">
        <f t="shared" si="1"/>
        <v>0.71460652252532242</v>
      </c>
      <c r="H3" t="s">
        <v>9</v>
      </c>
      <c r="I3">
        <v>0.51553687308430884</v>
      </c>
    </row>
    <row r="4" spans="1:9" x14ac:dyDescent="0.3">
      <c r="A4" t="s">
        <v>163</v>
      </c>
      <c r="B4">
        <v>21.390008997296626</v>
      </c>
      <c r="C4">
        <v>23.64075877535636</v>
      </c>
      <c r="D4">
        <f t="shared" si="0"/>
        <v>22.17234848398682</v>
      </c>
      <c r="E4">
        <v>17</v>
      </c>
      <c r="F4">
        <f t="shared" si="1"/>
        <v>5.1723484839868199</v>
      </c>
    </row>
    <row r="5" spans="1:9" x14ac:dyDescent="0.3">
      <c r="A5" t="s">
        <v>164</v>
      </c>
      <c r="B5">
        <v>15.729794501032483</v>
      </c>
      <c r="C5">
        <v>11.469082429550586</v>
      </c>
      <c r="D5">
        <f t="shared" si="0"/>
        <v>13.255262822785797</v>
      </c>
      <c r="E5">
        <v>10</v>
      </c>
      <c r="F5">
        <f t="shared" si="1"/>
        <v>3.2552628227857969</v>
      </c>
      <c r="H5" t="s">
        <v>12</v>
      </c>
      <c r="I5" cm="1">
        <f t="array" ref="I5">(SUM(TableSOU[PP]-TableSOU[AP]))^2</f>
        <v>3.1554436208840472E-30</v>
      </c>
    </row>
    <row r="6" spans="1:9" x14ac:dyDescent="0.3">
      <c r="A6" t="s">
        <v>165</v>
      </c>
      <c r="B6">
        <v>12.555555573201667</v>
      </c>
      <c r="C6">
        <v>14.410619350006783</v>
      </c>
      <c r="D6">
        <f t="shared" si="0"/>
        <v>13.290027117901314</v>
      </c>
      <c r="E6">
        <v>15</v>
      </c>
      <c r="F6">
        <f t="shared" si="1"/>
        <v>1.7099728820986861</v>
      </c>
    </row>
    <row r="7" spans="1:9" x14ac:dyDescent="0.3">
      <c r="A7" t="s">
        <v>166</v>
      </c>
      <c r="B7">
        <v>11.057279649703455</v>
      </c>
      <c r="C7">
        <v>21.264439233290606</v>
      </c>
      <c r="D7">
        <f t="shared" si="0"/>
        <v>16.124042136876565</v>
      </c>
      <c r="E7">
        <v>17</v>
      </c>
      <c r="F7">
        <f t="shared" si="1"/>
        <v>0.87595786312343549</v>
      </c>
      <c r="H7" t="s">
        <v>15</v>
      </c>
      <c r="I7">
        <f>AVERAGE(TableSOU[DIFF])/5</f>
        <v>0.60948118861986267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167</v>
      </c>
      <c r="B2">
        <v>23.240875912408761</v>
      </c>
      <c r="C2">
        <v>19.979918311338825</v>
      </c>
      <c r="D2">
        <f t="shared" ref="D2:D14" si="0">B2*$I$2+C2*$I$3</f>
        <v>23.394735498230233</v>
      </c>
      <c r="E2">
        <v>27</v>
      </c>
      <c r="F2">
        <f t="shared" ref="F2:F14" si="1">ABS(D2-E2)</f>
        <v>3.6052645017697671</v>
      </c>
      <c r="H2" t="s">
        <v>7</v>
      </c>
      <c r="I2">
        <v>0.52965555427898181</v>
      </c>
    </row>
    <row r="3" spans="1:9" x14ac:dyDescent="0.3">
      <c r="A3" t="s">
        <v>168</v>
      </c>
      <c r="B3">
        <v>29.753521101662194</v>
      </c>
      <c r="C3">
        <v>33.243313902946021</v>
      </c>
      <c r="D3">
        <f t="shared" si="0"/>
        <v>34.202870657381695</v>
      </c>
      <c r="E3">
        <v>27</v>
      </c>
      <c r="F3">
        <f t="shared" si="1"/>
        <v>7.2028706573816947</v>
      </c>
      <c r="H3" t="s">
        <v>9</v>
      </c>
      <c r="I3">
        <v>0.55481090123493793</v>
      </c>
    </row>
    <row r="4" spans="1:9" x14ac:dyDescent="0.3">
      <c r="A4" t="s">
        <v>169</v>
      </c>
      <c r="B4">
        <v>23.705882366287025</v>
      </c>
      <c r="C4">
        <v>25.629232405979494</v>
      </c>
      <c r="D4">
        <f t="shared" si="0"/>
        <v>26.775329793509254</v>
      </c>
      <c r="E4">
        <v>17</v>
      </c>
      <c r="F4">
        <f t="shared" si="1"/>
        <v>9.775329793509254</v>
      </c>
    </row>
    <row r="5" spans="1:9" x14ac:dyDescent="0.3">
      <c r="A5" t="s">
        <v>170</v>
      </c>
      <c r="B5">
        <v>24.91807767164617</v>
      </c>
      <c r="C5">
        <v>21.504711773199379</v>
      </c>
      <c r="D5">
        <f t="shared" si="0"/>
        <v>25.1290467604288</v>
      </c>
      <c r="E5">
        <v>18</v>
      </c>
      <c r="F5">
        <f t="shared" si="1"/>
        <v>7.1290467604287997</v>
      </c>
      <c r="H5" t="s">
        <v>12</v>
      </c>
      <c r="I5" cm="1">
        <f t="array" ref="I5">(SUM(TableTOT[PP]-TableTOT[AP]))^2</f>
        <v>5.0487097934144756E-29</v>
      </c>
    </row>
    <row r="6" spans="1:9" x14ac:dyDescent="0.3">
      <c r="A6" t="s">
        <v>171</v>
      </c>
      <c r="B6">
        <v>14.145075385923587</v>
      </c>
      <c r="C6">
        <v>16.56465932988328</v>
      </c>
      <c r="D6">
        <f t="shared" si="0"/>
        <v>16.682271315311606</v>
      </c>
      <c r="E6">
        <v>30</v>
      </c>
      <c r="F6">
        <f t="shared" si="1"/>
        <v>13.317728684688394</v>
      </c>
    </row>
    <row r="7" spans="1:9" x14ac:dyDescent="0.3">
      <c r="A7" t="s">
        <v>172</v>
      </c>
      <c r="B7">
        <v>24.567307730667114</v>
      </c>
      <c r="C7">
        <v>16.375385044862494</v>
      </c>
      <c r="D7">
        <f t="shared" si="0"/>
        <v>22.09745312803809</v>
      </c>
      <c r="E7">
        <v>32</v>
      </c>
      <c r="F7">
        <f t="shared" si="1"/>
        <v>9.9025468719619099</v>
      </c>
      <c r="H7" t="s">
        <v>15</v>
      </c>
      <c r="I7">
        <f>AVERAGE(TableTOT[DIFF])/5</f>
        <v>1.7120715819880612</v>
      </c>
    </row>
    <row r="8" spans="1:9" x14ac:dyDescent="0.3">
      <c r="A8" t="s">
        <v>173</v>
      </c>
      <c r="B8">
        <v>14.89083150853145</v>
      </c>
      <c r="C8">
        <v>17.349867491001177</v>
      </c>
      <c r="D8">
        <f t="shared" si="0"/>
        <v>17.512907235315268</v>
      </c>
      <c r="E8">
        <v>18</v>
      </c>
      <c r="F8">
        <f t="shared" si="1"/>
        <v>0.48709276468473206</v>
      </c>
    </row>
    <row r="9" spans="1:9" x14ac:dyDescent="0.3">
      <c r="A9" t="s">
        <v>174</v>
      </c>
      <c r="B9">
        <v>14.875418192065414</v>
      </c>
      <c r="C9">
        <v>19.257125944448266</v>
      </c>
      <c r="D9">
        <f t="shared" si="0"/>
        <v>18.562911268084104</v>
      </c>
      <c r="E9">
        <v>26</v>
      </c>
      <c r="F9">
        <f t="shared" si="1"/>
        <v>7.437088731915896</v>
      </c>
    </row>
    <row r="10" spans="1:9" x14ac:dyDescent="0.3">
      <c r="A10" t="s">
        <v>175</v>
      </c>
      <c r="B10">
        <v>14.944813619937788</v>
      </c>
      <c r="C10">
        <v>17.117751757144088</v>
      </c>
      <c r="D10">
        <f t="shared" si="0"/>
        <v>17.412718820961281</v>
      </c>
      <c r="E10">
        <v>19</v>
      </c>
      <c r="F10">
        <f t="shared" si="1"/>
        <v>1.5872811790387189</v>
      </c>
    </row>
    <row r="11" spans="1:9" x14ac:dyDescent="0.3">
      <c r="A11" t="s">
        <v>176</v>
      </c>
      <c r="B11">
        <v>14.449063271403496</v>
      </c>
      <c r="C11">
        <v>21.074636045084134</v>
      </c>
      <c r="D11">
        <f t="shared" si="0"/>
        <v>19.345464433198732</v>
      </c>
      <c r="E11">
        <v>38</v>
      </c>
      <c r="F11">
        <f t="shared" si="1"/>
        <v>18.654535566801268</v>
      </c>
    </row>
    <row r="12" spans="1:9" x14ac:dyDescent="0.3">
      <c r="A12" t="s">
        <v>177</v>
      </c>
      <c r="B12">
        <v>45.399999997455723</v>
      </c>
      <c r="C12">
        <v>25.456736212473945</v>
      </c>
      <c r="D12">
        <f t="shared" si="0"/>
        <v>38.170036923460934</v>
      </c>
      <c r="E12">
        <v>14</v>
      </c>
      <c r="F12">
        <f t="shared" si="1"/>
        <v>24.170036923460934</v>
      </c>
    </row>
    <row r="13" spans="1:9" x14ac:dyDescent="0.3">
      <c r="A13" t="s">
        <v>178</v>
      </c>
      <c r="B13">
        <v>15.931776305338355</v>
      </c>
      <c r="C13">
        <v>21.496853150562274</v>
      </c>
      <c r="D13">
        <f t="shared" si="0"/>
        <v>20.365042279831307</v>
      </c>
      <c r="E13">
        <v>13</v>
      </c>
      <c r="F13">
        <f t="shared" si="1"/>
        <v>7.3650422798313073</v>
      </c>
    </row>
    <row r="14" spans="1:9" x14ac:dyDescent="0.3">
      <c r="A14" t="s">
        <v>179</v>
      </c>
      <c r="B14">
        <v>7.4484846679159205</v>
      </c>
      <c r="C14">
        <v>25.962144180771411</v>
      </c>
      <c r="D14">
        <f t="shared" si="0"/>
        <v>18.349211886248689</v>
      </c>
      <c r="E14">
        <v>19</v>
      </c>
      <c r="F14">
        <f t="shared" si="1"/>
        <v>0.65078811375131096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180</v>
      </c>
      <c r="B2">
        <v>24.811059477786998</v>
      </c>
      <c r="C2">
        <v>18.145303052653354</v>
      </c>
      <c r="D2">
        <f t="shared" ref="D2:D12" si="0">B2*$I$2+C2*$I$3</f>
        <v>21.826065287269842</v>
      </c>
      <c r="E2">
        <v>17</v>
      </c>
      <c r="F2">
        <f t="shared" ref="F2:F12" si="1">ABS(D2-E2)</f>
        <v>4.8260652872698415</v>
      </c>
      <c r="H2" t="s">
        <v>7</v>
      </c>
      <c r="I2">
        <v>0.51001563125734339</v>
      </c>
    </row>
    <row r="3" spans="1:9" x14ac:dyDescent="0.3">
      <c r="A3" t="s">
        <v>181</v>
      </c>
      <c r="B3">
        <v>20.377543300955779</v>
      </c>
      <c r="C3">
        <v>18.958242891309482</v>
      </c>
      <c r="D3">
        <f t="shared" si="0"/>
        <v>19.975825295577273</v>
      </c>
      <c r="E3">
        <v>19</v>
      </c>
      <c r="F3">
        <f t="shared" si="1"/>
        <v>0.97582529557727327</v>
      </c>
      <c r="H3" t="s">
        <v>9</v>
      </c>
      <c r="I3">
        <v>0.50547720800957374</v>
      </c>
    </row>
    <row r="4" spans="1:9" x14ac:dyDescent="0.3">
      <c r="A4" t="s">
        <v>182</v>
      </c>
      <c r="B4">
        <v>15.965531805171109</v>
      </c>
      <c r="C4">
        <v>14.482831024725998</v>
      </c>
      <c r="D4">
        <f t="shared" si="0"/>
        <v>15.463411772426467</v>
      </c>
      <c r="E4">
        <v>15</v>
      </c>
      <c r="F4">
        <f t="shared" si="1"/>
        <v>0.46341177242646658</v>
      </c>
    </row>
    <row r="5" spans="1:9" x14ac:dyDescent="0.3">
      <c r="A5" t="s">
        <v>183</v>
      </c>
      <c r="B5">
        <v>37.962096804709716</v>
      </c>
      <c r="C5">
        <v>17.547135606713368</v>
      </c>
      <c r="D5">
        <f t="shared" si="0"/>
        <v>28.230939880753255</v>
      </c>
      <c r="E5">
        <v>30</v>
      </c>
      <c r="F5">
        <f t="shared" si="1"/>
        <v>1.7690601192467454</v>
      </c>
      <c r="H5" t="s">
        <v>12</v>
      </c>
      <c r="I5" cm="1">
        <f t="array" ref="I5">(SUM(TableWHU[PP]-TableWHU[AP]))^2</f>
        <v>5.0487097934144756E-29</v>
      </c>
    </row>
    <row r="6" spans="1:9" x14ac:dyDescent="0.3">
      <c r="A6" t="s">
        <v>184</v>
      </c>
      <c r="B6">
        <v>14.02635758786333</v>
      </c>
      <c r="C6">
        <v>13.479893599747626</v>
      </c>
      <c r="D6">
        <f t="shared" si="0"/>
        <v>13.967440600481897</v>
      </c>
      <c r="E6">
        <v>11</v>
      </c>
      <c r="F6">
        <f t="shared" si="1"/>
        <v>2.967440600481897</v>
      </c>
    </row>
    <row r="7" spans="1:9" x14ac:dyDescent="0.3">
      <c r="A7" t="s">
        <v>185</v>
      </c>
      <c r="B7">
        <v>18.363636343695116</v>
      </c>
      <c r="C7">
        <v>17.25941847761186</v>
      </c>
      <c r="D7">
        <f t="shared" si="0"/>
        <v>18.089984245942048</v>
      </c>
      <c r="E7">
        <v>18</v>
      </c>
      <c r="F7">
        <f t="shared" si="1"/>
        <v>8.9984245942048346E-2</v>
      </c>
      <c r="H7" t="s">
        <v>15</v>
      </c>
      <c r="I7">
        <f>AVERAGE(TableWHU[DIFF])/5</f>
        <v>0.76735211100859435</v>
      </c>
    </row>
    <row r="8" spans="1:9" x14ac:dyDescent="0.3">
      <c r="A8" t="s">
        <v>186</v>
      </c>
      <c r="B8">
        <v>21.628572771946246</v>
      </c>
      <c r="C8">
        <v>21.510846601464308</v>
      </c>
      <c r="D8">
        <f t="shared" si="0"/>
        <v>21.904152877509961</v>
      </c>
      <c r="E8">
        <v>31</v>
      </c>
      <c r="F8">
        <f t="shared" si="1"/>
        <v>9.0958471224900386</v>
      </c>
    </row>
    <row r="9" spans="1:9" x14ac:dyDescent="0.3">
      <c r="A9" t="s">
        <v>187</v>
      </c>
      <c r="B9">
        <v>13.311688295401398</v>
      </c>
      <c r="C9">
        <v>13.795983220252783</v>
      </c>
      <c r="D9">
        <f t="shared" si="0"/>
        <v>13.762724189000439</v>
      </c>
      <c r="E9">
        <v>24</v>
      </c>
      <c r="F9">
        <f t="shared" si="1"/>
        <v>10.237275810999561</v>
      </c>
    </row>
    <row r="10" spans="1:9" x14ac:dyDescent="0.3">
      <c r="A10" t="s">
        <v>188</v>
      </c>
      <c r="B10">
        <v>10.999999949200587</v>
      </c>
      <c r="C10">
        <v>21.567388239050544</v>
      </c>
      <c r="D10">
        <f t="shared" si="0"/>
        <v>16.51199510905607</v>
      </c>
      <c r="E10">
        <v>10</v>
      </c>
      <c r="F10">
        <f t="shared" si="1"/>
        <v>6.5119951090560697</v>
      </c>
    </row>
    <row r="11" spans="1:9" x14ac:dyDescent="0.3">
      <c r="A11" t="s">
        <v>157</v>
      </c>
      <c r="B11">
        <v>7.400657756750979</v>
      </c>
      <c r="C11">
        <v>13.476065024561139</v>
      </c>
      <c r="D11">
        <f t="shared" si="0"/>
        <v>10.586294861099539</v>
      </c>
      <c r="E11">
        <v>10</v>
      </c>
      <c r="F11">
        <f t="shared" si="1"/>
        <v>0.58629486109953888</v>
      </c>
    </row>
    <row r="12" spans="1:9" x14ac:dyDescent="0.3">
      <c r="A12" t="s">
        <v>189</v>
      </c>
      <c r="B12">
        <v>10.999563360885904</v>
      </c>
      <c r="C12">
        <v>23.880832683552381</v>
      </c>
      <c r="D12">
        <f t="shared" si="0"/>
        <v>17.681165880883203</v>
      </c>
      <c r="E12">
        <v>13</v>
      </c>
      <c r="F12">
        <f t="shared" si="1"/>
        <v>4.6811658808832028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190</v>
      </c>
      <c r="B2">
        <v>46.470537396161092</v>
      </c>
      <c r="C2">
        <v>19.288989082745253</v>
      </c>
      <c r="D2">
        <f t="shared" ref="D2:D7" si="0">B2*$I$2+C2*$I$3</f>
        <v>24.44648705837519</v>
      </c>
      <c r="E2">
        <v>14</v>
      </c>
      <c r="F2">
        <f t="shared" ref="F2:F7" si="1">ABS(D2-E2)</f>
        <v>10.44648705837519</v>
      </c>
      <c r="H2" t="s">
        <v>7</v>
      </c>
      <c r="I2">
        <v>0.39560380440097331</v>
      </c>
    </row>
    <row r="3" spans="1:9" x14ac:dyDescent="0.3">
      <c r="A3" t="s">
        <v>191</v>
      </c>
      <c r="B3">
        <v>20.954976792090356</v>
      </c>
      <c r="C3">
        <v>22.77601443418482</v>
      </c>
      <c r="D3">
        <f t="shared" si="0"/>
        <v>15.44841286083534</v>
      </c>
      <c r="E3">
        <v>18</v>
      </c>
      <c r="F3">
        <f t="shared" si="1"/>
        <v>2.5515871391646598</v>
      </c>
      <c r="H3" t="s">
        <v>9</v>
      </c>
      <c r="I3">
        <v>0.31430188725231656</v>
      </c>
    </row>
    <row r="4" spans="1:9" x14ac:dyDescent="0.3">
      <c r="A4" t="s">
        <v>192</v>
      </c>
      <c r="B4">
        <v>15.769546801648531</v>
      </c>
      <c r="C4">
        <v>15.043832173947326</v>
      </c>
      <c r="D4">
        <f t="shared" si="0"/>
        <v>10.966797552190124</v>
      </c>
      <c r="E4">
        <v>12</v>
      </c>
      <c r="F4">
        <f t="shared" si="1"/>
        <v>1.0332024478098756</v>
      </c>
    </row>
    <row r="5" spans="1:9" x14ac:dyDescent="0.3">
      <c r="A5" t="s">
        <v>193</v>
      </c>
      <c r="B5">
        <v>17.134921743620058</v>
      </c>
      <c r="C5">
        <v>15.324723344491007</v>
      </c>
      <c r="D5">
        <f t="shared" si="0"/>
        <v>11.595229698682211</v>
      </c>
      <c r="E5">
        <v>16</v>
      </c>
      <c r="F5">
        <f t="shared" si="1"/>
        <v>4.4047703013177895</v>
      </c>
      <c r="H5" t="s">
        <v>12</v>
      </c>
      <c r="I5" cm="1">
        <f t="array" ref="I5">(SUM(TableWOL[PP]-TableWOL[AP]))^2</f>
        <v>7.8886090522101181E-29</v>
      </c>
    </row>
    <row r="6" spans="1:9" x14ac:dyDescent="0.3">
      <c r="A6" t="s">
        <v>194</v>
      </c>
      <c r="B6">
        <v>13.732394379761059</v>
      </c>
      <c r="C6">
        <v>14.192777322695537</v>
      </c>
      <c r="D6">
        <f t="shared" si="0"/>
        <v>9.8934041580431078</v>
      </c>
      <c r="E6">
        <v>11</v>
      </c>
      <c r="F6">
        <f t="shared" si="1"/>
        <v>1.1065958419568922</v>
      </c>
    </row>
    <row r="7" spans="1:9" x14ac:dyDescent="0.3">
      <c r="A7" t="s">
        <v>195</v>
      </c>
      <c r="B7">
        <v>16.107142857142858</v>
      </c>
      <c r="C7">
        <v>16.791568532076774</v>
      </c>
      <c r="D7">
        <f t="shared" si="0"/>
        <v>11.649668671874018</v>
      </c>
      <c r="E7">
        <v>13</v>
      </c>
      <c r="F7">
        <f t="shared" si="1"/>
        <v>1.3503313281259821</v>
      </c>
      <c r="H7" t="s">
        <v>15</v>
      </c>
      <c r="I7">
        <f>AVERAGE(TableWOL[DIFF])/5</f>
        <v>0.69643247055834645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2023-03-03T16:28:22Z</dcterms:created>
  <dcterms:modified xsi:type="dcterms:W3CDTF">2023-03-03T16:36:25Z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51c12de6-66d5-4fd6-90e4-961eb9c215ee</vt:lpwstr>
  </property>
</Properties>
</file>