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C76B84E0-427A-4901-973B-53E160B76D9F}" xr6:coauthVersionLast="47" xr6:coauthVersionMax="47" xr10:uidLastSave="{00000000-0000-0000-0000-000000000000}"/>
  <bookViews>
    <workbookView xWindow="-108" yWindow="-108" windowWidth="23256" windowHeight="12576" firstSheet="3" activeTab="17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0" l="1"/>
  <c r="F7" i="20" s="1"/>
  <c r="D6" i="20"/>
  <c r="F6" i="20" s="1"/>
  <c r="D5" i="20"/>
  <c r="D4" i="20"/>
  <c r="F4" i="20" s="1"/>
  <c r="D3" i="20"/>
  <c r="F3" i="20" s="1"/>
  <c r="D2" i="20"/>
  <c r="F2" i="20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D14" i="18"/>
  <c r="F14" i="18" s="1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D4" i="18"/>
  <c r="F4" i="18" s="1"/>
  <c r="D3" i="18"/>
  <c r="F3" i="18" s="1"/>
  <c r="D2" i="18"/>
  <c r="F2" i="18" s="1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F2" i="15" s="1"/>
  <c r="D14" i="14"/>
  <c r="F14" i="14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4" i="13"/>
  <c r="F14" i="13" s="1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14" i="12"/>
  <c r="F14" i="12" s="1"/>
  <c r="D13" i="12"/>
  <c r="F13" i="12" s="1"/>
  <c r="D12" i="12"/>
  <c r="F12" i="12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F2" i="12" s="1"/>
  <c r="D6" i="11"/>
  <c r="F6" i="11" s="1"/>
  <c r="D5" i="11"/>
  <c r="D4" i="11"/>
  <c r="F4" i="11" s="1"/>
  <c r="D3" i="11"/>
  <c r="F3" i="11" s="1"/>
  <c r="D2" i="11"/>
  <c r="F2" i="11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F2" i="2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I5" i="19" a="1"/>
  <c r="I5" i="19" s="1"/>
  <c r="F2" i="19"/>
  <c r="I7" i="19" s="1"/>
  <c r="I5" i="18" a="1"/>
  <c r="I5" i="18" s="1"/>
  <c r="F5" i="18"/>
  <c r="I7" i="18" s="1"/>
  <c r="I5" i="17" a="1"/>
  <c r="I5" i="17" s="1"/>
  <c r="I7" i="17"/>
  <c r="I5" i="16" a="1"/>
  <c r="I5" i="16" s="1"/>
  <c r="F2" i="16"/>
  <c r="I7" i="16" s="1"/>
  <c r="I5" i="15" a="1"/>
  <c r="I5" i="15" s="1"/>
  <c r="I5" i="14" a="1"/>
  <c r="I5" i="14" s="1"/>
  <c r="I5" i="13" a="1"/>
  <c r="I5" i="13" s="1"/>
  <c r="I5" i="12" a="1"/>
  <c r="I5" i="12" s="1"/>
  <c r="I5" i="11" a="1"/>
  <c r="I5" i="11" s="1"/>
  <c r="I7" i="10"/>
  <c r="I5" i="10" a="1"/>
  <c r="I5" i="10" s="1"/>
  <c r="I5" i="9" a="1"/>
  <c r="I5" i="9" s="1"/>
  <c r="F2" i="9"/>
  <c r="I7" i="8"/>
  <c r="I5" i="8" a="1"/>
  <c r="I5" i="8" s="1"/>
  <c r="I5" i="7" a="1"/>
  <c r="I5" i="7" s="1"/>
  <c r="I5" i="6" a="1"/>
  <c r="I5" i="6" s="1"/>
  <c r="F2" i="6"/>
  <c r="I7" i="6" s="1"/>
  <c r="I5" i="5" a="1"/>
  <c r="I5" i="5" s="1"/>
  <c r="F2" i="5"/>
  <c r="I7" i="5" s="1"/>
  <c r="I5" i="4" a="1"/>
  <c r="I5" i="4" s="1"/>
  <c r="F2" i="4"/>
  <c r="I7" i="4" s="1"/>
  <c r="I5" i="3" a="1"/>
  <c r="I5" i="3" s="1"/>
  <c r="F2" i="3"/>
  <c r="I7" i="3" s="1"/>
  <c r="I5" i="2" a="1"/>
  <c r="I5" i="2" s="1"/>
  <c r="I5" i="1" a="1"/>
  <c r="I5" i="1" s="1"/>
  <c r="I7" i="9"/>
  <c r="I7" i="13"/>
  <c r="I7" i="1"/>
  <c r="I7" i="14"/>
  <c r="F5" i="2"/>
  <c r="I7" i="2" s="1"/>
  <c r="F5" i="7"/>
  <c r="I7" i="7" s="1"/>
  <c r="F5" i="11"/>
  <c r="I7" i="11" s="1"/>
  <c r="F5" i="12"/>
  <c r="I7" i="12" s="1"/>
  <c r="F5" i="15"/>
  <c r="I7" i="15" s="1"/>
  <c r="F5" i="20"/>
  <c r="I7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<sst xmlns="http://schemas.openxmlformats.org/spreadsheetml/2006/main" count="388" uniqueCount="196">
  <si>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</si>
  <si>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</si>
  <si>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</si>
  <si>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</si>
  <si>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</si>
  <si>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</si>
  <si>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</si>
  <si>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</si>
  <si>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</si>
  <si>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</si>
  <si>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</si>
  <si>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</si>
  <si>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</si>
  <si>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</si>
  <si>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</si>
  <si>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</si>
  <si>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</si>
  <si>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</si>
  <si>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</si>
  <si>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</si>
  <si>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Jesus</t>
  </si>
  <si>
    <t>Trossard</t>
  </si>
  <si>
    <t>Jorginho</t>
  </si>
  <si>
    <t>Zinchenko</t>
  </si>
  <si>
    <t>Coutinho</t>
  </si>
  <si>
    <t>Martínez</t>
  </si>
  <si>
    <t>McGinn</t>
  </si>
  <si>
    <t>Watkins</t>
  </si>
  <si>
    <t>Buendía</t>
  </si>
  <si>
    <t>Cash</t>
  </si>
  <si>
    <t>Konsa</t>
  </si>
  <si>
    <t>Douglas Luiz</t>
  </si>
  <si>
    <t>Ramsey</t>
  </si>
  <si>
    <t>Kamara</t>
  </si>
  <si>
    <t>Stanislas</t>
  </si>
  <si>
    <t>Lerma</t>
  </si>
  <si>
    <t>Solanke</t>
  </si>
  <si>
    <t>Billing</t>
  </si>
  <si>
    <t>Travers</t>
  </si>
  <si>
    <t>Zemura</t>
  </si>
  <si>
    <t>Stephens</t>
  </si>
  <si>
    <t>Tavernier</t>
  </si>
  <si>
    <t>Jansson</t>
  </si>
  <si>
    <t>Nørgaard</t>
  </si>
  <si>
    <t>Toney</t>
  </si>
  <si>
    <t>Raya</t>
  </si>
  <si>
    <t>Henry</t>
  </si>
  <si>
    <t>Janelt</t>
  </si>
  <si>
    <t>Jensen</t>
  </si>
  <si>
    <t>Wissa</t>
  </si>
  <si>
    <t>Mbeumo</t>
  </si>
  <si>
    <t>Hickey</t>
  </si>
  <si>
    <t>Mee</t>
  </si>
  <si>
    <t>Lallana</t>
  </si>
  <si>
    <t>Welbeck</t>
  </si>
  <si>
    <t>Groß</t>
  </si>
  <si>
    <t>Dunk</t>
  </si>
  <si>
    <t>March</t>
  </si>
  <si>
    <t>Webster</t>
  </si>
  <si>
    <t>Veltman</t>
  </si>
  <si>
    <t>Sánchez</t>
  </si>
  <si>
    <t>Lamptey</t>
  </si>
  <si>
    <t>Mac Allister</t>
  </si>
  <si>
    <t>Mwepu</t>
  </si>
  <si>
    <t>Cucurella</t>
  </si>
  <si>
    <t>Thiago Silva</t>
  </si>
  <si>
    <t>Kanté</t>
  </si>
  <si>
    <t>Loftus-Cheek</t>
  </si>
  <si>
    <t>Chilwell</t>
  </si>
  <si>
    <t>Mendy</t>
  </si>
  <si>
    <t>Broja</t>
  </si>
  <si>
    <t>W.Fofana</t>
  </si>
  <si>
    <t>Koulibaly</t>
  </si>
  <si>
    <t>Guaita</t>
  </si>
  <si>
    <t>Clyne</t>
  </si>
  <si>
    <t>J.Ayew</t>
  </si>
  <si>
    <t>Zaha</t>
  </si>
  <si>
    <t>Schlupp</t>
  </si>
  <si>
    <t>Guéhi</t>
  </si>
  <si>
    <t>Eze</t>
  </si>
  <si>
    <t>Mitchell</t>
  </si>
  <si>
    <t>C.Doucouré</t>
  </si>
  <si>
    <t>Pickford</t>
  </si>
  <si>
    <t>A.Doucouré</t>
  </si>
  <si>
    <t>Iwobi</t>
  </si>
  <si>
    <t>Mina</t>
  </si>
  <si>
    <t>Gray</t>
  </si>
  <si>
    <t>Holgate</t>
  </si>
  <si>
    <t>Mykolenko</t>
  </si>
  <si>
    <t>Tarkowski</t>
  </si>
  <si>
    <t>McNeil</t>
  </si>
  <si>
    <t>Ream</t>
  </si>
  <si>
    <t>Kebano</t>
  </si>
  <si>
    <t>De Cordova-Reid</t>
  </si>
  <si>
    <t>Reed</t>
  </si>
  <si>
    <t>Tete</t>
  </si>
  <si>
    <t>Robinson</t>
  </si>
  <si>
    <t>Andreas</t>
  </si>
  <si>
    <t>Rodrigo</t>
  </si>
  <si>
    <t>Bamford</t>
  </si>
  <si>
    <t>Koch</t>
  </si>
  <si>
    <t>Harrison</t>
  </si>
  <si>
    <t>Struijk</t>
  </si>
  <si>
    <t>Meslier</t>
  </si>
  <si>
    <t>Summerville</t>
  </si>
  <si>
    <t>Ward</t>
  </si>
  <si>
    <t>Castagne</t>
  </si>
  <si>
    <t>Maddison</t>
  </si>
  <si>
    <t>Justin</t>
  </si>
  <si>
    <t>Daka</t>
  </si>
  <si>
    <t>Henderson</t>
  </si>
  <si>
    <t>Matip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</si>
  <si>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</si>
  <si>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</si>
  <si>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</si>
  <si>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</si>
  <si>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</si>
  <si>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</si>
  <si>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</si>
  <si>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</si>
  <si>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</si>
  <si>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Elliott</t>
  </si>
  <si>
    <t>Darwin</t>
  </si>
  <si>
    <t>Walker</t>
  </si>
  <si>
    <t>Gündogan</t>
  </si>
  <si>
    <t>De Bruyne</t>
  </si>
  <si>
    <t>Mahrez</t>
  </si>
  <si>
    <t>Grealish</t>
  </si>
  <si>
    <t>Ederson</t>
  </si>
  <si>
    <t>Aké</t>
  </si>
  <si>
    <t>Bernardo</t>
  </si>
  <si>
    <t>Dias</t>
  </si>
  <si>
    <t>Foden</t>
  </si>
  <si>
    <t>Rodri</t>
  </si>
  <si>
    <t>Haaland</t>
  </si>
  <si>
    <t>Álvarez</t>
  </si>
  <si>
    <t>Ronaldo</t>
  </si>
  <si>
    <t>De Gea</t>
  </si>
  <si>
    <t>Maguire</t>
  </si>
  <si>
    <t>Fred</t>
  </si>
  <si>
    <t>Shaw</t>
  </si>
  <si>
    <t>Fernandes</t>
  </si>
  <si>
    <t>Rashford</t>
  </si>
  <si>
    <t>Sancho</t>
  </si>
  <si>
    <t>Dalot</t>
  </si>
  <si>
    <t>Malacia</t>
  </si>
  <si>
    <t>Eriksen</t>
  </si>
  <si>
    <t>Garnacho</t>
  </si>
  <si>
    <t>Wilson</t>
  </si>
  <si>
    <t>Trippier</t>
  </si>
  <si>
    <t>Burn</t>
  </si>
  <si>
    <t>Schär</t>
  </si>
  <si>
    <t>Almirón</t>
  </si>
  <si>
    <t>S.Longstaff</t>
  </si>
  <si>
    <t>Botman</t>
  </si>
  <si>
    <t>Wood</t>
  </si>
  <si>
    <t>McKenna</t>
  </si>
  <si>
    <t>Surridge</t>
  </si>
  <si>
    <t>Johnson</t>
  </si>
  <si>
    <t>Awoniyi</t>
  </si>
  <si>
    <t>Gibbs-White</t>
  </si>
  <si>
    <t>Romeu</t>
  </si>
  <si>
    <t>Redmond</t>
  </si>
  <si>
    <t>Ward-Prowse</t>
  </si>
  <si>
    <t>Walker-Peters</t>
  </si>
  <si>
    <t>Bednarek</t>
  </si>
  <si>
    <t>Perraud</t>
  </si>
  <si>
    <t>Bazunu</t>
  </si>
  <si>
    <t>Lloris</t>
  </si>
  <si>
    <t>Kane</t>
  </si>
  <si>
    <t>Son</t>
  </si>
  <si>
    <t>Doherty</t>
  </si>
  <si>
    <t>Dier</t>
  </si>
  <si>
    <t>Davies</t>
  </si>
  <si>
    <t>Højbjerg</t>
  </si>
  <si>
    <t>Bentancur</t>
  </si>
  <si>
    <t>Romero</t>
  </si>
  <si>
    <t>Emerson Royal</t>
  </si>
  <si>
    <t>Kulusevski</t>
  </si>
  <si>
    <t>Perišić</t>
  </si>
  <si>
    <t>Lenglet</t>
  </si>
  <si>
    <t>Ings</t>
  </si>
  <si>
    <t>Fabianski</t>
  </si>
  <si>
    <t>Antonio</t>
  </si>
  <si>
    <t>Zouma</t>
  </si>
  <si>
    <t>Coufal</t>
  </si>
  <si>
    <t>Benrahma</t>
  </si>
  <si>
    <t>Bowen</t>
  </si>
  <si>
    <t>Rice</t>
  </si>
  <si>
    <t>Scamacca</t>
  </si>
  <si>
    <t>Sá</t>
  </si>
  <si>
    <t>Neves</t>
  </si>
  <si>
    <t>Podence</t>
  </si>
  <si>
    <t>Kilman</t>
  </si>
  <si>
    <t>Neto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</si>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</sst>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>
  <autoFilter ref="A1:F15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>
  <autoFilter ref="A1:F11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9">
  <autoFilter ref="A1:F9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>
  <autoFilter ref="A1:F12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2">
  <autoFilter ref="A1:F12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0">
  <autoFilter ref="A1:F10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10">
  <autoFilter ref="A1:F10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6">
  <autoFilter ref="A1:F6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4">
  <autoFilter ref="A1:F14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4">
  <autoFilter ref="A1:F14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4">
  <autoFilter ref="A1:F1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8">
  <autoFilter ref="A1:F8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>
  <autoFilter ref="A1:F8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8">
  <autoFilter ref="A1:F8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0">
  <autoFilter ref="A1:F10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7">
  <autoFilter ref="A1:F7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13.664122137404579</v>
      </c>
      <c r="C2">
        <v>17.754347887143144</v>
      </c>
      <c r="D2">
        <f t="shared" ref="D2:D15" si="0">B2*$I$2+C2*$I$3</f>
        <v>12.416148350441045</v>
      </c>
      <c r="E2">
        <v>10</v>
      </c>
      <c r="F2">
        <f t="shared" ref="F2:F15" si="1">ABS(D2-E2)</f>
        <v>2.4161483504410448</v>
      </c>
      <c r="H2" t="s">
        <v>7</v>
      </c>
      <c r="I2">
        <v>0.35702690248503088</v>
      </c>
    </row>
    <row r="3" spans="1:9" x14ac:dyDescent="0.3">
      <c r="A3" t="s">
        <v>8</v>
      </c>
      <c r="B3">
        <v>12.416666666666668</v>
      </c>
      <c r="C3">
        <v>15.557352138906291</v>
      </c>
      <c r="D3">
        <f t="shared" si="0"/>
        <v>11.038028650107066</v>
      </c>
      <c r="E3">
        <v>15</v>
      </c>
      <c r="F3">
        <f t="shared" si="1"/>
        <v>3.9619713498929343</v>
      </c>
      <c r="H3" t="s">
        <v>9</v>
      </c>
      <c r="I3">
        <v>0.42455454835402801</v>
      </c>
    </row>
    <row r="4" spans="1:9" x14ac:dyDescent="0.3">
      <c r="A4" t="s">
        <v>10</v>
      </c>
      <c r="B4">
        <v>20.42847852529265</v>
      </c>
      <c r="C4">
        <v>29.997625197208052</v>
      </c>
      <c r="D4">
        <f t="shared" si="0"/>
        <v>20.029144627661282</v>
      </c>
      <c r="E4">
        <v>22</v>
      </c>
      <c r="F4">
        <f t="shared" si="1"/>
        <v>1.9708553723387183</v>
      </c>
    </row>
    <row r="5" spans="1:9" x14ac:dyDescent="0.3">
      <c r="A5" t="s">
        <v>11</v>
      </c>
      <c r="B5">
        <v>24.169933499403157</v>
      </c>
      <c r="C5">
        <v>28.607386893564104</v>
      </c>
      <c r="D5">
        <f t="shared" si="0"/>
        <v>20.774712712747139</v>
      </c>
      <c r="E5">
        <v>17</v>
      </c>
      <c r="F5">
        <f t="shared" si="1"/>
        <v>3.7747127127471387</v>
      </c>
      <c r="H5" t="s">
        <v>12</v>
      </c>
      <c r="I5" cm="1">
        <f t="array" ref="I5">(SUM(TableARS[PP]-TableARS[AP]))^2</f>
        <v>1.9721522630525295E-27</v>
      </c>
    </row>
    <row r="6" spans="1:9" x14ac:dyDescent="0.3">
      <c r="A6" t="s">
        <v>13</v>
      </c>
      <c r="B6">
        <v>12.097346732867361</v>
      </c>
      <c r="C6">
        <v>21.625033088077622</v>
      </c>
      <c r="D6">
        <f t="shared" si="0"/>
        <v>13.500084388172748</v>
      </c>
      <c r="E6">
        <v>25</v>
      </c>
      <c r="F6">
        <f t="shared" si="1"/>
        <v>11.499915611827252</v>
      </c>
    </row>
    <row r="7" spans="1:9" x14ac:dyDescent="0.3">
      <c r="A7" t="s">
        <v>14</v>
      </c>
      <c r="B7">
        <v>20.204710852490138</v>
      </c>
      <c r="C7">
        <v>29.653499046207074</v>
      </c>
      <c r="D7">
        <f t="shared" si="0"/>
        <v>19.803153225949288</v>
      </c>
      <c r="E7">
        <v>31</v>
      </c>
      <c r="F7">
        <f t="shared" si="1"/>
        <v>11.196846774050712</v>
      </c>
      <c r="H7" t="s">
        <v>15</v>
      </c>
      <c r="I7">
        <f>AVERAGE(TableARS[DIFF])/5</f>
        <v>1.0626828153362624</v>
      </c>
    </row>
    <row r="8" spans="1:9" x14ac:dyDescent="0.3">
      <c r="A8" t="s">
        <v>16</v>
      </c>
      <c r="B8">
        <v>21.816689185786299</v>
      </c>
      <c r="C8">
        <v>22.409227382369448</v>
      </c>
      <c r="D8">
        <f t="shared" si="0"/>
        <v>17.30308437276453</v>
      </c>
      <c r="E8">
        <v>14</v>
      </c>
      <c r="F8">
        <f t="shared" si="1"/>
        <v>3.3030843727645305</v>
      </c>
    </row>
    <row r="9" spans="1:9" x14ac:dyDescent="0.3">
      <c r="A9" t="s">
        <v>17</v>
      </c>
      <c r="B9">
        <v>23.431717499530301</v>
      </c>
      <c r="C9">
        <v>28.13867270267616</v>
      </c>
      <c r="D9">
        <f t="shared" si="0"/>
        <v>20.31215499932809</v>
      </c>
      <c r="E9">
        <v>11</v>
      </c>
      <c r="F9">
        <f t="shared" si="1"/>
        <v>9.3121549993280901</v>
      </c>
    </row>
    <row r="10" spans="1:9" x14ac:dyDescent="0.3">
      <c r="A10" t="s">
        <v>18</v>
      </c>
      <c r="B10">
        <v>30.57894957765156</v>
      </c>
      <c r="C10">
        <v>30.850424729721244</v>
      </c>
      <c r="D10">
        <f t="shared" si="0"/>
        <v>24.015195786611621</v>
      </c>
      <c r="E10">
        <v>27</v>
      </c>
      <c r="F10">
        <f t="shared" si="1"/>
        <v>2.9848042133883794</v>
      </c>
    </row>
    <row r="11" spans="1:9" x14ac:dyDescent="0.3">
      <c r="A11" t="s">
        <v>19</v>
      </c>
      <c r="B11">
        <v>26.935755574479426</v>
      </c>
      <c r="C11">
        <v>25.617863286794801</v>
      </c>
      <c r="D11">
        <f t="shared" si="0"/>
        <v>20.492969756370695</v>
      </c>
      <c r="E11">
        <v>11</v>
      </c>
      <c r="F11">
        <f t="shared" si="1"/>
        <v>9.4929697563706945</v>
      </c>
    </row>
    <row r="12" spans="1:9" x14ac:dyDescent="0.3">
      <c r="A12" t="s">
        <v>20</v>
      </c>
      <c r="B12">
        <v>20.454545454545453</v>
      </c>
      <c r="C12">
        <v>26.293084260073297</v>
      </c>
      <c r="D12">
        <f t="shared" si="0"/>
        <v>18.465671518245454</v>
      </c>
      <c r="E12">
        <v>17</v>
      </c>
      <c r="F12">
        <f t="shared" si="1"/>
        <v>1.4656715182454541</v>
      </c>
    </row>
    <row r="13" spans="1:9" x14ac:dyDescent="0.3">
      <c r="A13" t="s">
        <v>21</v>
      </c>
      <c r="B13">
        <v>19.367074004575791</v>
      </c>
      <c r="C13">
        <v>25.203923920863687</v>
      </c>
      <c r="D13">
        <f t="shared" si="0"/>
        <v>17.615006979023622</v>
      </c>
      <c r="E13">
        <v>11</v>
      </c>
      <c r="F13">
        <f t="shared" si="1"/>
        <v>6.6150069790236223</v>
      </c>
    </row>
    <row r="14" spans="1:9" x14ac:dyDescent="0.3">
      <c r="A14" t="s">
        <v>22</v>
      </c>
      <c r="B14">
        <v>16.953617049080357</v>
      </c>
      <c r="C14">
        <v>15.925521215379689</v>
      </c>
      <c r="D14">
        <f t="shared" si="0"/>
        <v>12.814149847848585</v>
      </c>
      <c r="E14">
        <v>12</v>
      </c>
      <c r="F14">
        <f t="shared" si="1"/>
        <v>0.81414984784858468</v>
      </c>
    </row>
    <row r="15" spans="1:9" x14ac:dyDescent="0.3">
      <c r="A15" t="s">
        <v>23</v>
      </c>
      <c r="B15">
        <v>20.582044706410315</v>
      </c>
      <c r="C15">
        <v>19.013224914645065</v>
      </c>
      <c r="D15">
        <f t="shared" si="0"/>
        <v>15.420494784728792</v>
      </c>
      <c r="E15">
        <v>21</v>
      </c>
      <c r="F15">
        <f t="shared" si="1"/>
        <v>5.5795052152712081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10.204300500092989</v>
      </c>
      <c r="C2">
        <v>13.610694650263131</v>
      </c>
      <c r="D2">
        <f t="shared" ref="D2:D11" si="0">B2*$I$2+C2*$I$3</f>
        <v>13.16597336476058</v>
      </c>
      <c r="E2">
        <v>12</v>
      </c>
      <c r="F2">
        <f t="shared" ref="F2:F11" si="1">ABS(D2-E2)</f>
        <v>1.1659733647605801</v>
      </c>
      <c r="H2" t="s">
        <v>7</v>
      </c>
      <c r="I2">
        <v>0.49315040543487099</v>
      </c>
    </row>
    <row r="3" spans="1:9" x14ac:dyDescent="0.3">
      <c r="A3" t="s">
        <v>25</v>
      </c>
      <c r="B3">
        <v>17.5</v>
      </c>
      <c r="C3">
        <v>23.613115437094116</v>
      </c>
      <c r="D3">
        <f t="shared" si="0"/>
        <v>22.741273171766608</v>
      </c>
      <c r="E3">
        <v>15</v>
      </c>
      <c r="F3">
        <f t="shared" si="1"/>
        <v>7.7412731717666077</v>
      </c>
      <c r="H3" t="s">
        <v>9</v>
      </c>
      <c r="I3">
        <v>0.59759759842993898</v>
      </c>
    </row>
    <row r="4" spans="1:9" x14ac:dyDescent="0.3">
      <c r="A4" t="s">
        <v>26</v>
      </c>
      <c r="B4">
        <v>14.571615185517583</v>
      </c>
      <c r="C4">
        <v>12.825345216033275</v>
      </c>
      <c r="D4">
        <f t="shared" si="0"/>
        <v>14.850393436715311</v>
      </c>
      <c r="E4">
        <v>24</v>
      </c>
      <c r="F4">
        <f t="shared" si="1"/>
        <v>9.1496065632846886</v>
      </c>
    </row>
    <row r="5" spans="1:9" x14ac:dyDescent="0.3">
      <c r="A5" t="s">
        <v>27</v>
      </c>
      <c r="B5">
        <v>19.268939020619126</v>
      </c>
      <c r="C5">
        <v>18.18282165014676</v>
      </c>
      <c r="D5">
        <f t="shared" si="0"/>
        <v>20.368495641125733</v>
      </c>
      <c r="E5">
        <v>34</v>
      </c>
      <c r="F5">
        <f t="shared" si="1"/>
        <v>13.631504358874267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28</v>
      </c>
      <c r="B6">
        <v>16.411764705882351</v>
      </c>
      <c r="C6">
        <v>15.887382220793981</v>
      </c>
      <c r="D6">
        <f t="shared" si="0"/>
        <v>17.587729879092581</v>
      </c>
      <c r="E6">
        <v>17</v>
      </c>
      <c r="F6">
        <f t="shared" si="1"/>
        <v>0.58772987909258134</v>
      </c>
    </row>
    <row r="7" spans="1:9" x14ac:dyDescent="0.3">
      <c r="A7" t="s">
        <v>29</v>
      </c>
      <c r="B7">
        <v>7.037530762090924</v>
      </c>
      <c r="C7">
        <v>18.597180715652907</v>
      </c>
      <c r="D7">
        <f t="shared" si="0"/>
        <v>14.584191681827267</v>
      </c>
      <c r="E7">
        <v>23</v>
      </c>
      <c r="F7">
        <f t="shared" si="1"/>
        <v>8.4158083181727328</v>
      </c>
      <c r="H7" t="s">
        <v>15</v>
      </c>
      <c r="I7">
        <f>AVERAGE(TableAVL[DIFF])/5</f>
        <v>1.2478767696132675</v>
      </c>
    </row>
    <row r="8" spans="1:9" x14ac:dyDescent="0.3">
      <c r="A8" t="s">
        <v>30</v>
      </c>
      <c r="B8">
        <v>17.189707308202461</v>
      </c>
      <c r="C8">
        <v>13.984833255994666</v>
      </c>
      <c r="D8">
        <f t="shared" si="0"/>
        <v>16.834413896572364</v>
      </c>
      <c r="E8">
        <v>14</v>
      </c>
      <c r="F8">
        <f t="shared" si="1"/>
        <v>2.8344138965723644</v>
      </c>
    </row>
    <row r="9" spans="1:9" x14ac:dyDescent="0.3">
      <c r="A9" t="s">
        <v>31</v>
      </c>
      <c r="B9">
        <v>12.902898590573479</v>
      </c>
      <c r="C9">
        <v>15.301644831116674</v>
      </c>
      <c r="D9">
        <f t="shared" si="0"/>
        <v>15.50729587432955</v>
      </c>
      <c r="E9">
        <v>13</v>
      </c>
      <c r="F9">
        <f t="shared" si="1"/>
        <v>2.5072958743295501</v>
      </c>
    </row>
    <row r="10" spans="1:9" x14ac:dyDescent="0.3">
      <c r="A10" t="s">
        <v>32</v>
      </c>
      <c r="B10">
        <v>13.207613078954562</v>
      </c>
      <c r="C10">
        <v>16.278536685005481</v>
      </c>
      <c r="D10">
        <f t="shared" si="0"/>
        <v>16.241354173626284</v>
      </c>
      <c r="E10">
        <v>10</v>
      </c>
      <c r="F10">
        <f t="shared" si="1"/>
        <v>6.2413541736262843</v>
      </c>
    </row>
    <row r="11" spans="1:9" x14ac:dyDescent="0.3">
      <c r="A11" t="s">
        <v>33</v>
      </c>
      <c r="B11">
        <v>12.999999999930704</v>
      </c>
      <c r="C11">
        <v>22.938384701644104</v>
      </c>
      <c r="D11">
        <f t="shared" si="0"/>
        <v>20.118878880183718</v>
      </c>
      <c r="E11">
        <v>10</v>
      </c>
      <c r="F11">
        <f t="shared" si="1"/>
        <v>10.118878880183718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34</v>
      </c>
      <c r="B2">
        <v>12.432432477378869</v>
      </c>
      <c r="C2">
        <v>15.945897048170192</v>
      </c>
      <c r="D2">
        <f t="shared" ref="D2:D9" si="0">B2*$I$2+C2*$I$3</f>
        <v>15.623818122065238</v>
      </c>
      <c r="E2">
        <v>10</v>
      </c>
      <c r="F2">
        <f t="shared" ref="F2:F9" si="1">ABS(D2-E2)</f>
        <v>5.6238181220652379</v>
      </c>
      <c r="H2" t="s">
        <v>7</v>
      </c>
      <c r="I2">
        <v>0.4177870495578398</v>
      </c>
    </row>
    <row r="3" spans="1:9" x14ac:dyDescent="0.3">
      <c r="A3" t="s">
        <v>35</v>
      </c>
      <c r="B3">
        <v>13.635550381936461</v>
      </c>
      <c r="C3">
        <v>19.026370133990547</v>
      </c>
      <c r="D3">
        <f t="shared" si="0"/>
        <v>18.141305588077767</v>
      </c>
      <c r="E3">
        <v>14</v>
      </c>
      <c r="F3">
        <f t="shared" si="1"/>
        <v>4.1413055880777669</v>
      </c>
      <c r="H3" t="s">
        <v>9</v>
      </c>
      <c r="I3">
        <v>0.65406849216494067</v>
      </c>
    </row>
    <row r="4" spans="1:9" x14ac:dyDescent="0.3">
      <c r="A4" t="s">
        <v>36</v>
      </c>
      <c r="B4">
        <v>12.469024146034883</v>
      </c>
      <c r="C4">
        <v>15.03117946088499</v>
      </c>
      <c r="D4">
        <f t="shared" si="0"/>
        <v>15.040817694279049</v>
      </c>
      <c r="E4">
        <v>16</v>
      </c>
      <c r="F4">
        <f t="shared" si="1"/>
        <v>0.95918230572095098</v>
      </c>
    </row>
    <row r="5" spans="1:9" x14ac:dyDescent="0.3">
      <c r="A5" t="s">
        <v>37</v>
      </c>
      <c r="B5">
        <v>12.202193890060283</v>
      </c>
      <c r="C5">
        <v>13.478445199772153</v>
      </c>
      <c r="D5">
        <f t="shared" si="0"/>
        <v>13.91374491200374</v>
      </c>
      <c r="E5">
        <v>18</v>
      </c>
      <c r="F5">
        <f t="shared" si="1"/>
        <v>4.0862550879962605</v>
      </c>
      <c r="H5" t="s">
        <v>12</v>
      </c>
      <c r="I5" cm="1">
        <f t="array" ref="I5">(SUM(TableBOU[PP]-TableBOU[AP]))^2</f>
        <v>0</v>
      </c>
    </row>
    <row r="6" spans="1:9" x14ac:dyDescent="0.3">
      <c r="A6" t="s">
        <v>38</v>
      </c>
      <c r="B6">
        <v>5.2352404432905839</v>
      </c>
      <c r="C6">
        <v>24.922008129446105</v>
      </c>
      <c r="D6">
        <f t="shared" si="0"/>
        <v>18.487915937477457</v>
      </c>
      <c r="E6">
        <v>14</v>
      </c>
      <c r="F6">
        <f t="shared" si="1"/>
        <v>4.4879159374774567</v>
      </c>
    </row>
    <row r="7" spans="1:9" x14ac:dyDescent="0.3">
      <c r="A7" t="s">
        <v>39</v>
      </c>
      <c r="B7">
        <v>14.538095014097388</v>
      </c>
      <c r="C7">
        <v>22.757509994055493</v>
      </c>
      <c r="D7">
        <f t="shared" si="0"/>
        <v>20.958798069371731</v>
      </c>
      <c r="E7">
        <v>12</v>
      </c>
      <c r="F7">
        <f t="shared" si="1"/>
        <v>8.9587980693717313</v>
      </c>
      <c r="H7" t="s">
        <v>15</v>
      </c>
      <c r="I7">
        <f>AVERAGE(TableBOU[DIFF])/5</f>
        <v>1.3018198821441125</v>
      </c>
    </row>
    <row r="8" spans="1:9" x14ac:dyDescent="0.3">
      <c r="A8" t="s">
        <v>40</v>
      </c>
      <c r="B8">
        <v>14.933274449605479</v>
      </c>
      <c r="C8">
        <v>11.597609950975885</v>
      </c>
      <c r="D8">
        <f t="shared" si="0"/>
        <v>13.824559925890057</v>
      </c>
      <c r="E8">
        <v>11</v>
      </c>
      <c r="F8">
        <f t="shared" si="1"/>
        <v>2.8245599258900569</v>
      </c>
    </row>
    <row r="9" spans="1:9" x14ac:dyDescent="0.3">
      <c r="A9" t="s">
        <v>41</v>
      </c>
      <c r="B9">
        <v>10.96364309201992</v>
      </c>
      <c r="C9">
        <v>28.175293370296629</v>
      </c>
      <c r="D9">
        <f t="shared" si="0"/>
        <v>23.009039750834962</v>
      </c>
      <c r="E9">
        <v>44</v>
      </c>
      <c r="F9">
        <f t="shared" si="1"/>
        <v>20.990960249165038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42</v>
      </c>
      <c r="B2">
        <v>26.22188331698953</v>
      </c>
      <c r="C2">
        <v>21.133504178876372</v>
      </c>
      <c r="D2">
        <f t="shared" ref="D2:D12" si="0">B2*$I$2+C2*$I$3</f>
        <v>22.148011689247252</v>
      </c>
      <c r="E2">
        <v>10</v>
      </c>
      <c r="F2">
        <f t="shared" ref="F2:F12" si="1">ABS(D2-E2)</f>
        <v>12.148011689247252</v>
      </c>
      <c r="H2" t="s">
        <v>7</v>
      </c>
      <c r="I2">
        <v>0.449584958731578</v>
      </c>
    </row>
    <row r="3" spans="1:9" x14ac:dyDescent="0.3">
      <c r="A3" t="s">
        <v>43</v>
      </c>
      <c r="B3">
        <v>15.838429620942964</v>
      </c>
      <c r="C3">
        <v>20.692763424273952</v>
      </c>
      <c r="D3">
        <f t="shared" si="0"/>
        <v>17.263728407631138</v>
      </c>
      <c r="E3">
        <v>18</v>
      </c>
      <c r="F3">
        <f t="shared" si="1"/>
        <v>0.73627159236886186</v>
      </c>
      <c r="H3" t="s">
        <v>9</v>
      </c>
      <c r="I3">
        <v>0.49017177996768124</v>
      </c>
    </row>
    <row r="4" spans="1:9" x14ac:dyDescent="0.3">
      <c r="A4" t="s">
        <v>44</v>
      </c>
      <c r="B4">
        <v>21.203200005814846</v>
      </c>
      <c r="C4">
        <v>32.011485034522117</v>
      </c>
      <c r="D4">
        <f t="shared" si="0"/>
        <v>25.223766398372156</v>
      </c>
      <c r="E4">
        <v>21</v>
      </c>
      <c r="F4">
        <f t="shared" si="1"/>
        <v>4.2237663983721561</v>
      </c>
    </row>
    <row r="5" spans="1:9" x14ac:dyDescent="0.3">
      <c r="A5" t="s">
        <v>45</v>
      </c>
      <c r="B5">
        <v>17.853012913157244</v>
      </c>
      <c r="C5">
        <v>24.238805245651605</v>
      </c>
      <c r="D5">
        <f t="shared" si="0"/>
        <v>19.907624385347145</v>
      </c>
      <c r="E5">
        <v>28</v>
      </c>
      <c r="F5">
        <f t="shared" si="1"/>
        <v>8.0923756146528554</v>
      </c>
      <c r="H5" t="s">
        <v>12</v>
      </c>
      <c r="I5" cm="1">
        <f t="array" ref="I5">(SUM(TableBRE[PP]-TableBRE[AP]))^2</f>
        <v>5.0487097934144756E-29</v>
      </c>
    </row>
    <row r="6" spans="1:9" x14ac:dyDescent="0.3">
      <c r="A6" t="s">
        <v>46</v>
      </c>
      <c r="B6">
        <v>15.400000012095099</v>
      </c>
      <c r="C6">
        <v>17.022346925831439</v>
      </c>
      <c r="D6">
        <f t="shared" si="0"/>
        <v>15.26748246176626</v>
      </c>
      <c r="E6">
        <v>22</v>
      </c>
      <c r="F6">
        <f t="shared" si="1"/>
        <v>6.7325175382337399</v>
      </c>
    </row>
    <row r="7" spans="1:9" x14ac:dyDescent="0.3">
      <c r="A7" t="s">
        <v>47</v>
      </c>
      <c r="B7">
        <v>16.939100527655786</v>
      </c>
      <c r="C7">
        <v>17.062615146100455</v>
      </c>
      <c r="D7">
        <f t="shared" si="0"/>
        <v>15.979177248743756</v>
      </c>
      <c r="E7">
        <v>12</v>
      </c>
      <c r="F7">
        <f t="shared" si="1"/>
        <v>3.9791772487437562</v>
      </c>
      <c r="H7" t="s">
        <v>15</v>
      </c>
      <c r="I7">
        <f>AVERAGE(TableBRE[DIFF])/5</f>
        <v>1.163308800971895</v>
      </c>
    </row>
    <row r="8" spans="1:9" x14ac:dyDescent="0.3">
      <c r="A8" t="s">
        <v>48</v>
      </c>
      <c r="B8">
        <v>25.340425531914896</v>
      </c>
      <c r="C8">
        <v>17.139561657157138</v>
      </c>
      <c r="D8">
        <f t="shared" si="0"/>
        <v>19.794003612361116</v>
      </c>
      <c r="E8">
        <v>25</v>
      </c>
      <c r="F8">
        <f t="shared" si="1"/>
        <v>5.2059963876388835</v>
      </c>
    </row>
    <row r="9" spans="1:9" x14ac:dyDescent="0.3">
      <c r="A9" t="s">
        <v>49</v>
      </c>
      <c r="B9">
        <v>32.486018160407269</v>
      </c>
      <c r="C9">
        <v>18.431929224811054</v>
      </c>
      <c r="D9">
        <f t="shared" si="0"/>
        <v>23.640036690363953</v>
      </c>
      <c r="E9">
        <v>12</v>
      </c>
      <c r="F9">
        <f t="shared" si="1"/>
        <v>11.640036690363953</v>
      </c>
    </row>
    <row r="10" spans="1:9" x14ac:dyDescent="0.3">
      <c r="A10" t="s">
        <v>50</v>
      </c>
      <c r="B10">
        <v>17.179633748880264</v>
      </c>
      <c r="C10">
        <v>19.396991756306672</v>
      </c>
      <c r="D10">
        <f t="shared" si="0"/>
        <v>17.231562905221239</v>
      </c>
      <c r="E10">
        <v>23</v>
      </c>
      <c r="F10">
        <f t="shared" si="1"/>
        <v>5.7684370947787613</v>
      </c>
    </row>
    <row r="11" spans="1:9" x14ac:dyDescent="0.3">
      <c r="A11" t="s">
        <v>51</v>
      </c>
      <c r="B11">
        <v>9.1428571689341744</v>
      </c>
      <c r="C11">
        <v>23.833854231552856</v>
      </c>
      <c r="D11">
        <f t="shared" si="0"/>
        <v>15.793173815154496</v>
      </c>
      <c r="E11">
        <v>16</v>
      </c>
      <c r="F11">
        <f t="shared" si="1"/>
        <v>0.20682618484550375</v>
      </c>
    </row>
    <row r="12" spans="1:9" x14ac:dyDescent="0.3">
      <c r="A12" t="s">
        <v>52</v>
      </c>
      <c r="B12">
        <v>15.808420254524609</v>
      </c>
      <c r="C12">
        <v>21.715253413306289</v>
      </c>
      <c r="D12">
        <f t="shared" si="0"/>
        <v>17.751432385791496</v>
      </c>
      <c r="E12">
        <v>23</v>
      </c>
      <c r="F12">
        <f t="shared" si="1"/>
        <v>5.248567614208504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53</v>
      </c>
      <c r="B2">
        <v>16.222750588752465</v>
      </c>
      <c r="C2">
        <v>11.97903690428911</v>
      </c>
      <c r="D2">
        <f t="shared" ref="D2:D12" si="0">B2*$I$2+C2*$I$3</f>
        <v>12.906892465801075</v>
      </c>
      <c r="E2">
        <v>16</v>
      </c>
      <c r="F2">
        <f t="shared" ref="F2:F12" si="1">ABS(D2-E2)</f>
        <v>3.0931075341989249</v>
      </c>
      <c r="H2" t="s">
        <v>7</v>
      </c>
      <c r="I2">
        <v>0.42128591163792023</v>
      </c>
    </row>
    <row r="3" spans="1:9" x14ac:dyDescent="0.3">
      <c r="A3" t="s">
        <v>54</v>
      </c>
      <c r="B3">
        <v>14.652682333990612</v>
      </c>
      <c r="C3">
        <v>18.426033733762971</v>
      </c>
      <c r="D3">
        <f t="shared" si="0"/>
        <v>15.513590264770015</v>
      </c>
      <c r="E3">
        <v>14</v>
      </c>
      <c r="F3">
        <f t="shared" si="1"/>
        <v>1.5135902647700146</v>
      </c>
      <c r="H3" t="s">
        <v>9</v>
      </c>
      <c r="I3">
        <v>0.50692524309442832</v>
      </c>
    </row>
    <row r="4" spans="1:9" x14ac:dyDescent="0.3">
      <c r="A4" t="s">
        <v>55</v>
      </c>
      <c r="B4">
        <v>17.290320086276296</v>
      </c>
      <c r="C4">
        <v>22.947325751204492</v>
      </c>
      <c r="D4">
        <f t="shared" si="0"/>
        <v>18.916746944854722</v>
      </c>
      <c r="E4">
        <v>15</v>
      </c>
      <c r="F4">
        <f t="shared" si="1"/>
        <v>3.9167469448547223</v>
      </c>
    </row>
    <row r="5" spans="1:9" x14ac:dyDescent="0.3">
      <c r="A5" t="s">
        <v>56</v>
      </c>
      <c r="B5">
        <v>16.319444505243435</v>
      </c>
      <c r="C5">
        <v>17.645210522522053</v>
      </c>
      <c r="D5">
        <f t="shared" si="0"/>
        <v>15.819954689397786</v>
      </c>
      <c r="E5">
        <v>17</v>
      </c>
      <c r="F5">
        <f t="shared" si="1"/>
        <v>1.180045310602214</v>
      </c>
      <c r="H5" t="s">
        <v>12</v>
      </c>
      <c r="I5" cm="1">
        <f t="array" ref="I5">(SUM(TableBHA[PP]-TableBHA[AP]))^2</f>
        <v>2.0194839173657902E-28</v>
      </c>
    </row>
    <row r="6" spans="1:9" x14ac:dyDescent="0.3">
      <c r="A6" t="s">
        <v>57</v>
      </c>
      <c r="B6">
        <v>24.863699077605798</v>
      </c>
      <c r="C6">
        <v>32.858046051878489</v>
      </c>
      <c r="D6">
        <f t="shared" si="0"/>
        <v>27.1312991150565</v>
      </c>
      <c r="E6">
        <v>20</v>
      </c>
      <c r="F6">
        <f t="shared" si="1"/>
        <v>7.1312991150564997</v>
      </c>
    </row>
    <row r="7" spans="1:9" x14ac:dyDescent="0.3">
      <c r="A7" t="s">
        <v>58</v>
      </c>
      <c r="B7">
        <v>13.461538461538463</v>
      </c>
      <c r="C7">
        <v>14.984345696888969</v>
      </c>
      <c r="D7">
        <f t="shared" si="0"/>
        <v>13.26709958782455</v>
      </c>
      <c r="E7">
        <v>16</v>
      </c>
      <c r="F7">
        <f t="shared" si="1"/>
        <v>2.7329004121754501</v>
      </c>
      <c r="H7" t="s">
        <v>15</v>
      </c>
      <c r="I7">
        <f>AVERAGE(TableBHA[DIFF])/5</f>
        <v>0.85677110071690643</v>
      </c>
    </row>
    <row r="8" spans="1:9" x14ac:dyDescent="0.3">
      <c r="A8" t="s">
        <v>59</v>
      </c>
      <c r="B8">
        <v>14.931506849315069</v>
      </c>
      <c r="C8">
        <v>17.566628762088598</v>
      </c>
      <c r="D8">
        <f t="shared" si="0"/>
        <v>15.195401030712887</v>
      </c>
      <c r="E8">
        <v>23</v>
      </c>
      <c r="F8">
        <f t="shared" si="1"/>
        <v>7.8045989692871132</v>
      </c>
    </row>
    <row r="9" spans="1:9" x14ac:dyDescent="0.3">
      <c r="A9" t="s">
        <v>60</v>
      </c>
      <c r="B9">
        <v>17.799999968607104</v>
      </c>
      <c r="C9">
        <v>19.265011182589721</v>
      </c>
      <c r="D9">
        <f t="shared" si="0"/>
        <v>17.264809690880771</v>
      </c>
      <c r="E9">
        <v>20</v>
      </c>
      <c r="F9">
        <f t="shared" si="1"/>
        <v>2.7351903091192291</v>
      </c>
    </row>
    <row r="10" spans="1:9" x14ac:dyDescent="0.3">
      <c r="A10" t="s">
        <v>61</v>
      </c>
      <c r="B10">
        <v>10.277688295954352</v>
      </c>
      <c r="C10">
        <v>11.338572901497647</v>
      </c>
      <c r="D10">
        <f t="shared" si="0"/>
        <v>10.077654107727104</v>
      </c>
      <c r="E10">
        <v>10</v>
      </c>
      <c r="F10">
        <f t="shared" si="1"/>
        <v>7.765410772710446E-2</v>
      </c>
    </row>
    <row r="11" spans="1:9" x14ac:dyDescent="0.3">
      <c r="A11" t="s">
        <v>62</v>
      </c>
      <c r="B11">
        <v>13.469486060117756</v>
      </c>
      <c r="C11">
        <v>18.365888616445908</v>
      </c>
      <c r="D11">
        <f t="shared" si="0"/>
        <v>14.984637265668002</v>
      </c>
      <c r="E11">
        <v>21</v>
      </c>
      <c r="F11">
        <f t="shared" si="1"/>
        <v>6.0153627343319975</v>
      </c>
    </row>
    <row r="12" spans="1:9" x14ac:dyDescent="0.3">
      <c r="A12" t="s">
        <v>63</v>
      </c>
      <c r="B12">
        <v>17.194130836563403</v>
      </c>
      <c r="C12">
        <v>26.982814407716013</v>
      </c>
      <c r="D12">
        <f t="shared" si="0"/>
        <v>20.921914837306574</v>
      </c>
      <c r="E12">
        <v>10</v>
      </c>
      <c r="F12">
        <f t="shared" si="1"/>
        <v>10.921914837306574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64</v>
      </c>
      <c r="B2">
        <v>12.727975315794145</v>
      </c>
      <c r="C2">
        <v>27.138189825012525</v>
      </c>
      <c r="D2">
        <f t="shared" ref="D2:D10" si="0">B2*$I$2+C2*$I$3</f>
        <v>18.092639084717966</v>
      </c>
      <c r="E2">
        <v>17</v>
      </c>
      <c r="F2">
        <f t="shared" ref="F2:F10" si="1">ABS(D2-E2)</f>
        <v>1.0926390847179661</v>
      </c>
      <c r="H2" t="s">
        <v>7</v>
      </c>
      <c r="I2">
        <v>0.40041845147974536</v>
      </c>
    </row>
    <row r="3" spans="1:9" x14ac:dyDescent="0.3">
      <c r="A3" t="s">
        <v>65</v>
      </c>
      <c r="B3">
        <v>18.514634171280818</v>
      </c>
      <c r="C3">
        <v>17.033212916197392</v>
      </c>
      <c r="D3">
        <f t="shared" si="0"/>
        <v>15.570583249124102</v>
      </c>
      <c r="E3">
        <v>23</v>
      </c>
      <c r="F3">
        <f t="shared" si="1"/>
        <v>7.4294167508758981</v>
      </c>
      <c r="H3" t="s">
        <v>9</v>
      </c>
      <c r="I3">
        <v>0.47888687499403815</v>
      </c>
    </row>
    <row r="4" spans="1:9" x14ac:dyDescent="0.3">
      <c r="A4" t="s">
        <v>66</v>
      </c>
      <c r="B4">
        <v>14.116856501820624</v>
      </c>
      <c r="C4">
        <v>15.077107393349424</v>
      </c>
      <c r="D4">
        <f t="shared" si="0"/>
        <v>12.872878663771402</v>
      </c>
      <c r="E4">
        <v>10</v>
      </c>
      <c r="F4">
        <f t="shared" si="1"/>
        <v>2.8728786637714023</v>
      </c>
    </row>
    <row r="5" spans="1:9" x14ac:dyDescent="0.3">
      <c r="A5" t="s">
        <v>67</v>
      </c>
      <c r="B5">
        <v>11.093882582234638</v>
      </c>
      <c r="C5">
        <v>10.220297756147785</v>
      </c>
      <c r="D5">
        <f t="shared" si="0"/>
        <v>9.3365617384267061</v>
      </c>
      <c r="E5">
        <v>11</v>
      </c>
      <c r="F5">
        <f t="shared" si="1"/>
        <v>1.6634382615732939</v>
      </c>
      <c r="H5" t="s">
        <v>12</v>
      </c>
      <c r="I5" cm="1">
        <f t="array" ref="I5">(SUM(TableCHE[PP]-TableCHE[AP]))^2</f>
        <v>2.8398992587956425E-29</v>
      </c>
    </row>
    <row r="6" spans="1:9" x14ac:dyDescent="0.3">
      <c r="A6" t="s">
        <v>68</v>
      </c>
      <c r="B6">
        <v>19.739387621380185</v>
      </c>
      <c r="C6">
        <v>23.517120054475402</v>
      </c>
      <c r="D6">
        <f t="shared" si="0"/>
        <v>19.166055156258857</v>
      </c>
      <c r="E6">
        <v>15</v>
      </c>
      <c r="F6">
        <f t="shared" si="1"/>
        <v>4.1660551562588566</v>
      </c>
    </row>
    <row r="7" spans="1:9" x14ac:dyDescent="0.3">
      <c r="A7" t="s">
        <v>69</v>
      </c>
      <c r="B7">
        <v>20.241935483594911</v>
      </c>
      <c r="C7">
        <v>18.698263557114625</v>
      </c>
      <c r="D7">
        <f t="shared" si="0"/>
        <v>17.059597463975514</v>
      </c>
      <c r="E7">
        <v>10</v>
      </c>
      <c r="F7">
        <f t="shared" si="1"/>
        <v>7.0595974639755141</v>
      </c>
      <c r="H7" t="s">
        <v>15</v>
      </c>
      <c r="I7">
        <f>AVERAGE(TableCHE[DIFF])/5</f>
        <v>0.73765226036267917</v>
      </c>
    </row>
    <row r="8" spans="1:9" x14ac:dyDescent="0.3">
      <c r="A8" t="s">
        <v>70</v>
      </c>
      <c r="B8">
        <v>13.240070016836889</v>
      </c>
      <c r="C8">
        <v>12.74713815426097</v>
      </c>
      <c r="D8">
        <f t="shared" si="0"/>
        <v>11.40600548943654</v>
      </c>
      <c r="E8">
        <v>10</v>
      </c>
      <c r="F8">
        <f t="shared" si="1"/>
        <v>1.4060054894365397</v>
      </c>
    </row>
    <row r="9" spans="1:9" x14ac:dyDescent="0.3">
      <c r="A9" t="s">
        <v>71</v>
      </c>
      <c r="B9">
        <v>13.727272712637658</v>
      </c>
      <c r="C9">
        <v>15.979565315556847</v>
      </c>
      <c r="D9">
        <f t="shared" si="0"/>
        <v>13.149057380364674</v>
      </c>
      <c r="E9">
        <v>20</v>
      </c>
      <c r="F9">
        <f t="shared" si="1"/>
        <v>6.850942619635326</v>
      </c>
    </row>
    <row r="10" spans="1:9" x14ac:dyDescent="0.3">
      <c r="A10" t="s">
        <v>72</v>
      </c>
      <c r="B10">
        <v>15.32260793045727</v>
      </c>
      <c r="C10">
        <v>25.499063497890369</v>
      </c>
      <c r="D10">
        <f t="shared" si="0"/>
        <v>18.346621773924234</v>
      </c>
      <c r="E10">
        <v>19</v>
      </c>
      <c r="F10">
        <f t="shared" si="1"/>
        <v>0.65337822607576612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73</v>
      </c>
      <c r="B2">
        <v>18.521730259648784</v>
      </c>
      <c r="C2">
        <v>19.492709024874863</v>
      </c>
      <c r="D2">
        <f t="shared" ref="D2:D10" si="0">B2*$I$2+C2*$I$3</f>
        <v>14.973356715121499</v>
      </c>
      <c r="E2">
        <v>20</v>
      </c>
      <c r="F2">
        <f t="shared" ref="F2:F10" si="1">ABS(D2-E2)</f>
        <v>5.0266432848785012</v>
      </c>
      <c r="H2" t="s">
        <v>7</v>
      </c>
      <c r="I2">
        <v>0.40850068066211237</v>
      </c>
    </row>
    <row r="3" spans="1:9" x14ac:dyDescent="0.3">
      <c r="A3" t="s">
        <v>74</v>
      </c>
      <c r="B3">
        <v>11.17486430754624</v>
      </c>
      <c r="C3">
        <v>12.652478899878126</v>
      </c>
      <c r="D3">
        <f t="shared" si="0"/>
        <v>9.37287378287634</v>
      </c>
      <c r="E3">
        <v>12</v>
      </c>
      <c r="F3">
        <f t="shared" si="1"/>
        <v>2.62712621712366</v>
      </c>
      <c r="H3" t="s">
        <v>9</v>
      </c>
      <c r="I3">
        <v>0.37999937759100055</v>
      </c>
    </row>
    <row r="4" spans="1:9" x14ac:dyDescent="0.3">
      <c r="A4" t="s">
        <v>75</v>
      </c>
      <c r="B4">
        <v>23.504892157096918</v>
      </c>
      <c r="C4">
        <v>13.132871710687448</v>
      </c>
      <c r="D4">
        <f t="shared" si="0"/>
        <v>14.592247521107328</v>
      </c>
      <c r="E4">
        <v>10</v>
      </c>
      <c r="F4">
        <f t="shared" si="1"/>
        <v>4.5922475211073284</v>
      </c>
    </row>
    <row r="5" spans="1:9" x14ac:dyDescent="0.3">
      <c r="A5" t="s">
        <v>76</v>
      </c>
      <c r="B5">
        <v>20.59440557982256</v>
      </c>
      <c r="C5">
        <v>24.876847641251491</v>
      </c>
      <c r="D5">
        <f t="shared" si="0"/>
        <v>17.866015317290838</v>
      </c>
      <c r="E5">
        <v>11</v>
      </c>
      <c r="F5">
        <f t="shared" si="1"/>
        <v>6.866015317290838</v>
      </c>
      <c r="H5" t="s">
        <v>12</v>
      </c>
      <c r="I5" cm="1">
        <f t="array" ref="I5">(SUM(TableCRY[PP]-TableCRY[AP]))^2</f>
        <v>1.135959703518257E-28</v>
      </c>
    </row>
    <row r="6" spans="1:9" x14ac:dyDescent="0.3">
      <c r="A6" t="s">
        <v>77</v>
      </c>
      <c r="B6">
        <v>13.048348402532012</v>
      </c>
      <c r="C6">
        <v>11.719164913388635</v>
      </c>
      <c r="D6">
        <f t="shared" si="0"/>
        <v>9.7835345769246871</v>
      </c>
      <c r="E6">
        <v>16</v>
      </c>
      <c r="F6">
        <f t="shared" si="1"/>
        <v>6.2164654230753129</v>
      </c>
    </row>
    <row r="7" spans="1:9" x14ac:dyDescent="0.3">
      <c r="A7" t="s">
        <v>78</v>
      </c>
      <c r="B7">
        <v>14.377307735774931</v>
      </c>
      <c r="C7">
        <v>14.885503750371367</v>
      </c>
      <c r="D7">
        <f t="shared" si="0"/>
        <v>11.529622156422336</v>
      </c>
      <c r="E7">
        <v>13</v>
      </c>
      <c r="F7">
        <f t="shared" si="1"/>
        <v>1.4703778435776638</v>
      </c>
      <c r="H7" t="s">
        <v>15</v>
      </c>
      <c r="I7">
        <f>AVERAGE(TableCRY[DIFF])/5</f>
        <v>0.78422191504788341</v>
      </c>
    </row>
    <row r="8" spans="1:9" x14ac:dyDescent="0.3">
      <c r="A8" t="s">
        <v>79</v>
      </c>
      <c r="B8">
        <v>17.01612905275579</v>
      </c>
      <c r="C8">
        <v>17.583842574990435</v>
      </c>
      <c r="D8">
        <f t="shared" si="0"/>
        <v>13.632949534439588</v>
      </c>
      <c r="E8">
        <v>13</v>
      </c>
      <c r="F8">
        <f t="shared" si="1"/>
        <v>0.63294953443958768</v>
      </c>
    </row>
    <row r="9" spans="1:9" x14ac:dyDescent="0.3">
      <c r="A9" t="s">
        <v>80</v>
      </c>
      <c r="B9">
        <v>17.969389421907067</v>
      </c>
      <c r="C9">
        <v>14.092422740518174</v>
      </c>
      <c r="D9">
        <f t="shared" si="0"/>
        <v>12.695619680077767</v>
      </c>
      <c r="E9">
        <v>15</v>
      </c>
      <c r="F9">
        <f t="shared" si="1"/>
        <v>2.3043803199222328</v>
      </c>
    </row>
    <row r="10" spans="1:9" x14ac:dyDescent="0.3">
      <c r="A10" t="s">
        <v>81</v>
      </c>
      <c r="B10">
        <v>22.588235291903828</v>
      </c>
      <c r="C10">
        <v>19.280219011112607</v>
      </c>
      <c r="D10">
        <f t="shared" si="0"/>
        <v>16.553780715739627</v>
      </c>
      <c r="E10">
        <v>11</v>
      </c>
      <c r="F10">
        <f t="shared" si="1"/>
        <v>5.5537807157396273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82</v>
      </c>
      <c r="B2">
        <v>19.694805194805195</v>
      </c>
      <c r="C2">
        <v>16.213737703856253</v>
      </c>
      <c r="D2">
        <f t="shared" ref="D2:D10" si="0">B2*$I$2+C2*$I$3</f>
        <v>18.95051549360263</v>
      </c>
      <c r="E2">
        <v>13</v>
      </c>
      <c r="F2">
        <f t="shared" ref="F2:F10" si="1">ABS(D2-E2)</f>
        <v>5.9505154936026301</v>
      </c>
      <c r="H2" t="s">
        <v>7</v>
      </c>
      <c r="I2">
        <v>0.56623618362256667</v>
      </c>
    </row>
    <row r="3" spans="1:9" x14ac:dyDescent="0.3">
      <c r="A3" t="s">
        <v>83</v>
      </c>
      <c r="B3">
        <v>28.51233827916862</v>
      </c>
      <c r="C3">
        <v>11.85508313176568</v>
      </c>
      <c r="D3">
        <f t="shared" si="0"/>
        <v>21.846863679338956</v>
      </c>
      <c r="E3">
        <v>17</v>
      </c>
      <c r="F3">
        <f t="shared" si="1"/>
        <v>4.8468636793389557</v>
      </c>
      <c r="H3" t="s">
        <v>9</v>
      </c>
      <c r="I3">
        <v>0.48098743826671286</v>
      </c>
    </row>
    <row r="4" spans="1:9" x14ac:dyDescent="0.3">
      <c r="A4" t="s">
        <v>84</v>
      </c>
      <c r="B4">
        <v>13.012812370847275</v>
      </c>
      <c r="C4">
        <v>15.365007323215453</v>
      </c>
      <c r="D4">
        <f t="shared" si="0"/>
        <v>14.758700726407767</v>
      </c>
      <c r="E4">
        <v>16</v>
      </c>
      <c r="F4">
        <f t="shared" si="1"/>
        <v>1.241299273592233</v>
      </c>
    </row>
    <row r="5" spans="1:9" x14ac:dyDescent="0.3">
      <c r="A5" t="s">
        <v>85</v>
      </c>
      <c r="B5">
        <v>13.496874658734043</v>
      </c>
      <c r="C5">
        <v>13.418088872025031</v>
      </c>
      <c r="D5">
        <f t="shared" si="0"/>
        <v>14.096350990584103</v>
      </c>
      <c r="E5">
        <v>20</v>
      </c>
      <c r="F5">
        <f t="shared" si="1"/>
        <v>5.9036490094158971</v>
      </c>
      <c r="H5" t="s">
        <v>12</v>
      </c>
      <c r="I5" cm="1">
        <f t="array" ref="I5">(SUM(TableEVE[PP]-TableEVE[AP]))^2</f>
        <v>1.5461673742331831E-28</v>
      </c>
    </row>
    <row r="6" spans="1:9" x14ac:dyDescent="0.3">
      <c r="A6" t="s">
        <v>86</v>
      </c>
      <c r="B6">
        <v>14.190968525668215</v>
      </c>
      <c r="C6">
        <v>15.849314791824757</v>
      </c>
      <c r="D6">
        <f t="shared" si="0"/>
        <v>15.65876117988484</v>
      </c>
      <c r="E6">
        <v>15</v>
      </c>
      <c r="F6">
        <f t="shared" si="1"/>
        <v>0.65876117988483962</v>
      </c>
    </row>
    <row r="7" spans="1:9" x14ac:dyDescent="0.3">
      <c r="A7" t="s">
        <v>87</v>
      </c>
      <c r="B7">
        <v>14.628338090425597</v>
      </c>
      <c r="C7">
        <v>13.994814516183125</v>
      </c>
      <c r="D7">
        <f t="shared" si="0"/>
        <v>15.014424316219941</v>
      </c>
      <c r="E7">
        <v>12</v>
      </c>
      <c r="F7">
        <f t="shared" si="1"/>
        <v>3.0144243162199409</v>
      </c>
      <c r="H7" t="s">
        <v>15</v>
      </c>
      <c r="I7">
        <f>AVERAGE(TableEVE[DIFF])/5</f>
        <v>0.78313637394037228</v>
      </c>
    </row>
    <row r="8" spans="1:9" x14ac:dyDescent="0.3">
      <c r="A8" t="s">
        <v>88</v>
      </c>
      <c r="B8">
        <v>13.40699979347678</v>
      </c>
      <c r="C8">
        <v>15.714496359744661</v>
      </c>
      <c r="D8">
        <f t="shared" si="0"/>
        <v>15.150003744612</v>
      </c>
      <c r="E8">
        <v>12</v>
      </c>
      <c r="F8">
        <f t="shared" si="1"/>
        <v>3.1500037446120004</v>
      </c>
    </row>
    <row r="9" spans="1:9" x14ac:dyDescent="0.3">
      <c r="A9" t="s">
        <v>89</v>
      </c>
      <c r="B9">
        <v>17.225215530697199</v>
      </c>
      <c r="C9">
        <v>11.697050612089903</v>
      </c>
      <c r="D9">
        <f t="shared" si="0"/>
        <v>15.379674713363354</v>
      </c>
      <c r="E9">
        <v>23</v>
      </c>
      <c r="F9">
        <f t="shared" si="1"/>
        <v>7.6203252866366462</v>
      </c>
    </row>
    <row r="10" spans="1:9" x14ac:dyDescent="0.3">
      <c r="A10" t="s">
        <v>90</v>
      </c>
      <c r="B10">
        <v>14.5786835302345</v>
      </c>
      <c r="C10">
        <v>12.245074534190493</v>
      </c>
      <c r="D10">
        <f t="shared" si="0"/>
        <v>14.144705155986397</v>
      </c>
      <c r="E10">
        <v>17</v>
      </c>
      <c r="F10">
        <f t="shared" si="1"/>
        <v>2.8552948440136028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8.0378652997550866</v>
      </c>
      <c r="C2">
        <v>13.46689238548309</v>
      </c>
      <c r="D2">
        <f t="shared" ref="D2:D8" si="0">B2*$I$2+C2*$I$3</f>
        <v>12.121259242602413</v>
      </c>
      <c r="E2">
        <v>26</v>
      </c>
      <c r="F2">
        <f t="shared" ref="F2:F8" si="1">ABS(D2-E2)</f>
        <v>13.878740757397587</v>
      </c>
      <c r="H2" t="s">
        <v>7</v>
      </c>
      <c r="I2">
        <v>0.53140318535200359</v>
      </c>
    </row>
    <row r="3" spans="1:9" x14ac:dyDescent="0.3">
      <c r="A3" t="s">
        <v>92</v>
      </c>
      <c r="B3">
        <v>7.7977834445340219</v>
      </c>
      <c r="C3">
        <v>20.164196438564012</v>
      </c>
      <c r="D3">
        <f t="shared" si="0"/>
        <v>15.897567573998341</v>
      </c>
      <c r="E3">
        <v>17</v>
      </c>
      <c r="F3">
        <f t="shared" si="1"/>
        <v>1.1024324260016591</v>
      </c>
      <c r="H3" t="s">
        <v>9</v>
      </c>
      <c r="I3">
        <v>0.58290448859190369</v>
      </c>
    </row>
    <row r="4" spans="1:9" x14ac:dyDescent="0.3">
      <c r="A4" t="s">
        <v>93</v>
      </c>
      <c r="B4">
        <v>19.350243384866509</v>
      </c>
      <c r="C4">
        <v>22.974318837929616</v>
      </c>
      <c r="D4">
        <f t="shared" si="0"/>
        <v>23.6746145450253</v>
      </c>
      <c r="E4">
        <v>10</v>
      </c>
      <c r="F4">
        <f t="shared" si="1"/>
        <v>13.6746145450253</v>
      </c>
    </row>
    <row r="5" spans="1:9" x14ac:dyDescent="0.3">
      <c r="A5" t="s">
        <v>94</v>
      </c>
      <c r="B5">
        <v>19.403570656254999</v>
      </c>
      <c r="C5">
        <v>15.084668693161698</v>
      </c>
      <c r="D5">
        <f t="shared" si="0"/>
        <v>19.104040344102295</v>
      </c>
      <c r="E5">
        <v>12</v>
      </c>
      <c r="F5">
        <f t="shared" si="1"/>
        <v>7.1040403441022946</v>
      </c>
      <c r="H5" t="s">
        <v>12</v>
      </c>
      <c r="I5" cm="1">
        <f t="array" ref="I5">(SUM(TableFUL[PP]-TableFUL[AP]))^2</f>
        <v>1.135959703518257E-28</v>
      </c>
    </row>
    <row r="6" spans="1:9" x14ac:dyDescent="0.3">
      <c r="A6" t="s">
        <v>95</v>
      </c>
      <c r="B6">
        <v>10.860215606593115</v>
      </c>
      <c r="C6">
        <v>15.437660827209312</v>
      </c>
      <c r="D6">
        <f t="shared" si="0"/>
        <v>14.769834956492833</v>
      </c>
      <c r="E6">
        <v>21</v>
      </c>
      <c r="F6">
        <f t="shared" si="1"/>
        <v>6.2301650435071672</v>
      </c>
    </row>
    <row r="7" spans="1:9" x14ac:dyDescent="0.3">
      <c r="A7" t="s">
        <v>96</v>
      </c>
      <c r="B7">
        <v>9.8978308017661014</v>
      </c>
      <c r="C7">
        <v>12.822164396980629</v>
      </c>
      <c r="D7">
        <f t="shared" si="0"/>
        <v>12.733835996596991</v>
      </c>
      <c r="E7">
        <v>27</v>
      </c>
      <c r="F7">
        <f t="shared" si="1"/>
        <v>14.266164003403009</v>
      </c>
      <c r="H7" t="s">
        <v>15</v>
      </c>
      <c r="I7">
        <f>AVERAGE(TableFUL[DIFF])/5</f>
        <v>2.0272858417319668</v>
      </c>
    </row>
    <row r="8" spans="1:9" x14ac:dyDescent="0.3">
      <c r="A8" t="s">
        <v>97</v>
      </c>
      <c r="B8">
        <v>38.249999999709715</v>
      </c>
      <c r="C8">
        <v>24.656999187536488</v>
      </c>
      <c r="D8">
        <f t="shared" si="0"/>
        <v>34.698847341181818</v>
      </c>
      <c r="E8">
        <v>20</v>
      </c>
      <c r="F8">
        <f t="shared" si="1"/>
        <v>14.698847341181818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19.629715740054579</v>
      </c>
      <c r="C2">
        <v>20.681989784724117</v>
      </c>
      <c r="D2">
        <f t="shared" ref="D2:D8" si="0">B2*$I$2+C2*$I$3</f>
        <v>16.263926712873047</v>
      </c>
      <c r="E2">
        <v>15</v>
      </c>
      <c r="F2">
        <f t="shared" ref="F2:F8" si="1">ABS(D2-E2)</f>
        <v>1.2639267128730474</v>
      </c>
      <c r="H2" t="s">
        <v>7</v>
      </c>
      <c r="I2">
        <v>0.39761401589638001</v>
      </c>
    </row>
    <row r="3" spans="1:9" x14ac:dyDescent="0.3">
      <c r="A3" t="s">
        <v>99</v>
      </c>
      <c r="B3">
        <v>19.737388248153543</v>
      </c>
      <c r="C3">
        <v>17.547528044705839</v>
      </c>
      <c r="D3">
        <f t="shared" si="0"/>
        <v>15.024752630838037</v>
      </c>
      <c r="E3">
        <v>10</v>
      </c>
      <c r="F3">
        <f t="shared" si="1"/>
        <v>5.0247526308380372</v>
      </c>
      <c r="H3" t="s">
        <v>9</v>
      </c>
      <c r="I3">
        <v>0.4089972335647008</v>
      </c>
    </row>
    <row r="4" spans="1:9" x14ac:dyDescent="0.3">
      <c r="A4" t="s">
        <v>100</v>
      </c>
      <c r="B4">
        <v>9.4285178221266417</v>
      </c>
      <c r="C4">
        <v>10.003972480676051</v>
      </c>
      <c r="D4">
        <f t="shared" si="0"/>
        <v>7.8405079044602672</v>
      </c>
      <c r="E4">
        <v>14</v>
      </c>
      <c r="F4">
        <f t="shared" si="1"/>
        <v>6.1594920955397328</v>
      </c>
    </row>
    <row r="5" spans="1:9" x14ac:dyDescent="0.3">
      <c r="A5" t="s">
        <v>101</v>
      </c>
      <c r="B5">
        <v>23.186995368946683</v>
      </c>
      <c r="C5">
        <v>17.247828635128769</v>
      </c>
      <c r="D5">
        <f t="shared" si="0"/>
        <v>16.27378854198335</v>
      </c>
      <c r="E5">
        <v>15</v>
      </c>
      <c r="F5">
        <f t="shared" si="1"/>
        <v>1.2737885419833503</v>
      </c>
      <c r="H5" t="s">
        <v>12</v>
      </c>
      <c r="I5" cm="1">
        <f t="array" ref="I5">(SUM(TableLEE[PP]-TableLEE[AP]))^2</f>
        <v>4.543838814073028E-28</v>
      </c>
    </row>
    <row r="6" spans="1:9" x14ac:dyDescent="0.3">
      <c r="A6" t="s">
        <v>102</v>
      </c>
      <c r="B6">
        <v>12.171875</v>
      </c>
      <c r="C6">
        <v>13.095057521720292</v>
      </c>
      <c r="D6">
        <f t="shared" si="0"/>
        <v>10.195550399492976</v>
      </c>
      <c r="E6">
        <v>14</v>
      </c>
      <c r="F6">
        <f t="shared" si="1"/>
        <v>3.8044496005070236</v>
      </c>
    </row>
    <row r="7" spans="1:9" x14ac:dyDescent="0.3">
      <c r="A7" t="s">
        <v>103</v>
      </c>
      <c r="B7">
        <v>17.873563218390803</v>
      </c>
      <c r="C7">
        <v>17.166177701950737</v>
      </c>
      <c r="D7">
        <f t="shared" si="0"/>
        <v>14.127698440620097</v>
      </c>
      <c r="E7">
        <v>15</v>
      </c>
      <c r="F7">
        <f t="shared" si="1"/>
        <v>0.87230155937990261</v>
      </c>
      <c r="H7" t="s">
        <v>15</v>
      </c>
      <c r="I7">
        <f>AVERAGE(TableLEE[DIFF])/5</f>
        <v>0.61921390031009416</v>
      </c>
    </row>
    <row r="8" spans="1:9" x14ac:dyDescent="0.3">
      <c r="A8" t="s">
        <v>104</v>
      </c>
      <c r="B8">
        <v>15.285418184842683</v>
      </c>
      <c r="C8">
        <v>24.92945678809437</v>
      </c>
      <c r="D8">
        <f t="shared" si="0"/>
        <v>16.273775369732203</v>
      </c>
      <c r="E8">
        <v>13</v>
      </c>
      <c r="F8">
        <f t="shared" si="1"/>
        <v>3.2737753697322027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105</v>
      </c>
      <c r="B2">
        <v>12.231295122940145</v>
      </c>
      <c r="C2">
        <v>17.69205173562721</v>
      </c>
      <c r="D2">
        <f>B2*$I$2+C2*$I$3</f>
        <v>15.050671870699851</v>
      </c>
      <c r="E2">
        <v>20</v>
      </c>
      <c r="F2">
        <f>ABS(D2-E2)</f>
        <v>4.9493281293001488</v>
      </c>
      <c r="H2" t="s">
        <v>7</v>
      </c>
      <c r="I2">
        <v>0.47066076614690366</v>
      </c>
    </row>
    <row r="3" spans="1:9" x14ac:dyDescent="0.3">
      <c r="A3" t="s">
        <v>106</v>
      </c>
      <c r="B3">
        <v>16.16639022570272</v>
      </c>
      <c r="C3">
        <v>17.498671114888008</v>
      </c>
      <c r="D3">
        <f>B3*$I$2+C3*$I$3</f>
        <v>16.801181213742623</v>
      </c>
      <c r="E3">
        <v>10</v>
      </c>
      <c r="F3">
        <f>ABS(D3-E3)</f>
        <v>6.8011812137426233</v>
      </c>
      <c r="H3" t="s">
        <v>9</v>
      </c>
      <c r="I3">
        <v>0.5253139249221439</v>
      </c>
    </row>
    <row r="4" spans="1:9" x14ac:dyDescent="0.3">
      <c r="A4" t="s">
        <v>107</v>
      </c>
      <c r="B4">
        <v>22.90617602245522</v>
      </c>
      <c r="C4">
        <v>30.469828110259876</v>
      </c>
      <c r="D4">
        <f>B4*$I$2+C4*$I$3</f>
        <v>26.787263352528292</v>
      </c>
      <c r="E4">
        <v>22</v>
      </c>
      <c r="F4">
        <f>ABS(D4-E4)</f>
        <v>4.7872633525282922</v>
      </c>
    </row>
    <row r="5" spans="1:9" x14ac:dyDescent="0.3">
      <c r="A5" t="s">
        <v>108</v>
      </c>
      <c r="B5">
        <v>20.165619601231771</v>
      </c>
      <c r="C5">
        <v>16.437942954333224</v>
      </c>
      <c r="D5">
        <f>B5*$I$2+C5*$I$3</f>
        <v>18.12624630232985</v>
      </c>
      <c r="E5">
        <v>28</v>
      </c>
      <c r="F5">
        <f>ABS(D5-E5)</f>
        <v>9.8737536976701499</v>
      </c>
      <c r="H5" t="s">
        <v>12</v>
      </c>
      <c r="I5" cm="1">
        <f t="array" ref="I5">(SUM(TableLEI[PP]-TableLEI[AP]))^2</f>
        <v>0</v>
      </c>
    </row>
    <row r="6" spans="1:9" x14ac:dyDescent="0.3">
      <c r="A6" t="s">
        <v>109</v>
      </c>
      <c r="B6">
        <v>15.571428571428571</v>
      </c>
      <c r="C6">
        <v>15.049623442669507</v>
      </c>
      <c r="D6">
        <f>B6*$I$2+C6*$I$3</f>
        <v>15.234637260699383</v>
      </c>
      <c r="E6">
        <v>12</v>
      </c>
      <c r="F6">
        <f>ABS(D6-E6)</f>
        <v>3.2346372606993832</v>
      </c>
    </row>
    <row r="7" spans="1:9" x14ac:dyDescent="0.3">
      <c r="H7" t="s">
        <v>15</v>
      </c>
      <c r="I7">
        <f>AVERAGE(TableLEI[DIFF])/5</f>
        <v>1.185846546157624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110</v>
      </c>
      <c r="B2">
        <v>4.2600937885345127</v>
      </c>
      <c r="C2">
        <v>13.571359118962171</v>
      </c>
      <c r="D2">
        <f t="shared" ref="D2:D14" si="0">B2*$I$2+C2*$I$3</f>
        <v>8.4646620593363977</v>
      </c>
      <c r="E2">
        <v>12</v>
      </c>
      <c r="F2">
        <f t="shared" ref="F2:F14" si="1">ABS(D2-E2)</f>
        <v>3.5353379406636023</v>
      </c>
      <c r="H2" t="s">
        <v>7</v>
      </c>
      <c r="I2">
        <v>0.51857458529051437</v>
      </c>
    </row>
    <row r="3" spans="1:9" x14ac:dyDescent="0.3">
      <c r="A3" t="s">
        <v>111</v>
      </c>
      <c r="B3">
        <v>32.851042166101578</v>
      </c>
      <c r="C3">
        <v>24.361783079164361</v>
      </c>
      <c r="D3">
        <f t="shared" si="0"/>
        <v>28.264862485814323</v>
      </c>
      <c r="E3">
        <v>13</v>
      </c>
      <c r="F3">
        <f t="shared" si="1"/>
        <v>15.264862485814323</v>
      </c>
      <c r="H3" t="s">
        <v>9</v>
      </c>
      <c r="I3">
        <v>0.46093288334755872</v>
      </c>
    </row>
    <row r="4" spans="1:9" x14ac:dyDescent="0.3">
      <c r="A4" t="s">
        <v>112</v>
      </c>
      <c r="B4">
        <v>10.980392186548652</v>
      </c>
      <c r="C4">
        <v>12.978416023894166</v>
      </c>
      <c r="D4">
        <f t="shared" si="0"/>
        <v>11.676331043644367</v>
      </c>
      <c r="E4">
        <v>10</v>
      </c>
      <c r="F4">
        <f t="shared" si="1"/>
        <v>1.6763310436443675</v>
      </c>
    </row>
    <row r="5" spans="1:9" x14ac:dyDescent="0.3">
      <c r="A5" t="s">
        <v>113</v>
      </c>
      <c r="B5">
        <v>48.671641785877327</v>
      </c>
      <c r="C5">
        <v>21.295711559658873</v>
      </c>
      <c r="D5">
        <f t="shared" si="0"/>
        <v>35.055770186651309</v>
      </c>
      <c r="E5">
        <v>17</v>
      </c>
      <c r="F5">
        <f t="shared" si="1"/>
        <v>18.055770186651309</v>
      </c>
      <c r="H5" t="s">
        <v>12</v>
      </c>
      <c r="I5" cm="1">
        <f t="array" ref="I5">(SUM(TableLIV[PP]-TableLIV[AP]))^2</f>
        <v>2.0194839173657902E-28</v>
      </c>
    </row>
    <row r="6" spans="1:9" x14ac:dyDescent="0.3">
      <c r="A6" t="s">
        <v>114</v>
      </c>
      <c r="B6">
        <v>24.920634920634921</v>
      </c>
      <c r="C6">
        <v>24.05279667191467</v>
      </c>
      <c r="D6">
        <f t="shared" si="0"/>
        <v>24.009932841702756</v>
      </c>
      <c r="E6">
        <v>29</v>
      </c>
      <c r="F6">
        <f t="shared" si="1"/>
        <v>4.9900671582972436</v>
      </c>
    </row>
    <row r="7" spans="1:9" x14ac:dyDescent="0.3">
      <c r="A7" t="s">
        <v>115</v>
      </c>
      <c r="B7">
        <v>22.841180179354538</v>
      </c>
      <c r="C7">
        <v>25.180783484321779</v>
      </c>
      <c r="D7">
        <f t="shared" si="0"/>
        <v>23.45150667543372</v>
      </c>
      <c r="E7">
        <v>28</v>
      </c>
      <c r="F7">
        <f t="shared" si="1"/>
        <v>4.5484933245662802</v>
      </c>
      <c r="H7" t="s">
        <v>15</v>
      </c>
      <c r="I7">
        <f>AVERAGE(TableLIV[DIFF])/5</f>
        <v>1.2509634839472312</v>
      </c>
    </row>
    <row r="8" spans="1:9" x14ac:dyDescent="0.3">
      <c r="A8" t="s">
        <v>116</v>
      </c>
      <c r="B8">
        <v>13.055555398617795</v>
      </c>
      <c r="C8">
        <v>13.697576295949251</v>
      </c>
      <c r="D8">
        <f t="shared" si="0"/>
        <v>13.083942563540621</v>
      </c>
      <c r="E8">
        <v>10</v>
      </c>
      <c r="F8">
        <f t="shared" si="1"/>
        <v>3.0839425635406208</v>
      </c>
    </row>
    <row r="9" spans="1:9" x14ac:dyDescent="0.3">
      <c r="A9" t="s">
        <v>117</v>
      </c>
      <c r="B9">
        <v>38.98559466549861</v>
      </c>
      <c r="C9">
        <v>29.333461334447144</v>
      </c>
      <c r="D9">
        <f t="shared" si="0"/>
        <v>33.737695497415885</v>
      </c>
      <c r="E9">
        <v>48</v>
      </c>
      <c r="F9">
        <f t="shared" si="1"/>
        <v>14.262304502584115</v>
      </c>
    </row>
    <row r="10" spans="1:9" x14ac:dyDescent="0.3">
      <c r="A10" t="s">
        <v>118</v>
      </c>
      <c r="B10">
        <v>33.625495429613871</v>
      </c>
      <c r="C10">
        <v>24.571144908433112</v>
      </c>
      <c r="D10">
        <f t="shared" si="0"/>
        <v>28.762976017394863</v>
      </c>
      <c r="E10">
        <v>28</v>
      </c>
      <c r="F10">
        <f t="shared" si="1"/>
        <v>0.76297601739486254</v>
      </c>
    </row>
    <row r="11" spans="1:9" x14ac:dyDescent="0.3">
      <c r="A11" t="s">
        <v>119</v>
      </c>
      <c r="B11">
        <v>26.102732619019221</v>
      </c>
      <c r="C11">
        <v>22.056264460856525</v>
      </c>
      <c r="D11">
        <f t="shared" si="0"/>
        <v>23.702671316675961</v>
      </c>
      <c r="E11">
        <v>32</v>
      </c>
      <c r="F11">
        <f t="shared" si="1"/>
        <v>8.2973286833240394</v>
      </c>
    </row>
    <row r="12" spans="1:9" x14ac:dyDescent="0.3">
      <c r="A12" t="s">
        <v>120</v>
      </c>
      <c r="B12">
        <v>28</v>
      </c>
      <c r="C12">
        <v>27.901635689667437</v>
      </c>
      <c r="D12">
        <f t="shared" si="0"/>
        <v>27.380869776685962</v>
      </c>
      <c r="E12">
        <v>26</v>
      </c>
      <c r="F12">
        <f t="shared" si="1"/>
        <v>1.3808697766859623</v>
      </c>
    </row>
    <row r="13" spans="1:9" x14ac:dyDescent="0.3">
      <c r="A13" t="s">
        <v>121</v>
      </c>
      <c r="B13">
        <v>10.473804512867629</v>
      </c>
      <c r="C13">
        <v>15.186836469640674</v>
      </c>
      <c r="D13">
        <f t="shared" si="0"/>
        <v>12.431561154553584</v>
      </c>
      <c r="E13">
        <v>12</v>
      </c>
      <c r="F13">
        <f t="shared" si="1"/>
        <v>0.43156115455358446</v>
      </c>
    </row>
    <row r="14" spans="1:9" x14ac:dyDescent="0.3">
      <c r="A14" t="s">
        <v>122</v>
      </c>
      <c r="B14">
        <v>18.717248541147296</v>
      </c>
      <c r="C14">
        <v>24.452429818609115</v>
      </c>
      <c r="D14">
        <f t="shared" si="0"/>
        <v>20.977218381150266</v>
      </c>
      <c r="E14">
        <v>26</v>
      </c>
      <c r="F14">
        <f t="shared" si="1"/>
        <v>5.0227816188497343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123</v>
      </c>
      <c r="B2">
        <v>25.395963215144629</v>
      </c>
      <c r="C2">
        <v>18.563529235641919</v>
      </c>
      <c r="D2">
        <f t="shared" ref="D2:D14" si="0">B2*$I$2+C2*$I$3</f>
        <v>18.452891963371876</v>
      </c>
      <c r="E2">
        <v>11</v>
      </c>
      <c r="F2">
        <f t="shared" ref="F2:F14" si="1">ABS(D2-E2)</f>
        <v>7.4528919633718758</v>
      </c>
      <c r="H2" t="s">
        <v>7</v>
      </c>
      <c r="I2">
        <v>0.4209995288933352</v>
      </c>
    </row>
    <row r="3" spans="1:9" x14ac:dyDescent="0.3">
      <c r="A3" t="s">
        <v>124</v>
      </c>
      <c r="B3">
        <v>19.277319889343612</v>
      </c>
      <c r="C3">
        <v>18.361788945935665</v>
      </c>
      <c r="D3">
        <f t="shared" si="0"/>
        <v>15.792600652802326</v>
      </c>
      <c r="E3">
        <v>12</v>
      </c>
      <c r="F3">
        <f t="shared" si="1"/>
        <v>3.7926006528023262</v>
      </c>
      <c r="H3" t="s">
        <v>9</v>
      </c>
      <c r="I3">
        <v>0.41808878664634674</v>
      </c>
    </row>
    <row r="4" spans="1:9" x14ac:dyDescent="0.3">
      <c r="A4" t="s">
        <v>125</v>
      </c>
      <c r="B4">
        <v>28.775745734072601</v>
      </c>
      <c r="C4">
        <v>21.919969119950597</v>
      </c>
      <c r="D4">
        <f t="shared" si="0"/>
        <v>21.2790686902845</v>
      </c>
      <c r="E4">
        <v>25</v>
      </c>
      <c r="F4">
        <f t="shared" si="1"/>
        <v>3.7209313097154997</v>
      </c>
    </row>
    <row r="5" spans="1:9" x14ac:dyDescent="0.3">
      <c r="A5" t="s">
        <v>126</v>
      </c>
      <c r="B5">
        <v>27.117175848528518</v>
      </c>
      <c r="C5">
        <v>22.301723483323418</v>
      </c>
      <c r="D5">
        <f t="shared" si="0"/>
        <v>20.740418768413257</v>
      </c>
      <c r="E5">
        <v>27</v>
      </c>
      <c r="F5">
        <f t="shared" si="1"/>
        <v>6.2595812315867434</v>
      </c>
      <c r="H5" t="s">
        <v>12</v>
      </c>
      <c r="I5" cm="1">
        <f t="array" ref="I5">(SUM(TableMCI[PP]-TableMCI[AP]))^2</f>
        <v>9.1192320643548965E-28</v>
      </c>
    </row>
    <row r="6" spans="1:9" x14ac:dyDescent="0.3">
      <c r="A6" t="s">
        <v>127</v>
      </c>
      <c r="B6">
        <v>19.022395608791559</v>
      </c>
      <c r="C6">
        <v>17.916377365178558</v>
      </c>
      <c r="D6">
        <f t="shared" si="0"/>
        <v>15.499056063429469</v>
      </c>
      <c r="E6">
        <v>20</v>
      </c>
      <c r="F6">
        <f t="shared" si="1"/>
        <v>4.5009439365705308</v>
      </c>
    </row>
    <row r="7" spans="1:9" x14ac:dyDescent="0.3">
      <c r="A7" t="s">
        <v>128</v>
      </c>
      <c r="B7">
        <v>20.27149520268194</v>
      </c>
      <c r="C7">
        <v>20.533182199494515</v>
      </c>
      <c r="D7">
        <f t="shared" si="0"/>
        <v>17.118983162067629</v>
      </c>
      <c r="E7">
        <v>13</v>
      </c>
      <c r="F7">
        <f t="shared" si="1"/>
        <v>4.1189831620676287</v>
      </c>
      <c r="H7" t="s">
        <v>15</v>
      </c>
      <c r="I7">
        <f>AVERAGE(TableMCI[DIFF])/5</f>
        <v>1.0006125539850739</v>
      </c>
    </row>
    <row r="8" spans="1:9" x14ac:dyDescent="0.3">
      <c r="A8" t="s">
        <v>129</v>
      </c>
      <c r="B8">
        <v>15.812775428566219</v>
      </c>
      <c r="C8">
        <v>16.19263547718608</v>
      </c>
      <c r="D8">
        <f t="shared" si="0"/>
        <v>13.4271303251858</v>
      </c>
      <c r="E8">
        <v>16</v>
      </c>
      <c r="F8">
        <f t="shared" si="1"/>
        <v>2.5728696748141999</v>
      </c>
    </row>
    <row r="9" spans="1:9" x14ac:dyDescent="0.3">
      <c r="A9" t="s">
        <v>130</v>
      </c>
      <c r="B9">
        <v>19.705882352941178</v>
      </c>
      <c r="C9">
        <v>24.699352655472104</v>
      </c>
      <c r="D9">
        <f t="shared" si="0"/>
        <v>18.622689569692277</v>
      </c>
      <c r="E9">
        <v>20</v>
      </c>
      <c r="F9">
        <f t="shared" si="1"/>
        <v>1.3773104303077233</v>
      </c>
    </row>
    <row r="10" spans="1:9" x14ac:dyDescent="0.3">
      <c r="A10" t="s">
        <v>131</v>
      </c>
      <c r="B10">
        <v>9.7341025705403261</v>
      </c>
      <c r="C10">
        <v>22.772051650482435</v>
      </c>
      <c r="D10">
        <f t="shared" si="0"/>
        <v>13.618792040395018</v>
      </c>
      <c r="E10">
        <v>14</v>
      </c>
      <c r="F10">
        <f t="shared" si="1"/>
        <v>0.38120795960498199</v>
      </c>
    </row>
    <row r="11" spans="1:9" x14ac:dyDescent="0.3">
      <c r="A11" t="s">
        <v>132</v>
      </c>
      <c r="B11">
        <v>20.162482604333594</v>
      </c>
      <c r="C11">
        <v>23.020615394790561</v>
      </c>
      <c r="D11">
        <f t="shared" si="0"/>
        <v>18.113056836004702</v>
      </c>
      <c r="E11">
        <v>28</v>
      </c>
      <c r="F11">
        <f t="shared" si="1"/>
        <v>9.8869431639952978</v>
      </c>
    </row>
    <row r="12" spans="1:9" x14ac:dyDescent="0.3">
      <c r="A12" t="s">
        <v>133</v>
      </c>
      <c r="B12">
        <v>14.82608695652174</v>
      </c>
      <c r="C12">
        <v>17.164299891888575</v>
      </c>
      <c r="D12">
        <f t="shared" si="0"/>
        <v>13.41797693946099</v>
      </c>
      <c r="E12">
        <v>15</v>
      </c>
      <c r="F12">
        <f t="shared" si="1"/>
        <v>1.5820230605390098</v>
      </c>
    </row>
    <row r="13" spans="1:9" x14ac:dyDescent="0.3">
      <c r="A13" t="s">
        <v>134</v>
      </c>
      <c r="B13">
        <v>57.388888884454914</v>
      </c>
      <c r="C13">
        <v>40.648631546727195</v>
      </c>
      <c r="D13">
        <f t="shared" si="0"/>
        <v>41.155432226273064</v>
      </c>
      <c r="E13">
        <v>24</v>
      </c>
      <c r="F13">
        <f t="shared" si="1"/>
        <v>17.155432226273064</v>
      </c>
    </row>
    <row r="14" spans="1:9" x14ac:dyDescent="0.3">
      <c r="A14" t="s">
        <v>135</v>
      </c>
      <c r="B14">
        <v>10.719037611054226</v>
      </c>
      <c r="C14">
        <v>22.122556915163113</v>
      </c>
      <c r="D14">
        <f t="shared" si="0"/>
        <v>13.761902762619062</v>
      </c>
      <c r="E14">
        <v>16</v>
      </c>
      <c r="F14">
        <f t="shared" si="1"/>
        <v>2.2380972373809378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136</v>
      </c>
      <c r="B2">
        <v>24.137120699859636</v>
      </c>
      <c r="C2">
        <v>22.694556440316557</v>
      </c>
      <c r="D2">
        <f t="shared" ref="D2:D14" si="0">B2*$I$2+C2*$I$3</f>
        <v>21.679316839761789</v>
      </c>
      <c r="E2">
        <v>14</v>
      </c>
      <c r="F2">
        <f t="shared" ref="F2:F14" si="1">ABS(D2-E2)</f>
        <v>7.679316839761789</v>
      </c>
      <c r="H2" t="s">
        <v>7</v>
      </c>
      <c r="I2">
        <v>0.41071730451920979</v>
      </c>
    </row>
    <row r="3" spans="1:9" x14ac:dyDescent="0.3">
      <c r="A3" t="s">
        <v>137</v>
      </c>
      <c r="B3">
        <v>18.539011273227725</v>
      </c>
      <c r="C3">
        <v>27.681163320917776</v>
      </c>
      <c r="D3">
        <f t="shared" si="0"/>
        <v>21.965336818110352</v>
      </c>
      <c r="E3">
        <v>18</v>
      </c>
      <c r="F3">
        <f t="shared" si="1"/>
        <v>3.9653368181103517</v>
      </c>
      <c r="H3" t="s">
        <v>9</v>
      </c>
      <c r="I3">
        <v>0.5184407863622692</v>
      </c>
    </row>
    <row r="4" spans="1:9" x14ac:dyDescent="0.3">
      <c r="A4" t="s">
        <v>138</v>
      </c>
      <c r="B4">
        <v>18.660584237514271</v>
      </c>
      <c r="C4">
        <v>14.42094323708174</v>
      </c>
      <c r="D4">
        <f t="shared" si="0"/>
        <v>15.14063001070382</v>
      </c>
      <c r="E4">
        <v>17</v>
      </c>
      <c r="F4">
        <f t="shared" si="1"/>
        <v>1.8593699892961801</v>
      </c>
    </row>
    <row r="5" spans="1:9" x14ac:dyDescent="0.3">
      <c r="A5" t="s">
        <v>139</v>
      </c>
      <c r="B5">
        <v>13.316382141665898</v>
      </c>
      <c r="C5">
        <v>14.216616859914675</v>
      </c>
      <c r="D5">
        <f t="shared" si="0"/>
        <v>12.839742603438017</v>
      </c>
      <c r="E5">
        <v>10</v>
      </c>
      <c r="F5">
        <f t="shared" si="1"/>
        <v>2.8397426034380171</v>
      </c>
      <c r="H5" t="s">
        <v>12</v>
      </c>
      <c r="I5" cm="1">
        <f t="array" ref="I5">(SUM(TableMUN[PP]-TableMUN[AP]))^2</f>
        <v>1.135959703518257E-28</v>
      </c>
    </row>
    <row r="6" spans="1:9" x14ac:dyDescent="0.3">
      <c r="A6" t="s">
        <v>140</v>
      </c>
      <c r="B6">
        <v>10.579899998974916</v>
      </c>
      <c r="C6">
        <v>19.805961308667385</v>
      </c>
      <c r="D6">
        <f t="shared" si="0"/>
        <v>14.613566165187965</v>
      </c>
      <c r="E6">
        <v>18</v>
      </c>
      <c r="F6">
        <f t="shared" si="1"/>
        <v>3.3864338348120349</v>
      </c>
    </row>
    <row r="7" spans="1:9" x14ac:dyDescent="0.3">
      <c r="A7" t="s">
        <v>141</v>
      </c>
      <c r="B7">
        <v>15.598824711292568</v>
      </c>
      <c r="C7">
        <v>29.423582127134932</v>
      </c>
      <c r="D7">
        <f t="shared" si="0"/>
        <v>21.661092294676369</v>
      </c>
      <c r="E7">
        <v>24</v>
      </c>
      <c r="F7">
        <f t="shared" si="1"/>
        <v>2.3389077053236313</v>
      </c>
      <c r="H7" t="s">
        <v>15</v>
      </c>
      <c r="I7">
        <f>AVERAGE(TableMUN[DIFF])/5</f>
        <v>1.0884464251000667</v>
      </c>
    </row>
    <row r="8" spans="1:9" x14ac:dyDescent="0.3">
      <c r="A8" t="s">
        <v>142</v>
      </c>
      <c r="B8">
        <v>18.730779145346837</v>
      </c>
      <c r="C8">
        <v>22.071986928251171</v>
      </c>
      <c r="D8">
        <f t="shared" si="0"/>
        <v>19.136073381781745</v>
      </c>
      <c r="E8">
        <v>40</v>
      </c>
      <c r="F8">
        <f t="shared" si="1"/>
        <v>20.863926618218255</v>
      </c>
    </row>
    <row r="9" spans="1:9" x14ac:dyDescent="0.3">
      <c r="A9" t="s">
        <v>143</v>
      </c>
      <c r="B9">
        <v>14.870410687644405</v>
      </c>
      <c r="C9">
        <v>20.867009011630817</v>
      </c>
      <c r="D9">
        <f t="shared" si="0"/>
        <v>16.925843555741398</v>
      </c>
      <c r="E9">
        <v>22</v>
      </c>
      <c r="F9">
        <f t="shared" si="1"/>
        <v>5.0741564442586018</v>
      </c>
    </row>
    <row r="10" spans="1:9" x14ac:dyDescent="0.3">
      <c r="A10" t="s">
        <v>144</v>
      </c>
      <c r="B10">
        <v>19.981839527144015</v>
      </c>
      <c r="C10">
        <v>27.468867127044938</v>
      </c>
      <c r="D10">
        <f t="shared" si="0"/>
        <v>22.447868343749853</v>
      </c>
      <c r="E10">
        <v>18</v>
      </c>
      <c r="F10">
        <f t="shared" si="1"/>
        <v>4.4478683437498532</v>
      </c>
    </row>
    <row r="11" spans="1:9" x14ac:dyDescent="0.3">
      <c r="A11" t="s">
        <v>145</v>
      </c>
      <c r="B11">
        <v>25.499999997019771</v>
      </c>
      <c r="C11">
        <v>24.311958102480279</v>
      </c>
      <c r="D11">
        <f t="shared" si="0"/>
        <v>23.077601940672238</v>
      </c>
      <c r="E11">
        <v>18</v>
      </c>
      <c r="F11">
        <f t="shared" si="1"/>
        <v>5.0776019406722384</v>
      </c>
    </row>
    <row r="12" spans="1:9" x14ac:dyDescent="0.3">
      <c r="A12" t="s">
        <v>146</v>
      </c>
      <c r="B12">
        <v>24.026709009876903</v>
      </c>
      <c r="C12">
        <v>21.757741504678449</v>
      </c>
      <c r="D12">
        <f t="shared" si="0"/>
        <v>21.148285776156531</v>
      </c>
      <c r="E12">
        <v>23</v>
      </c>
      <c r="F12">
        <f t="shared" si="1"/>
        <v>1.8517142238434694</v>
      </c>
    </row>
    <row r="13" spans="1:9" x14ac:dyDescent="0.3">
      <c r="A13" t="s">
        <v>25</v>
      </c>
      <c r="B13">
        <v>17.144294258066655</v>
      </c>
      <c r="C13">
        <v>23.285784630564795</v>
      </c>
      <c r="D13">
        <f t="shared" si="0"/>
        <v>19.113758820489757</v>
      </c>
      <c r="E13">
        <v>15</v>
      </c>
      <c r="F13">
        <f t="shared" si="1"/>
        <v>4.1137588204897568</v>
      </c>
    </row>
    <row r="14" spans="1:9" x14ac:dyDescent="0.3">
      <c r="A14" t="s">
        <v>147</v>
      </c>
      <c r="B14">
        <v>10.809523380427839</v>
      </c>
      <c r="C14">
        <v>24.711067262812534</v>
      </c>
      <c r="D14">
        <f t="shared" si="0"/>
        <v>17.250883449530157</v>
      </c>
      <c r="E14">
        <v>10</v>
      </c>
      <c r="F14">
        <f t="shared" si="1"/>
        <v>7.2508834495301571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148</v>
      </c>
      <c r="B2">
        <v>21.825695312017437</v>
      </c>
      <c r="C2">
        <v>21.847871029664375</v>
      </c>
      <c r="D2">
        <f t="shared" ref="D2:D8" si="0">B2*$I$2+C2*$I$3</f>
        <v>13.426420212142707</v>
      </c>
      <c r="E2">
        <v>17</v>
      </c>
      <c r="F2">
        <f t="shared" ref="F2:F8" si="1">ABS(D2-E2)</f>
        <v>3.5735797878572928</v>
      </c>
      <c r="H2" t="s">
        <v>7</v>
      </c>
      <c r="I2">
        <v>0.29631751348124846</v>
      </c>
    </row>
    <row r="3" spans="1:9" x14ac:dyDescent="0.3">
      <c r="A3" t="s">
        <v>149</v>
      </c>
      <c r="B3">
        <v>39.353559837789511</v>
      </c>
      <c r="C3">
        <v>34.007951136053421</v>
      </c>
      <c r="D3">
        <f t="shared" si="0"/>
        <v>22.493518134041139</v>
      </c>
      <c r="E3">
        <v>14</v>
      </c>
      <c r="F3">
        <f t="shared" si="1"/>
        <v>8.493518134041139</v>
      </c>
      <c r="H3" t="s">
        <v>9</v>
      </c>
      <c r="I3">
        <v>0.31852460305342911</v>
      </c>
    </row>
    <row r="4" spans="1:9" x14ac:dyDescent="0.3">
      <c r="A4" t="s">
        <v>150</v>
      </c>
      <c r="B4">
        <v>14.903680820159453</v>
      </c>
      <c r="C4">
        <v>20.981900502373776</v>
      </c>
      <c r="D4">
        <f t="shared" si="0"/>
        <v>11.099473171172974</v>
      </c>
      <c r="E4">
        <v>11</v>
      </c>
      <c r="F4">
        <f t="shared" si="1"/>
        <v>9.9473171172974162E-2</v>
      </c>
    </row>
    <row r="5" spans="1:9" x14ac:dyDescent="0.3">
      <c r="A5" t="s">
        <v>151</v>
      </c>
      <c r="B5">
        <v>16.310679645330708</v>
      </c>
      <c r="C5">
        <v>23.019495968828682</v>
      </c>
      <c r="D5">
        <f t="shared" si="0"/>
        <v>12.165415851654775</v>
      </c>
      <c r="E5">
        <v>17</v>
      </c>
      <c r="F5">
        <f t="shared" si="1"/>
        <v>4.8345841483452254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152</v>
      </c>
      <c r="B6">
        <v>38.684210516605035</v>
      </c>
      <c r="C6">
        <v>33.227614201097836</v>
      </c>
      <c r="D6">
        <f t="shared" si="0"/>
        <v>22.046621695082738</v>
      </c>
      <c r="E6">
        <v>18</v>
      </c>
      <c r="F6">
        <f t="shared" si="1"/>
        <v>4.0466216950827381</v>
      </c>
    </row>
    <row r="7" spans="1:9" x14ac:dyDescent="0.3">
      <c r="A7" t="s">
        <v>153</v>
      </c>
      <c r="B7">
        <v>12.957446808510639</v>
      </c>
      <c r="C7">
        <v>13.911608806463208</v>
      </c>
      <c r="D7">
        <f t="shared" si="0"/>
        <v>8.2707080922766938</v>
      </c>
      <c r="E7">
        <v>18</v>
      </c>
      <c r="F7">
        <f t="shared" si="1"/>
        <v>9.7292919077233062</v>
      </c>
      <c r="H7" t="s">
        <v>15</v>
      </c>
      <c r="I7">
        <f>AVERAGE(TableNEW[DIFF])/5</f>
        <v>1.0364260482243328</v>
      </c>
    </row>
    <row r="8" spans="1:9" x14ac:dyDescent="0.3">
      <c r="A8" t="s">
        <v>154</v>
      </c>
      <c r="B8">
        <v>21.923327020194563</v>
      </c>
      <c r="C8">
        <v>31.399700361893224</v>
      </c>
      <c r="D8">
        <f t="shared" si="0"/>
        <v>16.497842843628973</v>
      </c>
      <c r="E8">
        <v>11</v>
      </c>
      <c r="F8">
        <f t="shared" si="1"/>
        <v>5.4978428436289732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155</v>
      </c>
      <c r="B2">
        <v>17.19081175701761</v>
      </c>
      <c r="C2">
        <v>14.741898364953746</v>
      </c>
      <c r="D2">
        <f t="shared" ref="D2:D8" si="0">B2*$I$2+C2*$I$3</f>
        <v>14.932398195088137</v>
      </c>
      <c r="E2">
        <v>16</v>
      </c>
      <c r="F2">
        <f t="shared" ref="F2:F8" si="1">ABS(D2-E2)</f>
        <v>1.0676018049118632</v>
      </c>
      <c r="H2" t="s">
        <v>7</v>
      </c>
      <c r="I2">
        <v>0.4315009145783737</v>
      </c>
    </row>
    <row r="3" spans="1:9" x14ac:dyDescent="0.3">
      <c r="A3" t="s">
        <v>156</v>
      </c>
      <c r="B3">
        <v>8.1103372370073252</v>
      </c>
      <c r="C3">
        <v>19.370377538380303</v>
      </c>
      <c r="D3">
        <f t="shared" si="0"/>
        <v>13.373489853464886</v>
      </c>
      <c r="E3">
        <v>15</v>
      </c>
      <c r="F3">
        <f t="shared" si="1"/>
        <v>1.6265101465351144</v>
      </c>
      <c r="H3" t="s">
        <v>9</v>
      </c>
      <c r="I3">
        <v>0.50974080905718933</v>
      </c>
    </row>
    <row r="4" spans="1:9" x14ac:dyDescent="0.3">
      <c r="A4" t="s">
        <v>157</v>
      </c>
      <c r="B4">
        <v>5.0269605770678263</v>
      </c>
      <c r="C4">
        <v>18.943461045054242</v>
      </c>
      <c r="D4">
        <f t="shared" si="0"/>
        <v>11.825393246003493</v>
      </c>
      <c r="E4">
        <v>11</v>
      </c>
      <c r="F4">
        <f t="shared" si="1"/>
        <v>0.82539324600349318</v>
      </c>
    </row>
    <row r="5" spans="1:9" x14ac:dyDescent="0.3">
      <c r="A5" t="s">
        <v>158</v>
      </c>
      <c r="B5">
        <v>27.749999978390896</v>
      </c>
      <c r="C5">
        <v>23.828453357084676</v>
      </c>
      <c r="D5">
        <f t="shared" si="0"/>
        <v>24.120485463047363</v>
      </c>
      <c r="E5">
        <v>28</v>
      </c>
      <c r="F5">
        <f t="shared" si="1"/>
        <v>3.8795145369526374</v>
      </c>
      <c r="H5" t="s">
        <v>12</v>
      </c>
      <c r="I5" cm="1">
        <f t="array" ref="I5">(SUM(TableNFO[PP]-TableNFO[AP]))^2</f>
        <v>7.8886090522101181E-29</v>
      </c>
    </row>
    <row r="6" spans="1:9" x14ac:dyDescent="0.3">
      <c r="A6" t="s">
        <v>159</v>
      </c>
      <c r="B6">
        <v>10.329836568209007</v>
      </c>
      <c r="C6">
        <v>24.332712980757886</v>
      </c>
      <c r="D6">
        <f t="shared" si="0"/>
        <v>16.860710727995212</v>
      </c>
      <c r="E6">
        <v>16</v>
      </c>
      <c r="F6">
        <f t="shared" si="1"/>
        <v>0.86071072799521176</v>
      </c>
    </row>
    <row r="7" spans="1:9" x14ac:dyDescent="0.3">
      <c r="A7" t="s">
        <v>110</v>
      </c>
      <c r="B7">
        <v>32.916666696209745</v>
      </c>
      <c r="C7">
        <v>23.103883599517999</v>
      </c>
      <c r="D7">
        <f t="shared" si="0"/>
        <v>25.980564102667433</v>
      </c>
      <c r="E7">
        <v>21</v>
      </c>
      <c r="F7">
        <f t="shared" si="1"/>
        <v>4.980564102667433</v>
      </c>
      <c r="H7" t="s">
        <v>15</v>
      </c>
      <c r="I7">
        <f>AVERAGE(TableNFO[DIFF])/5</f>
        <v>0.38095246152377954</v>
      </c>
    </row>
    <row r="8" spans="1:9" x14ac:dyDescent="0.3">
      <c r="A8" t="s">
        <v>160</v>
      </c>
      <c r="B8">
        <v>17.669092087587398</v>
      </c>
      <c r="C8">
        <v>16.248903107227456</v>
      </c>
      <c r="D8">
        <f t="shared" si="0"/>
        <v>15.906958411733468</v>
      </c>
      <c r="E8">
        <v>16</v>
      </c>
      <c r="F8">
        <f t="shared" si="1"/>
        <v>9.3041588266531861E-2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161</v>
      </c>
      <c r="B2">
        <v>16.502414964722441</v>
      </c>
      <c r="C2">
        <v>12.90584318494685</v>
      </c>
      <c r="D2">
        <f t="shared" ref="D2:D8" si="0">B2*$I$2+C2*$I$3</f>
        <v>15.66432350938096</v>
      </c>
      <c r="E2">
        <v>19</v>
      </c>
      <c r="F2">
        <f t="shared" ref="F2:F8" si="1">ABS(D2-E2)</f>
        <v>3.3356764906190399</v>
      </c>
      <c r="H2" t="s">
        <v>7</v>
      </c>
      <c r="I2">
        <v>0.50964342241460614</v>
      </c>
    </row>
    <row r="3" spans="1:9" x14ac:dyDescent="0.3">
      <c r="A3" t="s">
        <v>162</v>
      </c>
      <c r="B3">
        <v>15.695652176150288</v>
      </c>
      <c r="C3">
        <v>16.425467889261395</v>
      </c>
      <c r="D3">
        <f t="shared" si="0"/>
        <v>17.231434615607327</v>
      </c>
      <c r="E3">
        <v>16</v>
      </c>
      <c r="F3">
        <f t="shared" si="1"/>
        <v>1.231434615607327</v>
      </c>
      <c r="H3" t="s">
        <v>9</v>
      </c>
      <c r="I3">
        <v>0.56206914687408527</v>
      </c>
    </row>
    <row r="4" spans="1:9" x14ac:dyDescent="0.3">
      <c r="A4" t="s">
        <v>163</v>
      </c>
      <c r="B4">
        <v>18.413185782045417</v>
      </c>
      <c r="C4">
        <v>21.071487059265561</v>
      </c>
      <c r="D4">
        <f t="shared" si="0"/>
        <v>21.227791774287315</v>
      </c>
      <c r="E4">
        <v>15</v>
      </c>
      <c r="F4">
        <f t="shared" si="1"/>
        <v>6.227791774287315</v>
      </c>
    </row>
    <row r="5" spans="1:9" x14ac:dyDescent="0.3">
      <c r="A5" t="s">
        <v>164</v>
      </c>
      <c r="B5">
        <v>15.067963199027671</v>
      </c>
      <c r="C5">
        <v>14.346228136333844</v>
      </c>
      <c r="D5">
        <f t="shared" si="0"/>
        <v>15.742860543019962</v>
      </c>
      <c r="E5">
        <v>13</v>
      </c>
      <c r="F5">
        <f t="shared" si="1"/>
        <v>2.7428605430199617</v>
      </c>
      <c r="H5" t="s">
        <v>12</v>
      </c>
      <c r="I5" cm="1">
        <f t="array" ref="I5">(SUM(TableSOU[PP]-TableSOU[AP]))^2</f>
        <v>3.1554436208840472E-30</v>
      </c>
    </row>
    <row r="6" spans="1:9" x14ac:dyDescent="0.3">
      <c r="A6" t="s">
        <v>165</v>
      </c>
      <c r="B6">
        <v>12.039492669957699</v>
      </c>
      <c r="C6">
        <v>11.797275522697877</v>
      </c>
      <c r="D6">
        <f t="shared" si="0"/>
        <v>12.76673283693413</v>
      </c>
      <c r="E6">
        <v>16</v>
      </c>
      <c r="F6">
        <f t="shared" si="1"/>
        <v>3.2332671630658698</v>
      </c>
    </row>
    <row r="7" spans="1:9" x14ac:dyDescent="0.3">
      <c r="A7" t="s">
        <v>166</v>
      </c>
      <c r="B7">
        <v>12.135013502065457</v>
      </c>
      <c r="C7">
        <v>14.428266792700027</v>
      </c>
      <c r="D7">
        <f t="shared" si="0"/>
        <v>14.294213419284691</v>
      </c>
      <c r="E7">
        <v>15</v>
      </c>
      <c r="F7">
        <f t="shared" si="1"/>
        <v>0.70578658071530853</v>
      </c>
      <c r="H7" t="s">
        <v>15</v>
      </c>
      <c r="I7">
        <f>AVERAGE(TableSOU[DIFF])/5</f>
        <v>0.58297639616654873</v>
      </c>
    </row>
    <row r="8" spans="1:9" x14ac:dyDescent="0.3">
      <c r="A8" t="s">
        <v>167</v>
      </c>
      <c r="B8">
        <v>11.073102886993095</v>
      </c>
      <c r="C8">
        <v>20.334347318248717</v>
      </c>
      <c r="D8">
        <f t="shared" si="0"/>
        <v>17.072643301485616</v>
      </c>
      <c r="E8">
        <v>20</v>
      </c>
      <c r="F8">
        <f t="shared" si="1"/>
        <v>2.9273566985143837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tabSelected="1" workbookViewId="0">
      <selection activeCell="H10" sqref="H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168</v>
      </c>
      <c r="B2">
        <v>21.240875912408761</v>
      </c>
      <c r="C2">
        <v>19.461442975058805</v>
      </c>
      <c r="D2">
        <f t="shared" ref="D2:D14" si="0">B2*$I$2+C2*$I$3</f>
        <v>18.592748616418525</v>
      </c>
      <c r="E2">
        <v>27</v>
      </c>
      <c r="F2">
        <f t="shared" ref="F2:F14" si="1">ABS(D2-E2)</f>
        <v>8.4072513835814746</v>
      </c>
      <c r="H2" t="s">
        <v>7</v>
      </c>
      <c r="I2">
        <v>0.4929498519452713</v>
      </c>
    </row>
    <row r="3" spans="1:9" x14ac:dyDescent="0.3">
      <c r="A3" t="s">
        <v>169</v>
      </c>
      <c r="B3">
        <v>51.75524475524476</v>
      </c>
      <c r="C3">
        <v>34.496880246264553</v>
      </c>
      <c r="D3">
        <f t="shared" si="0"/>
        <v>39.9097096647819</v>
      </c>
      <c r="E3">
        <v>23</v>
      </c>
      <c r="F3">
        <f t="shared" si="1"/>
        <v>16.9097096647819</v>
      </c>
      <c r="H3" t="s">
        <v>9</v>
      </c>
      <c r="I3">
        <v>0.41734120078442966</v>
      </c>
    </row>
    <row r="4" spans="1:9" x14ac:dyDescent="0.3">
      <c r="A4" t="s">
        <v>170</v>
      </c>
      <c r="B4">
        <v>30</v>
      </c>
      <c r="C4">
        <v>25.667871090932692</v>
      </c>
      <c r="D4">
        <f t="shared" si="0"/>
        <v>25.500755701027938</v>
      </c>
      <c r="E4">
        <v>14</v>
      </c>
      <c r="F4">
        <f t="shared" si="1"/>
        <v>11.500755701027938</v>
      </c>
    </row>
    <row r="5" spans="1:9" x14ac:dyDescent="0.3">
      <c r="A5" t="s">
        <v>171</v>
      </c>
      <c r="B5">
        <v>53.368180866424659</v>
      </c>
      <c r="C5">
        <v>22.521005248695339</v>
      </c>
      <c r="D5">
        <f t="shared" si="0"/>
        <v>35.70678023005545</v>
      </c>
      <c r="E5">
        <v>18</v>
      </c>
      <c r="F5">
        <f t="shared" si="1"/>
        <v>17.70678023005545</v>
      </c>
      <c r="H5" t="s">
        <v>12</v>
      </c>
      <c r="I5" cm="1">
        <f t="array" ref="I5">(SUM(TableTOT[PP]-TableTOT[AP]))^2</f>
        <v>2.8398992587956425E-27</v>
      </c>
    </row>
    <row r="6" spans="1:9" x14ac:dyDescent="0.3">
      <c r="A6" t="s">
        <v>172</v>
      </c>
      <c r="B6">
        <v>15.086956521739129</v>
      </c>
      <c r="C6">
        <v>17.009207701448396</v>
      </c>
      <c r="D6">
        <f t="shared" si="0"/>
        <v>14.535756150210291</v>
      </c>
      <c r="E6">
        <v>30</v>
      </c>
      <c r="F6">
        <f t="shared" si="1"/>
        <v>15.464243849789709</v>
      </c>
    </row>
    <row r="7" spans="1:9" x14ac:dyDescent="0.3">
      <c r="A7" t="s">
        <v>173</v>
      </c>
      <c r="B7">
        <v>14.627202055198282</v>
      </c>
      <c r="C7">
        <v>17.224132860631105</v>
      </c>
      <c r="D7">
        <f t="shared" si="0"/>
        <v>14.3988173780099</v>
      </c>
      <c r="E7">
        <v>27</v>
      </c>
      <c r="F7">
        <f t="shared" si="1"/>
        <v>12.6011826219901</v>
      </c>
      <c r="H7" t="s">
        <v>15</v>
      </c>
      <c r="I7">
        <f>AVERAGE(TableTOT[DIFF])/5</f>
        <v>2.1343420898475585</v>
      </c>
    </row>
    <row r="8" spans="1:9" x14ac:dyDescent="0.3">
      <c r="A8" t="s">
        <v>174</v>
      </c>
      <c r="B8">
        <v>14.890825946255642</v>
      </c>
      <c r="C8">
        <v>17.953602390734584</v>
      </c>
      <c r="D8">
        <f t="shared" si="0"/>
        <v>14.833208425704902</v>
      </c>
      <c r="E8">
        <v>17</v>
      </c>
      <c r="F8">
        <f t="shared" si="1"/>
        <v>2.1667915742950985</v>
      </c>
    </row>
    <row r="9" spans="1:9" x14ac:dyDescent="0.3">
      <c r="A9" t="s">
        <v>175</v>
      </c>
      <c r="B9">
        <v>14.875418192065414</v>
      </c>
      <c r="C9">
        <v>19.141380745288359</v>
      </c>
      <c r="D9">
        <f t="shared" si="0"/>
        <v>15.321322020313247</v>
      </c>
      <c r="E9">
        <v>26</v>
      </c>
      <c r="F9">
        <f t="shared" si="1"/>
        <v>10.678677979686753</v>
      </c>
    </row>
    <row r="10" spans="1:9" x14ac:dyDescent="0.3">
      <c r="A10" t="s">
        <v>176</v>
      </c>
      <c r="B10">
        <v>16.193548387096776</v>
      </c>
      <c r="C10">
        <v>17.395908558297254</v>
      </c>
      <c r="D10">
        <f t="shared" si="0"/>
        <v>15.242636646343854</v>
      </c>
      <c r="E10">
        <v>22</v>
      </c>
      <c r="F10">
        <f t="shared" si="1"/>
        <v>6.7573633536561459</v>
      </c>
    </row>
    <row r="11" spans="1:9" x14ac:dyDescent="0.3">
      <c r="A11" t="s">
        <v>177</v>
      </c>
      <c r="B11">
        <v>29.481372140161071</v>
      </c>
      <c r="C11">
        <v>22.471839449092244</v>
      </c>
      <c r="D11">
        <f t="shared" si="0"/>
        <v>23.911262491154918</v>
      </c>
      <c r="E11">
        <v>30</v>
      </c>
      <c r="F11">
        <f t="shared" si="1"/>
        <v>6.0887375088450817</v>
      </c>
    </row>
    <row r="12" spans="1:9" x14ac:dyDescent="0.3">
      <c r="A12" t="s">
        <v>178</v>
      </c>
      <c r="B12">
        <v>45.076923076923073</v>
      </c>
      <c r="C12">
        <v>25.059788107928242</v>
      </c>
      <c r="D12">
        <f t="shared" si="0"/>
        <v>32.679144617283754</v>
      </c>
      <c r="E12">
        <v>13</v>
      </c>
      <c r="F12">
        <f t="shared" si="1"/>
        <v>19.679144617283754</v>
      </c>
    </row>
    <row r="13" spans="1:9" x14ac:dyDescent="0.3">
      <c r="A13" t="s">
        <v>179</v>
      </c>
      <c r="B13">
        <v>17.263157894736842</v>
      </c>
      <c r="C13">
        <v>21.708512271372719</v>
      </c>
      <c r="D13">
        <f t="shared" si="0"/>
        <v>17.569727706896586</v>
      </c>
      <c r="E13">
        <v>14</v>
      </c>
      <c r="F13">
        <f t="shared" si="1"/>
        <v>3.569727706896586</v>
      </c>
    </row>
    <row r="14" spans="1:9" x14ac:dyDescent="0.3">
      <c r="A14" t="s">
        <v>180</v>
      </c>
      <c r="B14">
        <v>9.3636376781958379</v>
      </c>
      <c r="C14">
        <v>22.001965124468619</v>
      </c>
      <c r="D14">
        <f t="shared" si="0"/>
        <v>13.79813035179868</v>
      </c>
      <c r="E14">
        <v>21</v>
      </c>
      <c r="F14">
        <f t="shared" si="1"/>
        <v>7.2018696482013205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181</v>
      </c>
      <c r="B2">
        <v>16.244090819078327</v>
      </c>
      <c r="C2">
        <v>16.597830879642618</v>
      </c>
      <c r="D2">
        <f t="shared" ref="D2:D10" si="0">B2*$I$2+C2*$I$3</f>
        <v>14.273621278602338</v>
      </c>
      <c r="E2">
        <v>18</v>
      </c>
      <c r="F2">
        <f t="shared" ref="F2:F10" si="1">ABS(D2-E2)</f>
        <v>3.726378721397662</v>
      </c>
      <c r="H2" t="s">
        <v>7</v>
      </c>
      <c r="I2">
        <v>0.45044367878046854</v>
      </c>
    </row>
    <row r="3" spans="1:9" x14ac:dyDescent="0.3">
      <c r="A3" t="s">
        <v>182</v>
      </c>
      <c r="B3">
        <v>20.377543300955779</v>
      </c>
      <c r="C3">
        <v>18.69605136412175</v>
      </c>
      <c r="D3">
        <f t="shared" si="0"/>
        <v>17.014926414634747</v>
      </c>
      <c r="E3">
        <v>19</v>
      </c>
      <c r="F3">
        <f t="shared" si="1"/>
        <v>1.985073585365253</v>
      </c>
      <c r="H3" t="s">
        <v>9</v>
      </c>
      <c r="I3">
        <v>0.41912544488840153</v>
      </c>
    </row>
    <row r="4" spans="1:9" x14ac:dyDescent="0.3">
      <c r="A4" t="s">
        <v>183</v>
      </c>
      <c r="B4">
        <v>15.965531805171109</v>
      </c>
      <c r="C4">
        <v>14.391579819609117</v>
      </c>
      <c r="D4">
        <f t="shared" si="0"/>
        <v>13.223450174548461</v>
      </c>
      <c r="E4">
        <v>15</v>
      </c>
      <c r="F4">
        <f t="shared" si="1"/>
        <v>1.7765498254515393</v>
      </c>
    </row>
    <row r="5" spans="1:9" x14ac:dyDescent="0.3">
      <c r="A5" t="s">
        <v>184</v>
      </c>
      <c r="B5">
        <v>40.672132498539547</v>
      </c>
      <c r="C5">
        <v>19.510894557073136</v>
      </c>
      <c r="D5">
        <f t="shared" si="0"/>
        <v>26.498017347892773</v>
      </c>
      <c r="E5">
        <v>15</v>
      </c>
      <c r="F5">
        <f t="shared" si="1"/>
        <v>11.498017347892773</v>
      </c>
      <c r="H5" t="s">
        <v>12</v>
      </c>
      <c r="I5" cm="1">
        <f t="array" ref="I5">(SUM(TableWHU[PP]-TableWHU[AP]))^2</f>
        <v>5.3326997192940398E-28</v>
      </c>
    </row>
    <row r="6" spans="1:9" x14ac:dyDescent="0.3">
      <c r="A6" t="s">
        <v>185</v>
      </c>
      <c r="B6">
        <v>14.02635758786333</v>
      </c>
      <c r="C6">
        <v>13.314526974380795</v>
      </c>
      <c r="D6">
        <f t="shared" si="0"/>
        <v>11.898541153383471</v>
      </c>
      <c r="E6">
        <v>11</v>
      </c>
      <c r="F6">
        <f t="shared" si="1"/>
        <v>0.89854115338347107</v>
      </c>
    </row>
    <row r="7" spans="1:9" x14ac:dyDescent="0.3">
      <c r="A7" t="s">
        <v>186</v>
      </c>
      <c r="B7">
        <v>16.34615388630419</v>
      </c>
      <c r="C7">
        <v>18.10014123080537</v>
      </c>
      <c r="D7">
        <f t="shared" si="0"/>
        <v>14.949251436362712</v>
      </c>
      <c r="E7">
        <v>16</v>
      </c>
      <c r="F7">
        <f t="shared" si="1"/>
        <v>1.0507485636372884</v>
      </c>
      <c r="H7" t="s">
        <v>15</v>
      </c>
      <c r="I7">
        <f>AVERAGE(TableWHU[DIFF])/5</f>
        <v>0.79209178854818563</v>
      </c>
    </row>
    <row r="8" spans="1:9" x14ac:dyDescent="0.3">
      <c r="A8" t="s">
        <v>187</v>
      </c>
      <c r="B8">
        <v>21.639078995013687</v>
      </c>
      <c r="C8">
        <v>22.980834410991889</v>
      </c>
      <c r="D8">
        <f t="shared" si="0"/>
        <v>19.379038794348791</v>
      </c>
      <c r="E8">
        <v>16</v>
      </c>
      <c r="F8">
        <f t="shared" si="1"/>
        <v>3.3790387943487907</v>
      </c>
    </row>
    <row r="9" spans="1:9" x14ac:dyDescent="0.3">
      <c r="A9" t="s">
        <v>188</v>
      </c>
      <c r="B9">
        <v>16.260618326300442</v>
      </c>
      <c r="C9">
        <v>12.865343254951833</v>
      </c>
      <c r="D9">
        <f t="shared" si="0"/>
        <v>12.71668545351756</v>
      </c>
      <c r="E9">
        <v>22</v>
      </c>
      <c r="F9">
        <f t="shared" si="1"/>
        <v>9.2833145464824405</v>
      </c>
    </row>
    <row r="10" spans="1:9" x14ac:dyDescent="0.3">
      <c r="A10" t="s">
        <v>189</v>
      </c>
      <c r="B10">
        <v>10.999563360885904</v>
      </c>
      <c r="C10">
        <v>24.078194928346363</v>
      </c>
      <c r="D10">
        <f t="shared" si="0"/>
        <v>15.046467946709125</v>
      </c>
      <c r="E10">
        <v>13</v>
      </c>
      <c r="F10">
        <f t="shared" si="1"/>
        <v>2.0464679467091251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190</v>
      </c>
      <c r="B2">
        <v>20.816283369460891</v>
      </c>
      <c r="C2">
        <v>19.796549603085754</v>
      </c>
      <c r="D2">
        <f t="shared" ref="D2:D7" si="0">B2*$I$2+C2*$I$3</f>
        <v>18.569643743381242</v>
      </c>
      <c r="E2">
        <v>23</v>
      </c>
      <c r="F2">
        <f t="shared" ref="F2:F7" si="1">ABS(D2-E2)</f>
        <v>4.430356256618758</v>
      </c>
      <c r="H2" t="s">
        <v>7</v>
      </c>
      <c r="I2">
        <v>0.47352804408741966</v>
      </c>
    </row>
    <row r="3" spans="1:9" x14ac:dyDescent="0.3">
      <c r="A3" t="s">
        <v>191</v>
      </c>
      <c r="B3">
        <v>16.658303620554598</v>
      </c>
      <c r="C3">
        <v>23.206907235696107</v>
      </c>
      <c r="D3">
        <f t="shared" si="0"/>
        <v>18.101637333509942</v>
      </c>
      <c r="E3">
        <v>18</v>
      </c>
      <c r="F3">
        <f t="shared" si="1"/>
        <v>0.10163733350994164</v>
      </c>
      <c r="H3" t="s">
        <v>9</v>
      </c>
      <c r="I3">
        <v>0.44010446107805035</v>
      </c>
    </row>
    <row r="4" spans="1:9" x14ac:dyDescent="0.3">
      <c r="A4" t="s">
        <v>192</v>
      </c>
      <c r="B4">
        <v>14.626489730944721</v>
      </c>
      <c r="C4">
        <v>14.755724495784705</v>
      </c>
      <c r="D4">
        <f t="shared" si="0"/>
        <v>13.420113251192497</v>
      </c>
      <c r="E4">
        <v>12</v>
      </c>
      <c r="F4">
        <f t="shared" si="1"/>
        <v>1.4201132511924968</v>
      </c>
    </row>
    <row r="5" spans="1:9" x14ac:dyDescent="0.3">
      <c r="A5" t="s">
        <v>193</v>
      </c>
      <c r="B5">
        <v>31.633802793661104</v>
      </c>
      <c r="C5">
        <v>14.927005257259015</v>
      </c>
      <c r="D5">
        <f t="shared" si="0"/>
        <v>21.548934368184696</v>
      </c>
      <c r="E5">
        <v>23</v>
      </c>
      <c r="F5">
        <f t="shared" si="1"/>
        <v>1.4510656318153039</v>
      </c>
      <c r="H5" t="s">
        <v>12</v>
      </c>
      <c r="I5" cm="1">
        <f t="array" ref="I5">(SUM(TableWOL[PP]-TableWOL[AP]))^2</f>
        <v>2.8398992587956425E-29</v>
      </c>
    </row>
    <row r="6" spans="1:9" x14ac:dyDescent="0.3">
      <c r="A6" t="s">
        <v>194</v>
      </c>
      <c r="B6">
        <v>12.339198873244005</v>
      </c>
      <c r="C6">
        <v>14.604369116033922</v>
      </c>
      <c r="D6">
        <f t="shared" si="0"/>
        <v>12.270404707249959</v>
      </c>
      <c r="E6">
        <v>10</v>
      </c>
      <c r="F6">
        <f t="shared" si="1"/>
        <v>2.2704047072499591</v>
      </c>
    </row>
    <row r="7" spans="1:9" x14ac:dyDescent="0.3">
      <c r="A7" t="s">
        <v>195</v>
      </c>
      <c r="B7">
        <v>14.96551724137931</v>
      </c>
      <c r="C7">
        <v>15.911391743817994</v>
      </c>
      <c r="D7">
        <f t="shared" si="0"/>
        <v>14.089266596481659</v>
      </c>
      <c r="E7">
        <v>12</v>
      </c>
      <c r="F7">
        <f t="shared" si="1"/>
        <v>2.089266596481659</v>
      </c>
      <c r="H7" t="s">
        <v>15</v>
      </c>
      <c r="I7">
        <f>AVERAGE(TableWOL[DIFF])/5</f>
        <v>0.39209479256227059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2023-03-10T17:02:12Z</dcterms:created>
  <dcterms:modified xsi:type="dcterms:W3CDTF">2023-03-10T17:10:24Z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816c527b-d544-48cb-8f6f-6e1f47c8c9a3</vt:lpwstr>
  </property>
</Properties>
</file>