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5F2B48A-F7E0-43E9-B707-9E3D2E387CA8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LEI!$I$2:$I$4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0" l="1"/>
  <c r="F6" i="20" s="1"/>
  <c r="D5" i="20"/>
  <c r="D4" i="20"/>
  <c r="F4" i="20" s="1"/>
  <c r="D3" i="20"/>
  <c r="F3" i="20" s="1"/>
  <c r="D2" i="20"/>
  <c r="F2" i="20" s="1"/>
  <c r="D11" i="19"/>
  <c r="F11" i="19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14" i="18"/>
  <c r="D14" i="18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9" i="16"/>
  <c r="F9" i="16" s="1"/>
  <c r="D8" i="16"/>
  <c r="F8" i="16" s="1"/>
  <c r="D7" i="16"/>
  <c r="F7" i="16" s="1"/>
  <c r="D6" i="16"/>
  <c r="F6" i="16" s="1"/>
  <c r="D5" i="16"/>
  <c r="D4" i="16"/>
  <c r="F4" i="16" s="1"/>
  <c r="D3" i="16"/>
  <c r="F3" i="16" s="1"/>
  <c r="D2" i="16"/>
  <c r="I5" i="16" s="1" a="1"/>
  <c r="I5" i="16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14" i="14"/>
  <c r="F14" i="14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D14" i="13"/>
  <c r="F14" i="13" s="1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14" i="12"/>
  <c r="F14" i="12" s="1"/>
  <c r="D13" i="12"/>
  <c r="F13" i="12" s="1"/>
  <c r="D12" i="12"/>
  <c r="F12" i="12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D6" i="11"/>
  <c r="F6" i="11" s="1"/>
  <c r="D5" i="11"/>
  <c r="F5" i="11" s="1"/>
  <c r="D4" i="11"/>
  <c r="F4" i="11" s="1"/>
  <c r="D3" i="11"/>
  <c r="F3" i="11" s="1"/>
  <c r="D2" i="1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12" i="5"/>
  <c r="D12" i="5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I5" i="5" s="1" a="1"/>
  <c r="I5" i="5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5" i="20" l="1" a="1"/>
  <c r="I5" i="20" s="1"/>
  <c r="I5" i="19" a="1"/>
  <c r="I5" i="19" s="1"/>
  <c r="F2" i="19"/>
  <c r="I7" i="19" s="1"/>
  <c r="I5" i="18" a="1"/>
  <c r="I5" i="18" s="1"/>
  <c r="F2" i="18"/>
  <c r="I7" i="18"/>
  <c r="I5" i="17" a="1"/>
  <c r="I5" i="17" s="1"/>
  <c r="F2" i="16"/>
  <c r="I5" i="15" a="1"/>
  <c r="I5" i="15" s="1"/>
  <c r="F2" i="15"/>
  <c r="I5" i="14" a="1"/>
  <c r="I5" i="14" s="1"/>
  <c r="F2" i="14"/>
  <c r="I5" i="13" a="1"/>
  <c r="I5" i="13" s="1"/>
  <c r="I5" i="12" a="1"/>
  <c r="I5" i="12" s="1"/>
  <c r="F2" i="12"/>
  <c r="I7" i="12" s="1"/>
  <c r="I5" i="11" a="1"/>
  <c r="I5" i="11" s="1"/>
  <c r="F2" i="11"/>
  <c r="I7" i="11" s="1"/>
  <c r="I5" i="10" a="1"/>
  <c r="I5" i="10" s="1"/>
  <c r="F2" i="10"/>
  <c r="I5" i="9" a="1"/>
  <c r="I5" i="9" s="1"/>
  <c r="F2" i="9"/>
  <c r="I7" i="9" s="1"/>
  <c r="I5" i="8" a="1"/>
  <c r="I5" i="8" s="1"/>
  <c r="F2" i="8"/>
  <c r="I5" i="7" a="1"/>
  <c r="I5" i="7" s="1"/>
  <c r="F2" i="7"/>
  <c r="I5" i="6" a="1"/>
  <c r="I5" i="6" s="1"/>
  <c r="F2" i="6"/>
  <c r="I7" i="6"/>
  <c r="F2" i="5"/>
  <c r="I5" i="4" a="1"/>
  <c r="I5" i="4" s="1"/>
  <c r="F2" i="4"/>
  <c r="I7" i="4" s="1"/>
  <c r="I5" i="3" a="1"/>
  <c r="I5" i="3" s="1"/>
  <c r="F2" i="3"/>
  <c r="I7" i="3" s="1"/>
  <c r="I5" i="2" a="1"/>
  <c r="I5" i="2" s="1"/>
  <c r="I5" i="1" a="1"/>
  <c r="I5" i="1" s="1"/>
  <c r="F2" i="1"/>
  <c r="I7" i="1" s="1"/>
  <c r="I7" i="8"/>
  <c r="I7" i="2"/>
  <c r="I7" i="5"/>
  <c r="I7" i="7"/>
  <c r="I7" i="17"/>
  <c r="I7" i="10"/>
  <c r="I7" i="14"/>
  <c r="I7" i="15"/>
  <c r="F5" i="20"/>
  <c r="I7" i="20" s="1"/>
  <c r="F5" i="13"/>
  <c r="I7" i="13" s="1"/>
  <c r="F5" i="16"/>
  <c r="I7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<sst xmlns="http://schemas.openxmlformats.org/spreadsheetml/2006/main" count="391" uniqueCount="199">
  <si>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</si>
  <si>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</si>
  <si>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</si>
  <si>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</si>
  <si>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</si>
  <si>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</si>
  <si>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</si>
  <si>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</si>
  <si>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</si>
  <si>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</si>
  <si>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</si>
  <si>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</si>
  <si>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</si>
  <si>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</si>
  <si>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</si>
  <si>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</si>
  <si>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</si>
  <si>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</si>
  <si>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</si>
  <si>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</si>
  <si>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Jesus</t>
  </si>
  <si>
    <t>Trossard</t>
  </si>
  <si>
    <t>Jorginho</t>
  </si>
  <si>
    <t>Zinchenko</t>
  </si>
  <si>
    <t>Coutinho</t>
  </si>
  <si>
    <t>Martínez</t>
  </si>
  <si>
    <t>McGinn</t>
  </si>
  <si>
    <t>Watkins</t>
  </si>
  <si>
    <t>Buendía</t>
  </si>
  <si>
    <t>Cash</t>
  </si>
  <si>
    <t>Konsa</t>
  </si>
  <si>
    <t>Douglas Luiz</t>
  </si>
  <si>
    <t>Ramsey</t>
  </si>
  <si>
    <t>Kamara</t>
  </si>
  <si>
    <t>Smith</t>
  </si>
  <si>
    <t>Stanislas</t>
  </si>
  <si>
    <t>Lerma</t>
  </si>
  <si>
    <t>Solanke</t>
  </si>
  <si>
    <t>Billing</t>
  </si>
  <si>
    <t>Travers</t>
  </si>
  <si>
    <t>Zemura</t>
  </si>
  <si>
    <t>Stephens</t>
  </si>
  <si>
    <t>Tavernier</t>
  </si>
  <si>
    <t>Jansson</t>
  </si>
  <si>
    <t>Nørgaard</t>
  </si>
  <si>
    <t>Toney</t>
  </si>
  <si>
    <t>Raya</t>
  </si>
  <si>
    <t>Henry</t>
  </si>
  <si>
    <t>Janelt</t>
  </si>
  <si>
    <t>Jensen</t>
  </si>
  <si>
    <t>Wissa</t>
  </si>
  <si>
    <t>Mbeumo</t>
  </si>
  <si>
    <t>Hickey</t>
  </si>
  <si>
    <t>Mee</t>
  </si>
  <si>
    <t>Lallana</t>
  </si>
  <si>
    <t>Welbeck</t>
  </si>
  <si>
    <t>Groß</t>
  </si>
  <si>
    <t>Dunk</t>
  </si>
  <si>
    <t>March</t>
  </si>
  <si>
    <t>Webster</t>
  </si>
  <si>
    <t>Veltman</t>
  </si>
  <si>
    <t>Sánchez</t>
  </si>
  <si>
    <t>Lamptey</t>
  </si>
  <si>
    <t>Mac Allister</t>
  </si>
  <si>
    <t>Mwepu</t>
  </si>
  <si>
    <t>Cucurella</t>
  </si>
  <si>
    <t>Thiago Silva</t>
  </si>
  <si>
    <t>Kanté</t>
  </si>
  <si>
    <t>Loftus-Cheek</t>
  </si>
  <si>
    <t>Chilwell</t>
  </si>
  <si>
    <t>Havertz</t>
  </si>
  <si>
    <t>Mendy</t>
  </si>
  <si>
    <t>Broja</t>
  </si>
  <si>
    <t>W.Fofana</t>
  </si>
  <si>
    <t>Koulibaly</t>
  </si>
  <si>
    <t>Sambi</t>
  </si>
  <si>
    <t>Guaita</t>
  </si>
  <si>
    <t>Clyne</t>
  </si>
  <si>
    <t>Zaha</t>
  </si>
  <si>
    <t>Schlupp</t>
  </si>
  <si>
    <t>Guéhi</t>
  </si>
  <si>
    <t>Eze</t>
  </si>
  <si>
    <t>Mitchell</t>
  </si>
  <si>
    <t>Pickford</t>
  </si>
  <si>
    <t>A.Doucouré</t>
  </si>
  <si>
    <t>Iwobi</t>
  </si>
  <si>
    <t>Mina</t>
  </si>
  <si>
    <t>Gray</t>
  </si>
  <si>
    <t>Holgate</t>
  </si>
  <si>
    <t>Mykolenko</t>
  </si>
  <si>
    <t>Tarkowski</t>
  </si>
  <si>
    <t>McNeil</t>
  </si>
  <si>
    <t>Ream</t>
  </si>
  <si>
    <t>Kebano</t>
  </si>
  <si>
    <t>De Cordova-Reid</t>
  </si>
  <si>
    <t>Reed</t>
  </si>
  <si>
    <t>Tete</t>
  </si>
  <si>
    <t>Robinson</t>
  </si>
  <si>
    <t>Andreas</t>
  </si>
  <si>
    <t>Rodrigo</t>
  </si>
  <si>
    <t>Bamford</t>
  </si>
  <si>
    <t>Koch</t>
  </si>
  <si>
    <t>Harrison</t>
  </si>
  <si>
    <t>Struijk</t>
  </si>
  <si>
    <t>Meslier</t>
  </si>
  <si>
    <t>Summerville</t>
  </si>
  <si>
    <t>Adams</t>
  </si>
  <si>
    <t>Ward</t>
  </si>
  <si>
    <t>Castagne</t>
  </si>
  <si>
    <t>Maddison</t>
  </si>
  <si>
    <t>Justin</t>
  </si>
  <si>
    <t>Daka</t>
  </si>
  <si>
    <t>Henderson</t>
  </si>
  <si>
    <t>Matip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</si>
  <si>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</si>
  <si>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</si>
  <si>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</si>
  <si>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</si>
  <si>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</si>
  <si>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</si>
  <si>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</si>
  <si>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</si>
  <si>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</si>
  <si>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Elliott</t>
  </si>
  <si>
    <t>Darwin</t>
  </si>
  <si>
    <t>Walker</t>
  </si>
  <si>
    <t>Gündogan</t>
  </si>
  <si>
    <t>De Bruyne</t>
  </si>
  <si>
    <t>Mahrez</t>
  </si>
  <si>
    <t>Grealish</t>
  </si>
  <si>
    <t>Ederson</t>
  </si>
  <si>
    <t>Aké</t>
  </si>
  <si>
    <t>Bernardo</t>
  </si>
  <si>
    <t>Dias</t>
  </si>
  <si>
    <t>Foden</t>
  </si>
  <si>
    <t>Rodri</t>
  </si>
  <si>
    <t>Haaland</t>
  </si>
  <si>
    <t>Álvarez</t>
  </si>
  <si>
    <t>Ronaldo</t>
  </si>
  <si>
    <t>De Gea</t>
  </si>
  <si>
    <t>Maguire</t>
  </si>
  <si>
    <t>Fred</t>
  </si>
  <si>
    <t>Shaw</t>
  </si>
  <si>
    <t>Fernandes</t>
  </si>
  <si>
    <t>Rashford</t>
  </si>
  <si>
    <t>Sancho</t>
  </si>
  <si>
    <t>Dalot</t>
  </si>
  <si>
    <t>Malacia</t>
  </si>
  <si>
    <t>Eriksen</t>
  </si>
  <si>
    <t>Garnacho</t>
  </si>
  <si>
    <t>Wilson</t>
  </si>
  <si>
    <t>Trippier</t>
  </si>
  <si>
    <t>Schär</t>
  </si>
  <si>
    <t>Saint-Maximin</t>
  </si>
  <si>
    <t>Almirón</t>
  </si>
  <si>
    <t>S.Longstaff</t>
  </si>
  <si>
    <t>Willock</t>
  </si>
  <si>
    <t>Wood</t>
  </si>
  <si>
    <t>McKenna</t>
  </si>
  <si>
    <t>Worrall</t>
  </si>
  <si>
    <t>Surridge</t>
  </si>
  <si>
    <t>Johnson</t>
  </si>
  <si>
    <t>Awoniyi</t>
  </si>
  <si>
    <t>Gibbs-White</t>
  </si>
  <si>
    <t>Romeu</t>
  </si>
  <si>
    <t>Redmond</t>
  </si>
  <si>
    <t>Ward-Prowse</t>
  </si>
  <si>
    <t>Walker-Peters</t>
  </si>
  <si>
    <t>Bednarek</t>
  </si>
  <si>
    <t>Perraud</t>
  </si>
  <si>
    <t>Bazunu</t>
  </si>
  <si>
    <t>Lloris</t>
  </si>
  <si>
    <t>Kane</t>
  </si>
  <si>
    <t>Son</t>
  </si>
  <si>
    <t>Doherty</t>
  </si>
  <si>
    <t>Dier</t>
  </si>
  <si>
    <t>Davies</t>
  </si>
  <si>
    <t>Højbjerg</t>
  </si>
  <si>
    <t>Bentancur</t>
  </si>
  <si>
    <t>Romero</t>
  </si>
  <si>
    <t>Emerson Royal</t>
  </si>
  <si>
    <t>Kulusevski</t>
  </si>
  <si>
    <t>Perišić</t>
  </si>
  <si>
    <t>Lenglet</t>
  </si>
  <si>
    <t>Ings</t>
  </si>
  <si>
    <t>Fabianski</t>
  </si>
  <si>
    <t>Antonio</t>
  </si>
  <si>
    <t>Zouma</t>
  </si>
  <si>
    <t>Coufal</t>
  </si>
  <si>
    <t>Benrahma</t>
  </si>
  <si>
    <t>Bowen</t>
  </si>
  <si>
    <t>Rice</t>
  </si>
  <si>
    <t>Soucek</t>
  </si>
  <si>
    <t>Scamacca</t>
  </si>
  <si>
    <t>Jonny</t>
  </si>
  <si>
    <t>Sá</t>
  </si>
  <si>
    <t>Hwang</t>
  </si>
  <si>
    <t>Kilman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</si>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</sst>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>
  <autoFilter ref="A1:F15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>
  <autoFilter ref="A1:F11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0">
  <autoFilter ref="A1:F10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>
  <autoFilter ref="A1:F12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2">
  <autoFilter ref="A1:F12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1">
  <autoFilter ref="A1:F11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9">
  <autoFilter ref="A1:F9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10">
  <autoFilter ref="A1:F10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6">
  <autoFilter ref="A1:F6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4">
  <autoFilter ref="A1:F14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4">
  <autoFilter ref="A1:F14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4">
  <autoFilter ref="A1:F1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8">
  <autoFilter ref="A1:F8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8">
  <autoFilter ref="A1:F8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1">
  <autoFilter ref="A1:F11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6">
  <autoFilter ref="A1:F6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13.636363650023034</v>
      </c>
      <c r="C2">
        <v>17.943928834190256</v>
      </c>
      <c r="D2">
        <f t="shared" ref="D2:D15" si="0">B2*$I$2+C2*$I$3</f>
        <v>15.794604641373805</v>
      </c>
      <c r="E2">
        <v>11</v>
      </c>
      <c r="F2">
        <f t="shared" ref="F2:F15" si="1">ABS(D2-E2)</f>
        <v>4.7946046413738053</v>
      </c>
      <c r="H2" t="s">
        <v>7</v>
      </c>
      <c r="I2">
        <v>0.44942254603255433</v>
      </c>
    </row>
    <row r="3" spans="1:9" x14ac:dyDescent="0.3">
      <c r="A3" t="s">
        <v>8</v>
      </c>
      <c r="B3">
        <v>12.377049150229496</v>
      </c>
      <c r="C3">
        <v>16.505622342262853</v>
      </c>
      <c r="D3">
        <f t="shared" si="0"/>
        <v>14.453846976193876</v>
      </c>
      <c r="E3">
        <v>16</v>
      </c>
      <c r="F3">
        <f t="shared" si="1"/>
        <v>1.5461530238061236</v>
      </c>
      <c r="H3" t="s">
        <v>9</v>
      </c>
      <c r="I3">
        <v>0.53868444644836744</v>
      </c>
    </row>
    <row r="4" spans="1:9" x14ac:dyDescent="0.3">
      <c r="A4" t="s">
        <v>10</v>
      </c>
      <c r="B4">
        <v>20.358811682000017</v>
      </c>
      <c r="C4">
        <v>28.519319477393559</v>
      </c>
      <c r="D4">
        <f t="shared" si="0"/>
        <v>24.512622806085652</v>
      </c>
      <c r="E4">
        <v>27</v>
      </c>
      <c r="F4">
        <f t="shared" si="1"/>
        <v>2.4873771939143481</v>
      </c>
    </row>
    <row r="5" spans="1:9" x14ac:dyDescent="0.3">
      <c r="A5" t="s">
        <v>11</v>
      </c>
      <c r="B5">
        <v>24.867700330851221</v>
      </c>
      <c r="C5">
        <v>26.945309130502796</v>
      </c>
      <c r="D5">
        <f t="shared" si="0"/>
        <v>25.691124130010792</v>
      </c>
      <c r="E5">
        <v>21</v>
      </c>
      <c r="F5">
        <f t="shared" si="1"/>
        <v>4.6911241300107918</v>
      </c>
      <c r="H5" t="s">
        <v>12</v>
      </c>
      <c r="I5" cm="1">
        <f t="array" ref="I5">(SUM(TableARS[PP]-TableARS[AP]))^2</f>
        <v>1.2621774483536189E-29</v>
      </c>
    </row>
    <row r="6" spans="1:9" x14ac:dyDescent="0.3">
      <c r="A6" t="s">
        <v>13</v>
      </c>
      <c r="B6">
        <v>12.097346732867361</v>
      </c>
      <c r="C6">
        <v>21.661224478299751</v>
      </c>
      <c r="D6">
        <f t="shared" si="0"/>
        <v>17.105385086410578</v>
      </c>
      <c r="E6">
        <v>25</v>
      </c>
      <c r="F6">
        <f t="shared" si="1"/>
        <v>7.8946149135894217</v>
      </c>
    </row>
    <row r="7" spans="1:9" x14ac:dyDescent="0.3">
      <c r="A7" t="s">
        <v>14</v>
      </c>
      <c r="B7">
        <v>20.130890588921172</v>
      </c>
      <c r="C7">
        <v>27.806273848007592</v>
      </c>
      <c r="D7">
        <f t="shared" si="0"/>
        <v>24.026083337981426</v>
      </c>
      <c r="E7">
        <v>32</v>
      </c>
      <c r="F7">
        <f t="shared" si="1"/>
        <v>7.9739166620185742</v>
      </c>
      <c r="H7" t="s">
        <v>15</v>
      </c>
      <c r="I7">
        <f>AVERAGE(TableARS[DIFF])/5</f>
        <v>1.1188409629384473</v>
      </c>
    </row>
    <row r="8" spans="1:9" x14ac:dyDescent="0.3">
      <c r="A8" t="s">
        <v>16</v>
      </c>
      <c r="B8">
        <v>22.211382113821138</v>
      </c>
      <c r="C8">
        <v>22.77902236024897</v>
      </c>
      <c r="D8">
        <f t="shared" si="0"/>
        <v>22.253000951261136</v>
      </c>
      <c r="E8">
        <v>17</v>
      </c>
      <c r="F8">
        <f t="shared" si="1"/>
        <v>5.2530009512611358</v>
      </c>
    </row>
    <row r="9" spans="1:9" x14ac:dyDescent="0.3">
      <c r="A9" t="s">
        <v>17</v>
      </c>
      <c r="B9">
        <v>0.56107502967591594</v>
      </c>
      <c r="C9">
        <v>26.646915643347501</v>
      </c>
      <c r="D9">
        <f t="shared" si="0"/>
        <v>14.606438771245234</v>
      </c>
      <c r="E9">
        <v>23</v>
      </c>
      <c r="F9">
        <f t="shared" si="1"/>
        <v>8.3935612287547663</v>
      </c>
    </row>
    <row r="10" spans="1:9" x14ac:dyDescent="0.3">
      <c r="A10" t="s">
        <v>18</v>
      </c>
      <c r="B10">
        <v>23.87886802130841</v>
      </c>
      <c r="C10">
        <v>28.497627463662297</v>
      </c>
      <c r="D10">
        <f t="shared" si="0"/>
        <v>26.082930337866486</v>
      </c>
      <c r="E10">
        <v>34</v>
      </c>
      <c r="F10">
        <f t="shared" si="1"/>
        <v>7.9170696621335139</v>
      </c>
    </row>
    <row r="11" spans="1:9" x14ac:dyDescent="0.3">
      <c r="A11" t="s">
        <v>19</v>
      </c>
      <c r="B11">
        <v>28.130557708284094</v>
      </c>
      <c r="C11">
        <v>27.141003032296219</v>
      </c>
      <c r="D11">
        <f t="shared" si="0"/>
        <v>27.262943061078687</v>
      </c>
      <c r="E11">
        <v>16</v>
      </c>
      <c r="F11">
        <f t="shared" si="1"/>
        <v>11.262943061078687</v>
      </c>
    </row>
    <row r="12" spans="1:9" x14ac:dyDescent="0.3">
      <c r="A12" t="s">
        <v>20</v>
      </c>
      <c r="B12">
        <v>22.368852459016395</v>
      </c>
      <c r="C12">
        <v>25.213840887410996</v>
      </c>
      <c r="D12">
        <f t="shared" si="0"/>
        <v>23.635370545229918</v>
      </c>
      <c r="E12">
        <v>16</v>
      </c>
      <c r="F12">
        <f t="shared" si="1"/>
        <v>7.6353705452299181</v>
      </c>
    </row>
    <row r="13" spans="1:9" x14ac:dyDescent="0.3">
      <c r="A13" t="s">
        <v>21</v>
      </c>
      <c r="B13">
        <v>19.207735654862265</v>
      </c>
      <c r="C13">
        <v>24.914158202132175</v>
      </c>
      <c r="D13">
        <f t="shared" si="0"/>
        <v>22.053258981371094</v>
      </c>
      <c r="E13">
        <v>25</v>
      </c>
      <c r="F13">
        <f t="shared" si="1"/>
        <v>2.9467410186289058</v>
      </c>
    </row>
    <row r="14" spans="1:9" x14ac:dyDescent="0.3">
      <c r="A14" t="s">
        <v>22</v>
      </c>
      <c r="B14">
        <v>16.953617049080357</v>
      </c>
      <c r="C14">
        <v>15.874474873918405</v>
      </c>
      <c r="D14">
        <f t="shared" si="0"/>
        <v>16.170670448773869</v>
      </c>
      <c r="E14">
        <v>12</v>
      </c>
      <c r="F14">
        <f t="shared" si="1"/>
        <v>4.1706704487738691</v>
      </c>
    </row>
    <row r="15" spans="1:9" x14ac:dyDescent="0.3">
      <c r="A15" t="s">
        <v>23</v>
      </c>
      <c r="B15">
        <v>38.081081058846209</v>
      </c>
      <c r="C15">
        <v>19.0041193642667</v>
      </c>
      <c r="D15">
        <f t="shared" si="0"/>
        <v>27.35171992511745</v>
      </c>
      <c r="E15">
        <v>26</v>
      </c>
      <c r="F15">
        <f t="shared" si="1"/>
        <v>1.3517199251174503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10.204300500092989</v>
      </c>
      <c r="C2">
        <v>13.663683529307363</v>
      </c>
      <c r="D2">
        <f t="shared" ref="D2:D11" si="0">B2*$I$2+C2*$I$3</f>
        <v>12.771121993104412</v>
      </c>
      <c r="E2">
        <v>12</v>
      </c>
      <c r="F2">
        <f t="shared" ref="F2:F11" si="1">ABS(D2-E2)</f>
        <v>0.77112199310441198</v>
      </c>
      <c r="H2" t="s">
        <v>7</v>
      </c>
      <c r="I2">
        <v>0.49902722400195021</v>
      </c>
    </row>
    <row r="3" spans="1:9" x14ac:dyDescent="0.3">
      <c r="A3" t="s">
        <v>25</v>
      </c>
      <c r="B3">
        <v>16.578947347577561</v>
      </c>
      <c r="C3">
        <v>21.796858890576498</v>
      </c>
      <c r="D3">
        <f t="shared" si="0"/>
        <v>20.523034162768184</v>
      </c>
      <c r="E3">
        <v>18</v>
      </c>
      <c r="F3">
        <f t="shared" si="1"/>
        <v>2.5230341627681838</v>
      </c>
      <c r="H3" t="s">
        <v>9</v>
      </c>
      <c r="I3">
        <v>0.56199327400921972</v>
      </c>
    </row>
    <row r="4" spans="1:9" x14ac:dyDescent="0.3">
      <c r="A4" t="s">
        <v>26</v>
      </c>
      <c r="B4">
        <v>15.253201965664752</v>
      </c>
      <c r="C4">
        <v>13.249031429723885</v>
      </c>
      <c r="D4">
        <f t="shared" si="0"/>
        <v>15.057629584708351</v>
      </c>
      <c r="E4">
        <v>20</v>
      </c>
      <c r="F4">
        <f t="shared" si="1"/>
        <v>4.9423704152916486</v>
      </c>
    </row>
    <row r="5" spans="1:9" x14ac:dyDescent="0.3">
      <c r="A5" t="s">
        <v>27</v>
      </c>
      <c r="B5">
        <v>24.036605867007129</v>
      </c>
      <c r="C5">
        <v>19.228500759524625</v>
      </c>
      <c r="D5">
        <f t="shared" si="0"/>
        <v>22.801208796375569</v>
      </c>
      <c r="E5">
        <v>31</v>
      </c>
      <c r="F5">
        <f t="shared" si="1"/>
        <v>8.198791203624431</v>
      </c>
      <c r="H5" t="s">
        <v>12</v>
      </c>
      <c r="I5" cm="1">
        <f t="array" ref="I5">(SUM(TableAVL[PP]-TableAVL[AP]))^2</f>
        <v>2.0194839173657902E-28</v>
      </c>
    </row>
    <row r="6" spans="1:9" x14ac:dyDescent="0.3">
      <c r="A6" t="s">
        <v>28</v>
      </c>
      <c r="B6">
        <v>16.615384589895786</v>
      </c>
      <c r="C6">
        <v>15.86034016727311</v>
      </c>
      <c r="D6">
        <f t="shared" si="0"/>
        <v>17.204933745126226</v>
      </c>
      <c r="E6">
        <v>14</v>
      </c>
      <c r="F6">
        <f t="shared" si="1"/>
        <v>3.2049337451262261</v>
      </c>
    </row>
    <row r="7" spans="1:9" x14ac:dyDescent="0.3">
      <c r="A7" t="s">
        <v>29</v>
      </c>
      <c r="B7">
        <v>7.100198840794433</v>
      </c>
      <c r="C7">
        <v>17.163820384678274</v>
      </c>
      <c r="D7">
        <f t="shared" si="0"/>
        <v>13.189144129875039</v>
      </c>
      <c r="E7">
        <v>24</v>
      </c>
      <c r="F7">
        <f t="shared" si="1"/>
        <v>10.810855870124961</v>
      </c>
      <c r="H7" t="s">
        <v>15</v>
      </c>
      <c r="I7">
        <f>AVERAGE(TableAVL[DIFF])/5</f>
        <v>0.95808069956164155</v>
      </c>
    </row>
    <row r="8" spans="1:9" x14ac:dyDescent="0.3">
      <c r="A8" t="s">
        <v>30</v>
      </c>
      <c r="B8">
        <v>23.952380905792765</v>
      </c>
      <c r="C8">
        <v>13.555069054707591</v>
      </c>
      <c r="D8">
        <f t="shared" si="0"/>
        <v>19.570747789131261</v>
      </c>
      <c r="E8">
        <v>16</v>
      </c>
      <c r="F8">
        <f t="shared" si="1"/>
        <v>3.5707477891312607</v>
      </c>
    </row>
    <row r="9" spans="1:9" x14ac:dyDescent="0.3">
      <c r="A9" t="s">
        <v>31</v>
      </c>
      <c r="B9">
        <v>12.448712416490293</v>
      </c>
      <c r="C9">
        <v>15.015342682033292</v>
      </c>
      <c r="D9">
        <f t="shared" si="0"/>
        <v>14.650767993846028</v>
      </c>
      <c r="E9">
        <v>13</v>
      </c>
      <c r="F9">
        <f t="shared" si="1"/>
        <v>1.6507679938460278</v>
      </c>
    </row>
    <row r="10" spans="1:9" x14ac:dyDescent="0.3">
      <c r="A10" t="s">
        <v>32</v>
      </c>
      <c r="B10">
        <v>13.112589004582151</v>
      </c>
      <c r="C10">
        <v>15.738361037111432</v>
      </c>
      <c r="D10">
        <f t="shared" si="0"/>
        <v>15.388391937220518</v>
      </c>
      <c r="E10">
        <v>11</v>
      </c>
      <c r="F10">
        <f t="shared" si="1"/>
        <v>4.3883919372205185</v>
      </c>
    </row>
    <row r="11" spans="1:9" x14ac:dyDescent="0.3">
      <c r="A11" t="s">
        <v>33</v>
      </c>
      <c r="B11">
        <v>9.9999999999168434</v>
      </c>
      <c r="C11">
        <v>22.869931407142673</v>
      </c>
      <c r="D11">
        <f t="shared" si="0"/>
        <v>17.843019867844397</v>
      </c>
      <c r="E11">
        <v>10</v>
      </c>
      <c r="F11">
        <f t="shared" si="1"/>
        <v>7.8430198678443972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34</v>
      </c>
      <c r="B2">
        <v>20.420438285871846</v>
      </c>
      <c r="C2">
        <v>10.726744107203967</v>
      </c>
      <c r="D2">
        <f t="shared" ref="D2:D10" si="0">B2*$I$2+C2*$I$3</f>
        <v>17.199016056173704</v>
      </c>
      <c r="E2">
        <v>12</v>
      </c>
      <c r="F2">
        <f t="shared" ref="F2:F10" si="1">ABS(D2-E2)</f>
        <v>5.1990160561737042</v>
      </c>
      <c r="H2" t="s">
        <v>7</v>
      </c>
      <c r="I2">
        <v>0.48750358073884009</v>
      </c>
    </row>
    <row r="3" spans="1:9" x14ac:dyDescent="0.3">
      <c r="A3" t="s">
        <v>35</v>
      </c>
      <c r="B3">
        <v>11.084606390688492</v>
      </c>
      <c r="C3">
        <v>15.916016680824292</v>
      </c>
      <c r="D3">
        <f t="shared" si="0"/>
        <v>16.152181443275673</v>
      </c>
      <c r="E3">
        <v>10</v>
      </c>
      <c r="F3">
        <f t="shared" si="1"/>
        <v>6.1521814432756727</v>
      </c>
      <c r="H3" t="s">
        <v>9</v>
      </c>
      <c r="I3">
        <v>0.67531948176984069</v>
      </c>
    </row>
    <row r="4" spans="1:9" x14ac:dyDescent="0.3">
      <c r="A4" t="s">
        <v>36</v>
      </c>
      <c r="B4">
        <v>12.588775410493289</v>
      </c>
      <c r="C4">
        <v>17.306282941771279</v>
      </c>
      <c r="D4">
        <f t="shared" si="0"/>
        <v>17.824343117331754</v>
      </c>
      <c r="E4">
        <v>15</v>
      </c>
      <c r="F4">
        <f t="shared" si="1"/>
        <v>2.8243431173317539</v>
      </c>
    </row>
    <row r="5" spans="1:9" x14ac:dyDescent="0.3">
      <c r="A5" t="s">
        <v>37</v>
      </c>
      <c r="B5">
        <v>12.436964435392836</v>
      </c>
      <c r="C5">
        <v>15.32452461716221</v>
      </c>
      <c r="D5">
        <f t="shared" si="0"/>
        <v>16.412014718606763</v>
      </c>
      <c r="E5">
        <v>16</v>
      </c>
      <c r="F5">
        <f t="shared" si="1"/>
        <v>0.41201471860676264</v>
      </c>
      <c r="H5" t="s">
        <v>12</v>
      </c>
      <c r="I5" cm="1">
        <f t="array" ref="I5">(SUM(TableBOU[PP]-TableBOU[AP]))^2</f>
        <v>5.0487097934144756E-29</v>
      </c>
    </row>
    <row r="6" spans="1:9" x14ac:dyDescent="0.3">
      <c r="A6" t="s">
        <v>38</v>
      </c>
      <c r="B6">
        <v>12.404663095120291</v>
      </c>
      <c r="C6">
        <v>13.875817165365859</v>
      </c>
      <c r="D6">
        <f t="shared" si="0"/>
        <v>15.417927333978017</v>
      </c>
      <c r="E6">
        <v>25</v>
      </c>
      <c r="F6">
        <f t="shared" si="1"/>
        <v>9.5820726660219826</v>
      </c>
    </row>
    <row r="7" spans="1:9" x14ac:dyDescent="0.3">
      <c r="A7" t="s">
        <v>39</v>
      </c>
      <c r="B7">
        <v>5.2352404432905839</v>
      </c>
      <c r="C7">
        <v>24.572619638067078</v>
      </c>
      <c r="D7">
        <f t="shared" si="0"/>
        <v>19.146567221839824</v>
      </c>
      <c r="E7">
        <v>14</v>
      </c>
      <c r="F7">
        <f t="shared" si="1"/>
        <v>5.146567221839824</v>
      </c>
      <c r="H7" t="s">
        <v>15</v>
      </c>
      <c r="I7">
        <f>AVERAGE(TableBOU[DIFF])/5</f>
        <v>1.3284644754031982</v>
      </c>
    </row>
    <row r="8" spans="1:9" x14ac:dyDescent="0.3">
      <c r="A8" t="s">
        <v>40</v>
      </c>
      <c r="B8">
        <v>14.538095014097388</v>
      </c>
      <c r="C8">
        <v>22.313816156107904</v>
      </c>
      <c r="D8">
        <f t="shared" si="0"/>
        <v>22.156328139344243</v>
      </c>
      <c r="E8">
        <v>12</v>
      </c>
      <c r="F8">
        <f t="shared" si="1"/>
        <v>10.156328139344243</v>
      </c>
    </row>
    <row r="9" spans="1:9" x14ac:dyDescent="0.3">
      <c r="A9" t="s">
        <v>41</v>
      </c>
      <c r="B9">
        <v>14.87453734392205</v>
      </c>
      <c r="C9">
        <v>10.789282737715228</v>
      </c>
      <c r="D9">
        <f t="shared" si="0"/>
        <v>14.537603044097731</v>
      </c>
      <c r="E9">
        <v>15</v>
      </c>
      <c r="F9">
        <f t="shared" si="1"/>
        <v>0.46239695590226937</v>
      </c>
    </row>
    <row r="10" spans="1:9" x14ac:dyDescent="0.3">
      <c r="A10" t="s">
        <v>42</v>
      </c>
      <c r="B10">
        <v>10.96364309201992</v>
      </c>
      <c r="C10">
        <v>27.852304231999639</v>
      </c>
      <c r="D10">
        <f t="shared" si="0"/>
        <v>24.154018925352297</v>
      </c>
      <c r="E10">
        <v>44</v>
      </c>
      <c r="F10">
        <f t="shared" si="1"/>
        <v>19.845981074647703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43</v>
      </c>
      <c r="B2">
        <v>54.02702700906616</v>
      </c>
      <c r="C2">
        <v>20.616331482923574</v>
      </c>
      <c r="D2">
        <f t="shared" ref="D2:D12" si="0">B2*$I$2+C2*$I$3</f>
        <v>35.032346412788314</v>
      </c>
      <c r="E2">
        <v>10</v>
      </c>
      <c r="F2">
        <f t="shared" ref="F2:F12" si="1">ABS(D2-E2)</f>
        <v>25.032346412788314</v>
      </c>
      <c r="H2" t="s">
        <v>7</v>
      </c>
      <c r="I2">
        <v>0.49853396549714685</v>
      </c>
    </row>
    <row r="3" spans="1:9" x14ac:dyDescent="0.3">
      <c r="A3" t="s">
        <v>44</v>
      </c>
      <c r="B3">
        <v>16.599267491689293</v>
      </c>
      <c r="C3">
        <v>20.583355476164353</v>
      </c>
      <c r="D3">
        <f t="shared" si="0"/>
        <v>16.360384156014113</v>
      </c>
      <c r="E3">
        <v>23</v>
      </c>
      <c r="F3">
        <f t="shared" si="1"/>
        <v>6.6396158439858866</v>
      </c>
      <c r="H3" t="s">
        <v>9</v>
      </c>
      <c r="I3">
        <v>0.39279725399471188</v>
      </c>
    </row>
    <row r="4" spans="1:9" x14ac:dyDescent="0.3">
      <c r="A4" t="s">
        <v>45</v>
      </c>
      <c r="B4">
        <v>21.775952724416488</v>
      </c>
      <c r="C4">
        <v>30.385141697774483</v>
      </c>
      <c r="D4">
        <f t="shared" si="0"/>
        <v>22.791252285307785</v>
      </c>
      <c r="E4">
        <v>31</v>
      </c>
      <c r="F4">
        <f t="shared" si="1"/>
        <v>8.2087477146922154</v>
      </c>
    </row>
    <row r="5" spans="1:9" x14ac:dyDescent="0.3">
      <c r="A5" t="s">
        <v>46</v>
      </c>
      <c r="B5">
        <v>20.450768968254451</v>
      </c>
      <c r="C5">
        <v>25.071983345146393</v>
      </c>
      <c r="D5">
        <f t="shared" si="0"/>
        <v>20.043609161384538</v>
      </c>
      <c r="E5">
        <v>24</v>
      </c>
      <c r="F5">
        <f t="shared" si="1"/>
        <v>3.9563908386154623</v>
      </c>
      <c r="H5" t="s">
        <v>12</v>
      </c>
      <c r="I5" cm="1">
        <f t="array" ref="I5">(SUM(TableBRE[PP]-TableBRE[AP]))^2</f>
        <v>4.543838814073028E-28</v>
      </c>
    </row>
    <row r="6" spans="1:9" x14ac:dyDescent="0.3">
      <c r="A6" t="s">
        <v>47</v>
      </c>
      <c r="B6">
        <v>66.686274509803923</v>
      </c>
      <c r="C6">
        <v>18.386029776476054</v>
      </c>
      <c r="D6">
        <f t="shared" si="0"/>
        <v>40.467354883668648</v>
      </c>
      <c r="E6">
        <v>22</v>
      </c>
      <c r="F6">
        <f t="shared" si="1"/>
        <v>18.467354883668648</v>
      </c>
    </row>
    <row r="7" spans="1:9" x14ac:dyDescent="0.3">
      <c r="A7" t="s">
        <v>48</v>
      </c>
      <c r="B7">
        <v>18.529731279559769</v>
      </c>
      <c r="C7">
        <v>16.352532876476765</v>
      </c>
      <c r="D7">
        <f t="shared" si="0"/>
        <v>15.660930424133774</v>
      </c>
      <c r="E7">
        <v>12</v>
      </c>
      <c r="F7">
        <f t="shared" si="1"/>
        <v>3.6609304241337739</v>
      </c>
      <c r="H7" t="s">
        <v>15</v>
      </c>
      <c r="I7">
        <f>AVERAGE(TableBRE[DIFF])/5</f>
        <v>1.7149320625669358</v>
      </c>
    </row>
    <row r="8" spans="1:9" x14ac:dyDescent="0.3">
      <c r="A8" t="s">
        <v>49</v>
      </c>
      <c r="B8">
        <v>24.339132872020077</v>
      </c>
      <c r="C8">
        <v>17.587373346803187</v>
      </c>
      <c r="D8">
        <f t="shared" si="0"/>
        <v>19.042156383054206</v>
      </c>
      <c r="E8">
        <v>25</v>
      </c>
      <c r="F8">
        <f t="shared" si="1"/>
        <v>5.9578436169457945</v>
      </c>
    </row>
    <row r="9" spans="1:9" x14ac:dyDescent="0.3">
      <c r="A9" t="s">
        <v>50</v>
      </c>
      <c r="B9">
        <v>14.361702126440701</v>
      </c>
      <c r="C9">
        <v>17.704246664839701</v>
      </c>
      <c r="D9">
        <f t="shared" si="0"/>
        <v>14.11397578637736</v>
      </c>
      <c r="E9">
        <v>18</v>
      </c>
      <c r="F9">
        <f t="shared" si="1"/>
        <v>3.8860242136226404</v>
      </c>
    </row>
    <row r="10" spans="1:9" x14ac:dyDescent="0.3">
      <c r="A10" t="s">
        <v>51</v>
      </c>
      <c r="B10">
        <v>27.427768742680314</v>
      </c>
      <c r="C10">
        <v>19.148414596153991</v>
      </c>
      <c r="D10">
        <f t="shared" si="0"/>
        <v>21.195118987748657</v>
      </c>
      <c r="E10">
        <v>23</v>
      </c>
      <c r="F10">
        <f t="shared" si="1"/>
        <v>1.804881012251343</v>
      </c>
    </row>
    <row r="11" spans="1:9" x14ac:dyDescent="0.3">
      <c r="A11" t="s">
        <v>52</v>
      </c>
      <c r="B11">
        <v>8.25</v>
      </c>
      <c r="C11">
        <v>19.769941979055787</v>
      </c>
      <c r="D11">
        <f t="shared" si="0"/>
        <v>11.878484136359354</v>
      </c>
      <c r="E11">
        <v>21</v>
      </c>
      <c r="F11">
        <f t="shared" si="1"/>
        <v>9.1215158636406457</v>
      </c>
    </row>
    <row r="12" spans="1:9" x14ac:dyDescent="0.3">
      <c r="A12" t="s">
        <v>53</v>
      </c>
      <c r="B12">
        <v>15.911306762852291</v>
      </c>
      <c r="C12">
        <v>21.593991404408083</v>
      </c>
      <c r="D12">
        <f t="shared" si="0"/>
        <v>16.414387383163231</v>
      </c>
      <c r="E12">
        <v>24</v>
      </c>
      <c r="F12">
        <f t="shared" si="1"/>
        <v>7.5856126168367695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54</v>
      </c>
      <c r="B2">
        <v>10.891304347698711</v>
      </c>
      <c r="C2">
        <v>11.710772568927782</v>
      </c>
      <c r="D2">
        <f t="shared" ref="D2:D12" si="0">B2*$I$2+C2*$I$3</f>
        <v>11.320331254129979</v>
      </c>
      <c r="E2">
        <v>16</v>
      </c>
      <c r="F2">
        <f t="shared" ref="F2:F12" si="1">ABS(D2-E2)</f>
        <v>4.6796687458700212</v>
      </c>
      <c r="H2" t="s">
        <v>7</v>
      </c>
      <c r="I2">
        <v>0.47012537654232489</v>
      </c>
    </row>
    <row r="3" spans="1:9" x14ac:dyDescent="0.3">
      <c r="A3" t="s">
        <v>55</v>
      </c>
      <c r="B3">
        <v>14.257175948817832</v>
      </c>
      <c r="C3">
        <v>18.311352219380147</v>
      </c>
      <c r="D3">
        <f t="shared" si="0"/>
        <v>16.397268149358695</v>
      </c>
      <c r="E3">
        <v>15</v>
      </c>
      <c r="F3">
        <f t="shared" si="1"/>
        <v>1.3972681493586947</v>
      </c>
      <c r="H3" t="s">
        <v>9</v>
      </c>
      <c r="I3">
        <v>0.52943156910771849</v>
      </c>
    </row>
    <row r="4" spans="1:9" x14ac:dyDescent="0.3">
      <c r="A4" t="s">
        <v>56</v>
      </c>
      <c r="B4">
        <v>16.167296726972687</v>
      </c>
      <c r="C4">
        <v>23.172501130827648</v>
      </c>
      <c r="D4">
        <f t="shared" si="0"/>
        <v>19.868910095283994</v>
      </c>
      <c r="E4">
        <v>16</v>
      </c>
      <c r="F4">
        <f t="shared" si="1"/>
        <v>3.8689100952839937</v>
      </c>
    </row>
    <row r="5" spans="1:9" x14ac:dyDescent="0.3">
      <c r="A5" t="s">
        <v>57</v>
      </c>
      <c r="B5">
        <v>34.098042603747118</v>
      </c>
      <c r="C5">
        <v>18.448104233155203</v>
      </c>
      <c r="D5">
        <f t="shared" si="0"/>
        <v>25.79736388966495</v>
      </c>
      <c r="E5">
        <v>23</v>
      </c>
      <c r="F5">
        <f t="shared" si="1"/>
        <v>2.7973638896649504</v>
      </c>
      <c r="H5" t="s">
        <v>12</v>
      </c>
      <c r="I5" cm="1">
        <f t="array" ref="I5">(SUM(TableBHA[PP]-TableBHA[AP]))^2</f>
        <v>2.473867798773093E-27</v>
      </c>
    </row>
    <row r="6" spans="1:9" x14ac:dyDescent="0.3">
      <c r="A6" t="s">
        <v>58</v>
      </c>
      <c r="B6">
        <v>24.204032655174782</v>
      </c>
      <c r="C6">
        <v>32.314493642161167</v>
      </c>
      <c r="D6">
        <f t="shared" si="0"/>
        <v>28.487243039747554</v>
      </c>
      <c r="E6">
        <v>27</v>
      </c>
      <c r="F6">
        <f t="shared" si="1"/>
        <v>1.487243039747554</v>
      </c>
    </row>
    <row r="7" spans="1:9" x14ac:dyDescent="0.3">
      <c r="A7" t="s">
        <v>59</v>
      </c>
      <c r="B7">
        <v>16.078174901505463</v>
      </c>
      <c r="C7">
        <v>15.640497702893281</v>
      </c>
      <c r="D7">
        <f t="shared" si="0"/>
        <v>15.839331270152069</v>
      </c>
      <c r="E7">
        <v>16</v>
      </c>
      <c r="F7">
        <f t="shared" si="1"/>
        <v>0.16066872984793079</v>
      </c>
      <c r="H7" t="s">
        <v>15</v>
      </c>
      <c r="I7">
        <f>AVERAGE(TableBHA[DIFF])/5</f>
        <v>0.83651367274354949</v>
      </c>
    </row>
    <row r="8" spans="1:9" x14ac:dyDescent="0.3">
      <c r="A8" t="s">
        <v>60</v>
      </c>
      <c r="B8">
        <v>14.797297297297298</v>
      </c>
      <c r="C8">
        <v>17.281058283098311</v>
      </c>
      <c r="D8">
        <f t="shared" si="0"/>
        <v>16.105722766363293</v>
      </c>
      <c r="E8">
        <v>28</v>
      </c>
      <c r="F8">
        <f t="shared" si="1"/>
        <v>11.894277233636707</v>
      </c>
    </row>
    <row r="9" spans="1:9" x14ac:dyDescent="0.3">
      <c r="A9" t="s">
        <v>61</v>
      </c>
      <c r="B9">
        <v>17.799999968607104</v>
      </c>
      <c r="C9">
        <v>18.767372391467305</v>
      </c>
      <c r="D9">
        <f t="shared" si="0"/>
        <v>18.304271100938195</v>
      </c>
      <c r="E9">
        <v>20</v>
      </c>
      <c r="F9">
        <f t="shared" si="1"/>
        <v>1.6957288990618054</v>
      </c>
    </row>
    <row r="10" spans="1:9" x14ac:dyDescent="0.3">
      <c r="A10" t="s">
        <v>62</v>
      </c>
      <c r="B10">
        <v>10.277688295954352</v>
      </c>
      <c r="C10">
        <v>11.369806494582946</v>
      </c>
      <c r="D10">
        <f t="shared" si="0"/>
        <v>10.851336572998363</v>
      </c>
      <c r="E10">
        <v>10</v>
      </c>
      <c r="F10">
        <f t="shared" si="1"/>
        <v>0.85133657299836329</v>
      </c>
    </row>
    <row r="11" spans="1:9" x14ac:dyDescent="0.3">
      <c r="A11" t="s">
        <v>63</v>
      </c>
      <c r="B11">
        <v>13.667044921273698</v>
      </c>
      <c r="C11">
        <v>18.890057850138049</v>
      </c>
      <c r="D11">
        <f t="shared" si="0"/>
        <v>16.42621760796883</v>
      </c>
      <c r="E11">
        <v>21</v>
      </c>
      <c r="F11">
        <f t="shared" si="1"/>
        <v>4.5737823920311698</v>
      </c>
    </row>
    <row r="12" spans="1:9" x14ac:dyDescent="0.3">
      <c r="A12" t="s">
        <v>64</v>
      </c>
      <c r="B12">
        <v>17.194130836563403</v>
      </c>
      <c r="C12">
        <v>27.423009632775969</v>
      </c>
      <c r="D12">
        <f t="shared" si="0"/>
        <v>22.602004253394028</v>
      </c>
      <c r="E12">
        <v>10</v>
      </c>
      <c r="F12">
        <f t="shared" si="1"/>
        <v>12.602004253394028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65</v>
      </c>
      <c r="B2">
        <v>13.440445552712797</v>
      </c>
      <c r="C2">
        <v>24.7482386690677</v>
      </c>
      <c r="D2">
        <f t="shared" ref="D2:D11" si="0">B2*$I$2+C2*$I$3</f>
        <v>13.070483156815367</v>
      </c>
      <c r="E2">
        <v>16</v>
      </c>
      <c r="F2">
        <f t="shared" ref="F2:F11" si="1">ABS(D2-E2)</f>
        <v>2.9295168431846328</v>
      </c>
      <c r="H2" t="s">
        <v>7</v>
      </c>
      <c r="I2">
        <v>0.40012643829490102</v>
      </c>
    </row>
    <row r="3" spans="1:9" x14ac:dyDescent="0.3">
      <c r="A3" t="s">
        <v>66</v>
      </c>
      <c r="B3">
        <v>18.60465114670782</v>
      </c>
      <c r="C3">
        <v>17.122081528351067</v>
      </c>
      <c r="D3">
        <f t="shared" si="0"/>
        <v>12.766345866044755</v>
      </c>
      <c r="E3">
        <v>23</v>
      </c>
      <c r="F3">
        <f t="shared" si="1"/>
        <v>10.233654133955245</v>
      </c>
      <c r="H3" t="s">
        <v>9</v>
      </c>
      <c r="I3">
        <v>0.31083446590187763</v>
      </c>
    </row>
    <row r="4" spans="1:9" x14ac:dyDescent="0.3">
      <c r="A4" t="s">
        <v>67</v>
      </c>
      <c r="B4">
        <v>14.116856501820624</v>
      </c>
      <c r="C4">
        <v>14.744316780365452</v>
      </c>
      <c r="D4">
        <f t="shared" si="0"/>
        <v>10.231569343506688</v>
      </c>
      <c r="E4">
        <v>10</v>
      </c>
      <c r="F4">
        <f t="shared" si="1"/>
        <v>0.23156934350668834</v>
      </c>
    </row>
    <row r="5" spans="1:9" x14ac:dyDescent="0.3">
      <c r="A5" t="s">
        <v>68</v>
      </c>
      <c r="B5">
        <v>11.576969020980977</v>
      </c>
      <c r="C5">
        <v>10.743907936584296</v>
      </c>
      <c r="D5">
        <f t="shared" si="0"/>
        <v>7.9718282657826496</v>
      </c>
      <c r="E5">
        <v>11</v>
      </c>
      <c r="F5">
        <f t="shared" si="1"/>
        <v>3.0281717342173504</v>
      </c>
      <c r="H5" t="s">
        <v>12</v>
      </c>
      <c r="I5" cm="1">
        <f t="array" ref="I5">(SUM(TableCHE[PP]-TableCHE[AP]))^2</f>
        <v>1.2621774483536189E-29</v>
      </c>
    </row>
    <row r="6" spans="1:9" x14ac:dyDescent="0.3">
      <c r="A6" t="s">
        <v>69</v>
      </c>
      <c r="B6">
        <v>19.818180835424741</v>
      </c>
      <c r="C6">
        <v>23.689078214017684</v>
      </c>
      <c r="D6">
        <f t="shared" si="0"/>
        <v>15.293160085524761</v>
      </c>
      <c r="E6">
        <v>22</v>
      </c>
      <c r="F6">
        <f t="shared" si="1"/>
        <v>6.7068399144752391</v>
      </c>
    </row>
    <row r="7" spans="1:9" x14ac:dyDescent="0.3">
      <c r="A7" t="s">
        <v>70</v>
      </c>
      <c r="B7">
        <v>16.324548440957475</v>
      </c>
      <c r="C7">
        <v>17.863422923188391</v>
      </c>
      <c r="D7">
        <f t="shared" si="0"/>
        <v>12.084450947961514</v>
      </c>
      <c r="E7">
        <v>15</v>
      </c>
      <c r="F7">
        <f t="shared" si="1"/>
        <v>2.9155490520384859</v>
      </c>
      <c r="H7" t="s">
        <v>15</v>
      </c>
      <c r="I7">
        <f>AVERAGE(TableCHE[DIFF])/5</f>
        <v>1.4673351017120797</v>
      </c>
    </row>
    <row r="8" spans="1:9" x14ac:dyDescent="0.3">
      <c r="A8" t="s">
        <v>71</v>
      </c>
      <c r="B8">
        <v>19.713917492709911</v>
      </c>
      <c r="C8">
        <v>18.433598705267585</v>
      </c>
      <c r="D8">
        <f t="shared" si="0"/>
        <v>13.617857399398954</v>
      </c>
      <c r="E8">
        <v>10</v>
      </c>
      <c r="F8">
        <f t="shared" si="1"/>
        <v>3.6178573993989538</v>
      </c>
    </row>
    <row r="9" spans="1:9" x14ac:dyDescent="0.3">
      <c r="A9" t="s">
        <v>72</v>
      </c>
      <c r="B9">
        <v>96.904950714614117</v>
      </c>
      <c r="C9">
        <v>13.060707426815458</v>
      </c>
      <c r="D9">
        <f t="shared" si="0"/>
        <v>42.833950799896343</v>
      </c>
      <c r="E9">
        <v>10</v>
      </c>
      <c r="F9">
        <f t="shared" si="1"/>
        <v>32.833950799896343</v>
      </c>
    </row>
    <row r="10" spans="1:9" x14ac:dyDescent="0.3">
      <c r="A10" t="s">
        <v>73</v>
      </c>
      <c r="B10">
        <v>12.647058822056623</v>
      </c>
      <c r="C10">
        <v>15.429417348072061</v>
      </c>
      <c r="D10">
        <f t="shared" si="0"/>
        <v>9.8564173019407662</v>
      </c>
      <c r="E10">
        <v>19</v>
      </c>
      <c r="F10">
        <f t="shared" si="1"/>
        <v>9.1435826980592338</v>
      </c>
    </row>
    <row r="11" spans="1:9" x14ac:dyDescent="0.3">
      <c r="A11" t="s">
        <v>74</v>
      </c>
      <c r="B11">
        <v>12.203294653743777</v>
      </c>
      <c r="C11">
        <v>26.995320430493496</v>
      </c>
      <c r="D11">
        <f t="shared" si="0"/>
        <v>13.273936833128197</v>
      </c>
      <c r="E11">
        <v>15</v>
      </c>
      <c r="F11">
        <f t="shared" si="1"/>
        <v>1.7260631668718034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75</v>
      </c>
      <c r="B2">
        <v>8.2929674869262584</v>
      </c>
      <c r="C2">
        <v>13.284220872159665</v>
      </c>
      <c r="D2">
        <f t="shared" ref="D2:D9" si="0">B2*$I$2+C2*$I$3</f>
        <v>8.6533519600454927</v>
      </c>
      <c r="E2">
        <v>10</v>
      </c>
      <c r="F2">
        <f t="shared" ref="F2:F9" si="1">ABS(D2-E2)</f>
        <v>1.3466480399545073</v>
      </c>
      <c r="H2" t="s">
        <v>7</v>
      </c>
      <c r="I2">
        <v>0.43870737872639565</v>
      </c>
    </row>
    <row r="3" spans="1:9" x14ac:dyDescent="0.3">
      <c r="A3" t="s">
        <v>76</v>
      </c>
      <c r="B3">
        <v>17.827427820815519</v>
      </c>
      <c r="C3">
        <v>17.872318380071675</v>
      </c>
      <c r="D3">
        <f t="shared" si="0"/>
        <v>14.568325542015501</v>
      </c>
      <c r="E3">
        <v>21</v>
      </c>
      <c r="F3">
        <f t="shared" si="1"/>
        <v>6.4316744579844993</v>
      </c>
      <c r="H3" t="s">
        <v>9</v>
      </c>
      <c r="I3">
        <v>0.37752804475747281</v>
      </c>
    </row>
    <row r="4" spans="1:9" x14ac:dyDescent="0.3">
      <c r="A4" t="s">
        <v>77</v>
      </c>
      <c r="B4">
        <v>11.204918364216454</v>
      </c>
      <c r="C4">
        <v>12.807357295185794</v>
      </c>
      <c r="D4">
        <f t="shared" si="0"/>
        <v>9.7508169225705021</v>
      </c>
      <c r="E4">
        <v>13</v>
      </c>
      <c r="F4">
        <f t="shared" si="1"/>
        <v>3.2491830774294979</v>
      </c>
    </row>
    <row r="5" spans="1:9" x14ac:dyDescent="0.3">
      <c r="A5" t="s">
        <v>78</v>
      </c>
      <c r="B5">
        <v>44.587571745424739</v>
      </c>
      <c r="C5">
        <v>23.350343085101745</v>
      </c>
      <c r="D5">
        <f t="shared" si="0"/>
        <v>28.376306093545026</v>
      </c>
      <c r="E5">
        <v>10</v>
      </c>
      <c r="F5">
        <f t="shared" si="1"/>
        <v>18.376306093545026</v>
      </c>
      <c r="H5" t="s">
        <v>12</v>
      </c>
      <c r="I5" cm="1">
        <f t="array" ref="I5">(SUM(TableCRY[PP]-TableCRY[AP]))^2</f>
        <v>7.8886090522101181E-29</v>
      </c>
    </row>
    <row r="6" spans="1:9" x14ac:dyDescent="0.3">
      <c r="A6" t="s">
        <v>79</v>
      </c>
      <c r="B6">
        <v>13.076099096103226</v>
      </c>
      <c r="C6">
        <v>12.275550734620497</v>
      </c>
      <c r="D6">
        <f t="shared" si="0"/>
        <v>10.370945825580474</v>
      </c>
      <c r="E6">
        <v>15</v>
      </c>
      <c r="F6">
        <f t="shared" si="1"/>
        <v>4.6290541744195259</v>
      </c>
    </row>
    <row r="7" spans="1:9" x14ac:dyDescent="0.3">
      <c r="A7" t="s">
        <v>80</v>
      </c>
      <c r="B7">
        <v>14.881204586983205</v>
      </c>
      <c r="C7">
        <v>15.131361875646533</v>
      </c>
      <c r="D7">
        <f t="shared" si="0"/>
        <v>12.241007720077219</v>
      </c>
      <c r="E7">
        <v>14</v>
      </c>
      <c r="F7">
        <f t="shared" si="1"/>
        <v>1.7589922799227811</v>
      </c>
      <c r="H7" t="s">
        <v>15</v>
      </c>
      <c r="I7">
        <f>AVERAGE(TableCRY[DIFF])/5</f>
        <v>1.0449371991583987</v>
      </c>
    </row>
    <row r="8" spans="1:9" x14ac:dyDescent="0.3">
      <c r="A8" t="s">
        <v>81</v>
      </c>
      <c r="B8">
        <v>19.939310289802552</v>
      </c>
      <c r="C8">
        <v>17.945462417563395</v>
      </c>
      <c r="D8">
        <f t="shared" si="0"/>
        <v>15.522437889622946</v>
      </c>
      <c r="E8">
        <v>13</v>
      </c>
      <c r="F8">
        <f t="shared" si="1"/>
        <v>2.522437889622946</v>
      </c>
    </row>
    <row r="9" spans="1:9" x14ac:dyDescent="0.3">
      <c r="A9" t="s">
        <v>82</v>
      </c>
      <c r="B9">
        <v>18.176115915342532</v>
      </c>
      <c r="C9">
        <v>14.681854645941701</v>
      </c>
      <c r="D9">
        <f t="shared" si="0"/>
        <v>13.516808046542831</v>
      </c>
      <c r="E9">
        <v>17</v>
      </c>
      <c r="F9">
        <f t="shared" si="1"/>
        <v>3.4831919534571689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20.997484983979781</v>
      </c>
      <c r="C2">
        <v>17.708751029886304</v>
      </c>
      <c r="D2">
        <f t="shared" ref="D2:D10" si="0">B2*$I$2+C2*$I$3</f>
        <v>20.391957915485769</v>
      </c>
      <c r="E2">
        <v>16</v>
      </c>
      <c r="F2">
        <f t="shared" ref="F2:F10" si="1">ABS(D2-E2)</f>
        <v>4.3919579154857686</v>
      </c>
      <c r="H2" t="s">
        <v>7</v>
      </c>
      <c r="I2">
        <v>0.54902899814043382</v>
      </c>
    </row>
    <row r="3" spans="1:9" x14ac:dyDescent="0.3">
      <c r="A3" t="s">
        <v>84</v>
      </c>
      <c r="B3">
        <v>23.696969696969695</v>
      </c>
      <c r="C3">
        <v>12.390302397126005</v>
      </c>
      <c r="D3">
        <f t="shared" si="0"/>
        <v>19.212019633635986</v>
      </c>
      <c r="E3">
        <v>19</v>
      </c>
      <c r="F3">
        <f t="shared" si="1"/>
        <v>0.21201963363598608</v>
      </c>
      <c r="H3" t="s">
        <v>9</v>
      </c>
      <c r="I3">
        <v>0.50052822789724727</v>
      </c>
    </row>
    <row r="4" spans="1:9" x14ac:dyDescent="0.3">
      <c r="A4" t="s">
        <v>85</v>
      </c>
      <c r="B4">
        <v>13.033150106901637</v>
      </c>
      <c r="C4">
        <v>15.629352186083771</v>
      </c>
      <c r="D4">
        <f t="shared" si="0"/>
        <v>14.978509298688572</v>
      </c>
      <c r="E4">
        <v>16</v>
      </c>
      <c r="F4">
        <f t="shared" si="1"/>
        <v>1.0214907013114285</v>
      </c>
    </row>
    <row r="5" spans="1:9" x14ac:dyDescent="0.3">
      <c r="A5" t="s">
        <v>86</v>
      </c>
      <c r="B5">
        <v>22.283962224863775</v>
      </c>
      <c r="C5">
        <v>14.079764450443079</v>
      </c>
      <c r="D5">
        <f t="shared" si="0"/>
        <v>19.281861004507164</v>
      </c>
      <c r="E5">
        <v>20</v>
      </c>
      <c r="F5">
        <f t="shared" si="1"/>
        <v>0.71813899549283633</v>
      </c>
      <c r="H5" t="s">
        <v>12</v>
      </c>
      <c r="I5" cm="1">
        <f t="array" ref="I5">(SUM(TableEVE[PP]-TableEVE[AP]))^2</f>
        <v>5.0487097934144756E-29</v>
      </c>
    </row>
    <row r="6" spans="1:9" x14ac:dyDescent="0.3">
      <c r="A6" t="s">
        <v>87</v>
      </c>
      <c r="B6">
        <v>14.055747008149394</v>
      </c>
      <c r="C6">
        <v>15.709825697887286</v>
      </c>
      <c r="D6">
        <f t="shared" si="0"/>
        <v>15.580223915137822</v>
      </c>
      <c r="E6">
        <v>13</v>
      </c>
      <c r="F6">
        <f t="shared" si="1"/>
        <v>2.5802239151378217</v>
      </c>
    </row>
    <row r="7" spans="1:9" x14ac:dyDescent="0.3">
      <c r="A7" t="s">
        <v>88</v>
      </c>
      <c r="B7">
        <v>12.216512371955231</v>
      </c>
      <c r="C7">
        <v>13.910386504188313</v>
      </c>
      <c r="D7">
        <f t="shared" si="0"/>
        <v>13.669760654651956</v>
      </c>
      <c r="E7">
        <v>12</v>
      </c>
      <c r="F7">
        <f t="shared" si="1"/>
        <v>1.6697606546519559</v>
      </c>
      <c r="H7" t="s">
        <v>15</v>
      </c>
      <c r="I7">
        <f>AVERAGE(TableEVE[DIFF])/5</f>
        <v>0.4211004870732718</v>
      </c>
    </row>
    <row r="8" spans="1:9" x14ac:dyDescent="0.3">
      <c r="A8" t="s">
        <v>89</v>
      </c>
      <c r="B8">
        <v>11.19237915747906</v>
      </c>
      <c r="C8">
        <v>14.935937091910001</v>
      </c>
      <c r="D8">
        <f t="shared" si="0"/>
        <v>13.620798840237079</v>
      </c>
      <c r="E8">
        <v>13</v>
      </c>
      <c r="F8">
        <f t="shared" si="1"/>
        <v>0.62079884023707876</v>
      </c>
    </row>
    <row r="9" spans="1:9" x14ac:dyDescent="0.3">
      <c r="A9" t="s">
        <v>90</v>
      </c>
      <c r="B9">
        <v>13.019810325772767</v>
      </c>
      <c r="C9">
        <v>14.764980943758145</v>
      </c>
      <c r="D9">
        <f t="shared" si="0"/>
        <v>14.538543165853387</v>
      </c>
      <c r="E9">
        <v>16</v>
      </c>
      <c r="F9">
        <f t="shared" si="1"/>
        <v>1.4614568341466132</v>
      </c>
    </row>
    <row r="10" spans="1:9" x14ac:dyDescent="0.3">
      <c r="A10" t="s">
        <v>91</v>
      </c>
      <c r="B10">
        <v>14.728346616511644</v>
      </c>
      <c r="C10">
        <v>13.266057366173056</v>
      </c>
      <c r="D10">
        <f t="shared" si="0"/>
        <v>14.72632557180226</v>
      </c>
      <c r="E10">
        <v>21</v>
      </c>
      <c r="F10">
        <f t="shared" si="1"/>
        <v>6.2736744281977401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92</v>
      </c>
      <c r="B2">
        <v>11.396438115823273</v>
      </c>
      <c r="C2">
        <v>14.74102639294223</v>
      </c>
      <c r="D2">
        <f t="shared" ref="D2:D8" si="0">B2*$I$2+C2*$I$3</f>
        <v>13.384330566993212</v>
      </c>
      <c r="E2">
        <v>19</v>
      </c>
      <c r="F2">
        <f t="shared" ref="F2:F8" si="1">ABS(D2-E2)</f>
        <v>5.6156694330067882</v>
      </c>
      <c r="H2" t="s">
        <v>7</v>
      </c>
      <c r="I2">
        <v>0.43646486114847627</v>
      </c>
    </row>
    <row r="3" spans="1:9" x14ac:dyDescent="0.3">
      <c r="A3" t="s">
        <v>93</v>
      </c>
      <c r="B3">
        <v>7.7977834445340219</v>
      </c>
      <c r="C3">
        <v>21.090471630391697</v>
      </c>
      <c r="D3">
        <f t="shared" si="0"/>
        <v>15.436188077757835</v>
      </c>
      <c r="E3">
        <v>17</v>
      </c>
      <c r="F3">
        <f t="shared" si="1"/>
        <v>1.5638119222421647</v>
      </c>
      <c r="H3" t="s">
        <v>9</v>
      </c>
      <c r="I3">
        <v>0.57052918589236556</v>
      </c>
    </row>
    <row r="4" spans="1:9" x14ac:dyDescent="0.3">
      <c r="A4" t="s">
        <v>94</v>
      </c>
      <c r="B4">
        <v>20.071430120368177</v>
      </c>
      <c r="C4">
        <v>22.155535387070035</v>
      </c>
      <c r="D4">
        <f t="shared" si="0"/>
        <v>21.400853527932405</v>
      </c>
      <c r="E4">
        <v>10</v>
      </c>
      <c r="F4">
        <f t="shared" si="1"/>
        <v>11.400853527932405</v>
      </c>
    </row>
    <row r="5" spans="1:9" x14ac:dyDescent="0.3">
      <c r="A5" t="s">
        <v>95</v>
      </c>
      <c r="B5">
        <v>12.083333302503343</v>
      </c>
      <c r="C5">
        <v>15.203716807166874</v>
      </c>
      <c r="D5">
        <f t="shared" si="0"/>
        <v>13.948114564618873</v>
      </c>
      <c r="E5">
        <v>11</v>
      </c>
      <c r="F5">
        <f t="shared" si="1"/>
        <v>2.9481145646188729</v>
      </c>
      <c r="H5" t="s">
        <v>12</v>
      </c>
      <c r="I5" cm="1">
        <f t="array" ref="I5">(SUM(TableFUL[PP]-TableFUL[AP]))^2</f>
        <v>2.8398992587956425E-29</v>
      </c>
    </row>
    <row r="6" spans="1:9" x14ac:dyDescent="0.3">
      <c r="A6" t="s">
        <v>96</v>
      </c>
      <c r="B6">
        <v>11.839655391380729</v>
      </c>
      <c r="C6">
        <v>16.124737283772753</v>
      </c>
      <c r="D6">
        <f t="shared" si="0"/>
        <v>14.367226781683941</v>
      </c>
      <c r="E6">
        <v>16</v>
      </c>
      <c r="F6">
        <f t="shared" si="1"/>
        <v>1.6327732183160588</v>
      </c>
    </row>
    <row r="7" spans="1:9" x14ac:dyDescent="0.3">
      <c r="A7" t="s">
        <v>97</v>
      </c>
      <c r="B7">
        <v>7.2750087422369836</v>
      </c>
      <c r="C7">
        <v>14.009541199620966</v>
      </c>
      <c r="D7">
        <f t="shared" si="0"/>
        <v>11.168137815879721</v>
      </c>
      <c r="E7">
        <v>22</v>
      </c>
      <c r="F7">
        <f t="shared" si="1"/>
        <v>10.831862184120279</v>
      </c>
      <c r="H7" t="s">
        <v>15</v>
      </c>
      <c r="I7">
        <f>AVERAGE(TableFUL[DIFF])/5</f>
        <v>1.122520957582017</v>
      </c>
    </row>
    <row r="8" spans="1:9" x14ac:dyDescent="0.3">
      <c r="A8" t="s">
        <v>98</v>
      </c>
      <c r="B8">
        <v>26.809523779815798</v>
      </c>
      <c r="C8">
        <v>23.826534956065331</v>
      </c>
      <c r="D8">
        <f t="shared" si="0"/>
        <v>25.295148665134018</v>
      </c>
      <c r="E8">
        <v>20</v>
      </c>
      <c r="F8">
        <f t="shared" si="1"/>
        <v>5.2951486651340183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99</v>
      </c>
      <c r="B2">
        <v>15.576473722719593</v>
      </c>
      <c r="C2">
        <v>21.70391860108716</v>
      </c>
      <c r="D2">
        <f t="shared" ref="D2:D9" si="0">B2*$I$2+C2*$I$3</f>
        <v>15.367115776074058</v>
      </c>
      <c r="E2">
        <v>14</v>
      </c>
      <c r="F2">
        <f t="shared" ref="F2:F9" si="1">ABS(D2-E2)</f>
        <v>1.3671157760740584</v>
      </c>
      <c r="H2" t="s">
        <v>7</v>
      </c>
      <c r="I2">
        <v>0.40881283917208699</v>
      </c>
    </row>
    <row r="3" spans="1:9" x14ac:dyDescent="0.3">
      <c r="A3" t="s">
        <v>100</v>
      </c>
      <c r="B3">
        <v>20.479533803715192</v>
      </c>
      <c r="C3">
        <v>16.842564722196673</v>
      </c>
      <c r="D3">
        <f t="shared" si="0"/>
        <v>15.355851238606775</v>
      </c>
      <c r="E3">
        <v>17</v>
      </c>
      <c r="F3">
        <f t="shared" si="1"/>
        <v>1.6441487613932253</v>
      </c>
      <c r="H3" t="s">
        <v>9</v>
      </c>
      <c r="I3">
        <v>0.41463725950155739</v>
      </c>
    </row>
    <row r="4" spans="1:9" x14ac:dyDescent="0.3">
      <c r="A4" t="s">
        <v>101</v>
      </c>
      <c r="B4">
        <v>8.425925916517226</v>
      </c>
      <c r="C4">
        <v>10.503702953633379</v>
      </c>
      <c r="D4">
        <f t="shared" si="0"/>
        <v>7.7998533038980344</v>
      </c>
      <c r="E4">
        <v>14</v>
      </c>
      <c r="F4">
        <f t="shared" si="1"/>
        <v>6.2001466961019656</v>
      </c>
    </row>
    <row r="5" spans="1:9" x14ac:dyDescent="0.3">
      <c r="A5" t="s">
        <v>102</v>
      </c>
      <c r="B5">
        <v>47.296568918311358</v>
      </c>
      <c r="C5">
        <v>17.949037618577634</v>
      </c>
      <c r="D5">
        <f t="shared" si="0"/>
        <v>26.777784391450542</v>
      </c>
      <c r="E5">
        <v>24</v>
      </c>
      <c r="F5">
        <f t="shared" si="1"/>
        <v>2.7777843914505418</v>
      </c>
      <c r="H5" t="s">
        <v>12</v>
      </c>
      <c r="I5" cm="1">
        <f t="array" ref="I5">(SUM(TableLEE[PP]-TableLEE[AP]))^2</f>
        <v>2.8398992587956425E-29</v>
      </c>
    </row>
    <row r="6" spans="1:9" x14ac:dyDescent="0.3">
      <c r="A6" t="s">
        <v>103</v>
      </c>
      <c r="B6">
        <v>11.171875</v>
      </c>
      <c r="C6">
        <v>13.186226903308814</v>
      </c>
      <c r="D6">
        <f t="shared" si="0"/>
        <v>10.034706923979334</v>
      </c>
      <c r="E6">
        <v>14</v>
      </c>
      <c r="F6">
        <f t="shared" si="1"/>
        <v>3.9652930760206662</v>
      </c>
    </row>
    <row r="7" spans="1:9" x14ac:dyDescent="0.3">
      <c r="A7" t="s">
        <v>104</v>
      </c>
      <c r="B7">
        <v>26.784090909090907</v>
      </c>
      <c r="C7">
        <v>17.713031017629245</v>
      </c>
      <c r="D7">
        <f t="shared" si="0"/>
        <v>18.29416288780461</v>
      </c>
      <c r="E7">
        <v>14</v>
      </c>
      <c r="F7">
        <f t="shared" si="1"/>
        <v>4.2941628878046103</v>
      </c>
      <c r="H7" t="s">
        <v>15</v>
      </c>
      <c r="I7">
        <f>AVERAGE(TableLEE[DIFF])/5</f>
        <v>0.59047942667579278</v>
      </c>
    </row>
    <row r="8" spans="1:9" x14ac:dyDescent="0.3">
      <c r="A8" t="s">
        <v>105</v>
      </c>
      <c r="B8">
        <v>1.5105229326681293</v>
      </c>
      <c r="C8">
        <v>25.368372273865184</v>
      </c>
      <c r="D8">
        <f t="shared" si="0"/>
        <v>11.136193526389357</v>
      </c>
      <c r="E8">
        <v>10</v>
      </c>
      <c r="F8">
        <f t="shared" si="1"/>
        <v>1.1361935263893574</v>
      </c>
    </row>
    <row r="9" spans="1:9" x14ac:dyDescent="0.3">
      <c r="A9" t="s">
        <v>106</v>
      </c>
      <c r="B9">
        <v>9.8280696051066414</v>
      </c>
      <c r="C9">
        <v>19.81609400667449</v>
      </c>
      <c r="D9">
        <f t="shared" si="0"/>
        <v>12.234331951797284</v>
      </c>
      <c r="E9">
        <v>10</v>
      </c>
      <c r="F9">
        <f t="shared" si="1"/>
        <v>2.2343319517972837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107</v>
      </c>
      <c r="B2">
        <v>11.39944611974091</v>
      </c>
      <c r="C2">
        <v>16.466016077654501</v>
      </c>
      <c r="D2">
        <f>B2*$I$2+C2*$I$3</f>
        <v>15.034526779852108</v>
      </c>
      <c r="E2">
        <v>20</v>
      </c>
      <c r="F2">
        <f>ABS(D2-E2)</f>
        <v>4.9654732201478922</v>
      </c>
      <c r="H2" t="s">
        <v>7</v>
      </c>
      <c r="I2">
        <v>0.50884073632996552</v>
      </c>
    </row>
    <row r="3" spans="1:9" x14ac:dyDescent="0.3">
      <c r="A3" t="s">
        <v>108</v>
      </c>
      <c r="B3">
        <v>15.571196083062411</v>
      </c>
      <c r="C3">
        <v>15.982446444143374</v>
      </c>
      <c r="D3">
        <f>B3*$I$2+C3*$I$3</f>
        <v>16.886100705964473</v>
      </c>
      <c r="E3">
        <v>11</v>
      </c>
      <c r="F3">
        <f>ABS(D3-E3)</f>
        <v>5.8861007059644734</v>
      </c>
      <c r="H3" t="s">
        <v>9</v>
      </c>
      <c r="I3">
        <v>0.56079285839278215</v>
      </c>
    </row>
    <row r="4" spans="1:9" x14ac:dyDescent="0.3">
      <c r="A4" t="s">
        <v>109</v>
      </c>
      <c r="B4">
        <v>23.64202886649052</v>
      </c>
      <c r="C4">
        <v>29.372213593220142</v>
      </c>
      <c r="D4">
        <f>B4*$I$2+C4*$I$3</f>
        <v>28.501754995024591</v>
      </c>
      <c r="E4">
        <v>23</v>
      </c>
      <c r="F4">
        <f>ABS(D4-E4)</f>
        <v>5.5017549950245908</v>
      </c>
      <c r="I4">
        <v>0</v>
      </c>
    </row>
    <row r="5" spans="1:9" x14ac:dyDescent="0.3">
      <c r="A5" t="s">
        <v>110</v>
      </c>
      <c r="B5">
        <v>20.165619601231771</v>
      </c>
      <c r="C5">
        <v>16.59235465407939</v>
      </c>
      <c r="D5">
        <f>B5*$I$2+C5*$I$3</f>
        <v>19.565962720368724</v>
      </c>
      <c r="E5">
        <v>28</v>
      </c>
      <c r="F5">
        <f>ABS(D5-E5)</f>
        <v>8.4340372796312764</v>
      </c>
      <c r="H5" t="s">
        <v>12</v>
      </c>
      <c r="I5" cm="1">
        <f t="array" ref="I5">(SUM(TableLEI[PP]-TableLEI[AP]))^2</f>
        <v>1.2621774483536189E-29</v>
      </c>
    </row>
    <row r="6" spans="1:9" x14ac:dyDescent="0.3">
      <c r="A6" t="s">
        <v>111</v>
      </c>
      <c r="B6">
        <v>14.411921903634958</v>
      </c>
      <c r="C6">
        <v>15.475022043408806</v>
      </c>
      <c r="D6">
        <f>B6*$I$2+C6*$I$3</f>
        <v>16.011654798790108</v>
      </c>
      <c r="E6">
        <v>14</v>
      </c>
      <c r="F6">
        <f>ABS(D6-E6)</f>
        <v>2.0116547987901079</v>
      </c>
    </row>
    <row r="7" spans="1:9" x14ac:dyDescent="0.3">
      <c r="H7" t="s">
        <v>15</v>
      </c>
      <c r="I7">
        <f>AVERAGE(TableLEI[DIFF])/5</f>
        <v>1.0719608399823337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112</v>
      </c>
      <c r="B2">
        <v>10.983173874819416</v>
      </c>
      <c r="C2">
        <v>13.679511988097001</v>
      </c>
      <c r="D2">
        <f t="shared" ref="D2:D14" si="0">B2*$I$2+C2*$I$3</f>
        <v>11.576946601169814</v>
      </c>
      <c r="E2">
        <v>12</v>
      </c>
      <c r="F2">
        <f t="shared" ref="F2:F14" si="1">ABS(D2-E2)</f>
        <v>0.42305339883018611</v>
      </c>
      <c r="H2" t="s">
        <v>7</v>
      </c>
      <c r="I2">
        <v>0.49604262023699319</v>
      </c>
    </row>
    <row r="3" spans="1:9" x14ac:dyDescent="0.3">
      <c r="A3" t="s">
        <v>113</v>
      </c>
      <c r="B3">
        <v>22.318738017979019</v>
      </c>
      <c r="C3">
        <v>24.00052205715329</v>
      </c>
      <c r="D3">
        <f t="shared" si="0"/>
        <v>21.823986021505178</v>
      </c>
      <c r="E3">
        <v>13</v>
      </c>
      <c r="F3">
        <f t="shared" si="1"/>
        <v>8.8239860215051777</v>
      </c>
      <c r="H3" t="s">
        <v>9</v>
      </c>
      <c r="I3">
        <v>0.44802945157099139</v>
      </c>
    </row>
    <row r="4" spans="1:9" x14ac:dyDescent="0.3">
      <c r="A4" t="s">
        <v>114</v>
      </c>
      <c r="B4">
        <v>10.947737419845899</v>
      </c>
      <c r="C4">
        <v>13.130329026153841</v>
      </c>
      <c r="D4">
        <f t="shared" si="0"/>
        <v>11.313318467941315</v>
      </c>
      <c r="E4">
        <v>10</v>
      </c>
      <c r="F4">
        <f t="shared" si="1"/>
        <v>1.3133184679413148</v>
      </c>
    </row>
    <row r="5" spans="1:9" x14ac:dyDescent="0.3">
      <c r="A5" t="s">
        <v>115</v>
      </c>
      <c r="B5">
        <v>53.517437989130393</v>
      </c>
      <c r="C5">
        <v>22.561022685076434</v>
      </c>
      <c r="D5">
        <f t="shared" si="0"/>
        <v>36.654932788974527</v>
      </c>
      <c r="E5">
        <v>12</v>
      </c>
      <c r="F5">
        <f t="shared" si="1"/>
        <v>24.654932788974527</v>
      </c>
      <c r="H5" t="s">
        <v>12</v>
      </c>
      <c r="I5" cm="1">
        <f t="array" ref="I5">(SUM(TableLIV[PP]-TableLIV[AP]))^2</f>
        <v>3.1554436208840472E-28</v>
      </c>
    </row>
    <row r="6" spans="1:9" x14ac:dyDescent="0.3">
      <c r="A6" t="s">
        <v>116</v>
      </c>
      <c r="B6">
        <v>24.803149606299215</v>
      </c>
      <c r="C6">
        <v>23.791575040700689</v>
      </c>
      <c r="D6">
        <f t="shared" si="0"/>
        <v>22.962745638334024</v>
      </c>
      <c r="E6">
        <v>29</v>
      </c>
      <c r="F6">
        <f t="shared" si="1"/>
        <v>6.0372543616659762</v>
      </c>
    </row>
    <row r="7" spans="1:9" x14ac:dyDescent="0.3">
      <c r="A7" t="s">
        <v>117</v>
      </c>
      <c r="B7">
        <v>21.508926273989765</v>
      </c>
      <c r="C7">
        <v>23.483225963599324</v>
      </c>
      <c r="D7">
        <f t="shared" si="0"/>
        <v>21.190520997023263</v>
      </c>
      <c r="E7">
        <v>28</v>
      </c>
      <c r="F7">
        <f t="shared" si="1"/>
        <v>6.8094790029767367</v>
      </c>
      <c r="H7" t="s">
        <v>15</v>
      </c>
      <c r="I7">
        <f>AVERAGE(TableLIV[DIFF])/5</f>
        <v>1.4537269817941174</v>
      </c>
    </row>
    <row r="8" spans="1:9" x14ac:dyDescent="0.3">
      <c r="A8" t="s">
        <v>118</v>
      </c>
      <c r="B8">
        <v>33.456613496458743</v>
      </c>
      <c r="C8">
        <v>14.269676791856632</v>
      </c>
      <c r="D8">
        <f t="shared" si="0"/>
        <v>22.989141690190575</v>
      </c>
      <c r="E8">
        <v>11</v>
      </c>
      <c r="F8">
        <f t="shared" si="1"/>
        <v>11.989141690190575</v>
      </c>
    </row>
    <row r="9" spans="1:9" x14ac:dyDescent="0.3">
      <c r="A9" t="s">
        <v>119</v>
      </c>
      <c r="B9">
        <v>33.741935483870968</v>
      </c>
      <c r="C9">
        <v>42.345883105871962</v>
      </c>
      <c r="D9">
        <f t="shared" si="0"/>
        <v>35.709640873500057</v>
      </c>
      <c r="E9">
        <v>46</v>
      </c>
      <c r="F9">
        <f t="shared" si="1"/>
        <v>10.290359126499943</v>
      </c>
    </row>
    <row r="10" spans="1:9" x14ac:dyDescent="0.3">
      <c r="A10" t="s">
        <v>120</v>
      </c>
      <c r="B10">
        <v>25.430463575015082</v>
      </c>
      <c r="C10">
        <v>23.290139923224626</v>
      </c>
      <c r="D10">
        <f t="shared" si="0"/>
        <v>23.049262402405873</v>
      </c>
      <c r="E10">
        <v>29</v>
      </c>
      <c r="F10">
        <f t="shared" si="1"/>
        <v>5.9507375975941272</v>
      </c>
    </row>
    <row r="11" spans="1:9" x14ac:dyDescent="0.3">
      <c r="A11" t="s">
        <v>121</v>
      </c>
      <c r="B11">
        <v>25.914586832503094</v>
      </c>
      <c r="C11">
        <v>21.252641685972932</v>
      </c>
      <c r="D11">
        <f t="shared" si="0"/>
        <v>22.376548953755158</v>
      </c>
      <c r="E11">
        <v>33</v>
      </c>
      <c r="F11">
        <f t="shared" si="1"/>
        <v>10.623451046244842</v>
      </c>
    </row>
    <row r="12" spans="1:9" x14ac:dyDescent="0.3">
      <c r="A12" t="s">
        <v>122</v>
      </c>
      <c r="B12">
        <v>28</v>
      </c>
      <c r="C12">
        <v>28.068589082628172</v>
      </c>
      <c r="D12">
        <f t="shared" si="0"/>
        <v>26.464747939697226</v>
      </c>
      <c r="E12">
        <v>26</v>
      </c>
      <c r="F12">
        <f t="shared" si="1"/>
        <v>0.46474793969722583</v>
      </c>
    </row>
    <row r="13" spans="1:9" x14ac:dyDescent="0.3">
      <c r="A13" t="s">
        <v>123</v>
      </c>
      <c r="B13">
        <v>9.7014594325186714</v>
      </c>
      <c r="C13">
        <v>14.727893099271716</v>
      </c>
      <c r="D13">
        <f t="shared" si="0"/>
        <v>11.41086722509235</v>
      </c>
      <c r="E13">
        <v>12</v>
      </c>
      <c r="F13">
        <f t="shared" si="1"/>
        <v>0.58913277490765026</v>
      </c>
    </row>
    <row r="14" spans="1:9" x14ac:dyDescent="0.3">
      <c r="A14" t="s">
        <v>124</v>
      </c>
      <c r="B14">
        <v>18.314643712109685</v>
      </c>
      <c r="C14">
        <v>23.196012021772287</v>
      </c>
      <c r="D14">
        <f t="shared" si="0"/>
        <v>19.477340400410622</v>
      </c>
      <c r="E14">
        <v>26</v>
      </c>
      <c r="F14">
        <f t="shared" si="1"/>
        <v>6.5226595995893781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125</v>
      </c>
      <c r="B2">
        <v>26.17337616583352</v>
      </c>
      <c r="C2">
        <v>19.099442362106927</v>
      </c>
      <c r="D2">
        <f t="shared" ref="D2:D14" si="0">B2*$I$2+C2*$I$3</f>
        <v>18.320884905228944</v>
      </c>
      <c r="E2">
        <v>11</v>
      </c>
      <c r="F2">
        <f t="shared" ref="F2:F14" si="1">ABS(D2-E2)</f>
        <v>7.3208849052289438</v>
      </c>
      <c r="H2" t="s">
        <v>7</v>
      </c>
      <c r="I2">
        <v>0.41827859274721058</v>
      </c>
    </row>
    <row r="3" spans="1:9" x14ac:dyDescent="0.3">
      <c r="A3" t="s">
        <v>126</v>
      </c>
      <c r="B3">
        <v>16.850853764638213</v>
      </c>
      <c r="C3">
        <v>19.83416765757169</v>
      </c>
      <c r="D3">
        <f t="shared" si="0"/>
        <v>14.70510567749789</v>
      </c>
      <c r="E3">
        <v>17</v>
      </c>
      <c r="F3">
        <f t="shared" si="1"/>
        <v>2.2948943225021097</v>
      </c>
      <c r="H3" t="s">
        <v>9</v>
      </c>
      <c r="I3">
        <v>0.3860385981618451</v>
      </c>
    </row>
    <row r="4" spans="1:9" x14ac:dyDescent="0.3">
      <c r="A4" t="s">
        <v>127</v>
      </c>
      <c r="B4">
        <v>28.834547407730213</v>
      </c>
      <c r="C4">
        <v>20.817813586952838</v>
      </c>
      <c r="D4">
        <f t="shared" si="0"/>
        <v>20.097353486110009</v>
      </c>
      <c r="E4">
        <v>20</v>
      </c>
      <c r="F4">
        <f t="shared" si="1"/>
        <v>9.7353486110009158E-2</v>
      </c>
    </row>
    <row r="5" spans="1:9" x14ac:dyDescent="0.3">
      <c r="A5" t="s">
        <v>128</v>
      </c>
      <c r="B5">
        <v>27.117175848528518</v>
      </c>
      <c r="C5">
        <v>21.826425759265799</v>
      </c>
      <c r="D5">
        <f t="shared" si="0"/>
        <v>19.768376956191709</v>
      </c>
      <c r="E5">
        <v>27</v>
      </c>
      <c r="F5">
        <f t="shared" si="1"/>
        <v>7.2316230438082911</v>
      </c>
      <c r="H5" t="s">
        <v>12</v>
      </c>
      <c r="I5" cm="1">
        <f t="array" ref="I5">(SUM(TableMCI[PP]-TableMCI[AP]))^2</f>
        <v>5.0487097934144756E-29</v>
      </c>
    </row>
    <row r="6" spans="1:9" x14ac:dyDescent="0.3">
      <c r="A6" t="s">
        <v>129</v>
      </c>
      <c r="B6">
        <v>17.615777025649482</v>
      </c>
      <c r="C6">
        <v>18.715635941991618</v>
      </c>
      <c r="D6">
        <f t="shared" si="0"/>
        <v>14.593260287191196</v>
      </c>
      <c r="E6">
        <v>22</v>
      </c>
      <c r="F6">
        <f t="shared" si="1"/>
        <v>7.4067397128088039</v>
      </c>
    </row>
    <row r="7" spans="1:9" x14ac:dyDescent="0.3">
      <c r="A7" t="s">
        <v>130</v>
      </c>
      <c r="B7">
        <v>20.477428314186902</v>
      </c>
      <c r="C7">
        <v>20.652824745167532</v>
      </c>
      <c r="D7">
        <f t="shared" si="0"/>
        <v>16.538057411046722</v>
      </c>
      <c r="E7">
        <v>18</v>
      </c>
      <c r="F7">
        <f t="shared" si="1"/>
        <v>1.4619425889532778</v>
      </c>
      <c r="H7" t="s">
        <v>15</v>
      </c>
      <c r="I7">
        <f>AVERAGE(TableMCI[DIFF])/5</f>
        <v>1.3983142088646008</v>
      </c>
    </row>
    <row r="8" spans="1:9" x14ac:dyDescent="0.3">
      <c r="A8" t="s">
        <v>131</v>
      </c>
      <c r="B8">
        <v>15.360074728319608</v>
      </c>
      <c r="C8">
        <v>16.821372741626558</v>
      </c>
      <c r="D8">
        <f t="shared" si="0"/>
        <v>12.918489594188909</v>
      </c>
      <c r="E8">
        <v>20</v>
      </c>
      <c r="F8">
        <f t="shared" si="1"/>
        <v>7.0815104058110911</v>
      </c>
    </row>
    <row r="9" spans="1:9" x14ac:dyDescent="0.3">
      <c r="A9" t="s">
        <v>132</v>
      </c>
      <c r="B9">
        <v>47.888888888888893</v>
      </c>
      <c r="C9">
        <v>23.290690060083708</v>
      </c>
      <c r="D9">
        <f t="shared" si="0"/>
        <v>29.022002393688709</v>
      </c>
      <c r="E9">
        <v>22</v>
      </c>
      <c r="F9">
        <f t="shared" si="1"/>
        <v>7.0220023936887088</v>
      </c>
    </row>
    <row r="10" spans="1:9" x14ac:dyDescent="0.3">
      <c r="A10" t="s">
        <v>133</v>
      </c>
      <c r="B10">
        <v>22.76923073379508</v>
      </c>
      <c r="C10">
        <v>28.272168375747981</v>
      </c>
      <c r="D10">
        <f t="shared" si="0"/>
        <v>20.438030036037745</v>
      </c>
      <c r="E10">
        <v>18</v>
      </c>
      <c r="F10">
        <f t="shared" si="1"/>
        <v>2.4380300360377447</v>
      </c>
    </row>
    <row r="11" spans="1:9" x14ac:dyDescent="0.3">
      <c r="A11" t="s">
        <v>134</v>
      </c>
      <c r="B11">
        <v>28.508919737874152</v>
      </c>
      <c r="C11">
        <v>23.19626283204542</v>
      </c>
      <c r="D11">
        <f t="shared" si="0"/>
        <v>20.8793236149777</v>
      </c>
      <c r="E11">
        <v>28</v>
      </c>
      <c r="F11">
        <f t="shared" si="1"/>
        <v>7.1206763850222998</v>
      </c>
    </row>
    <row r="12" spans="1:9" x14ac:dyDescent="0.3">
      <c r="A12" t="s">
        <v>135</v>
      </c>
      <c r="B12">
        <v>-3.3835779571606128</v>
      </c>
      <c r="C12">
        <v>18.253929190452443</v>
      </c>
      <c r="D12">
        <f t="shared" si="0"/>
        <v>5.6314430092562224</v>
      </c>
      <c r="E12">
        <v>16</v>
      </c>
      <c r="F12">
        <f t="shared" si="1"/>
        <v>10.368556990743777</v>
      </c>
    </row>
    <row r="13" spans="1:9" x14ac:dyDescent="0.3">
      <c r="A13" t="s">
        <v>136</v>
      </c>
      <c r="B13">
        <v>78.473684210526315</v>
      </c>
      <c r="C13">
        <v>61.504416607097916</v>
      </c>
      <c r="D13">
        <f t="shared" si="0"/>
        <v>56.566940967034128</v>
      </c>
      <c r="E13">
        <v>28</v>
      </c>
      <c r="F13">
        <f t="shared" si="1"/>
        <v>28.566940967034128</v>
      </c>
    </row>
    <row r="14" spans="1:9" x14ac:dyDescent="0.3">
      <c r="A14" t="s">
        <v>137</v>
      </c>
      <c r="B14">
        <v>12.860289011677207</v>
      </c>
      <c r="C14">
        <v>21.089984551259963</v>
      </c>
      <c r="D14">
        <f t="shared" si="0"/>
        <v>13.520731661550123</v>
      </c>
      <c r="E14">
        <v>16</v>
      </c>
      <c r="F14">
        <f t="shared" si="1"/>
        <v>2.4792683384498773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I29" sqref="I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138</v>
      </c>
      <c r="B2">
        <v>24.137120699859636</v>
      </c>
      <c r="C2">
        <v>23.284597796910916</v>
      </c>
      <c r="D2">
        <f t="shared" ref="D2:D14" si="0">B2*$I$2+C2*$I$3</f>
        <v>21.101431760519816</v>
      </c>
      <c r="E2">
        <v>14</v>
      </c>
      <c r="F2">
        <f t="shared" ref="F2:F14" si="1">ABS(D2-E2)</f>
        <v>7.1014317605198158</v>
      </c>
      <c r="H2" t="s">
        <v>7</v>
      </c>
      <c r="I2">
        <v>0.41316526502065715</v>
      </c>
    </row>
    <row r="3" spans="1:9" x14ac:dyDescent="0.3">
      <c r="A3" t="s">
        <v>139</v>
      </c>
      <c r="B3">
        <v>21.309628774436092</v>
      </c>
      <c r="C3">
        <v>27.143169599640551</v>
      </c>
      <c r="D3">
        <f t="shared" si="0"/>
        <v>21.777404490447388</v>
      </c>
      <c r="E3">
        <v>25</v>
      </c>
      <c r="F3">
        <f t="shared" si="1"/>
        <v>3.2225955095526118</v>
      </c>
      <c r="H3" t="s">
        <v>9</v>
      </c>
      <c r="I3">
        <v>0.47794735330163796</v>
      </c>
    </row>
    <row r="4" spans="1:9" x14ac:dyDescent="0.3">
      <c r="A4" t="s">
        <v>140</v>
      </c>
      <c r="B4">
        <v>16.850746180868356</v>
      </c>
      <c r="C4">
        <v>13.871441303472436</v>
      </c>
      <c r="D4">
        <f t="shared" si="0"/>
        <v>13.591961669087974</v>
      </c>
      <c r="E4">
        <v>17</v>
      </c>
      <c r="F4">
        <f t="shared" si="1"/>
        <v>3.4080383309120261</v>
      </c>
    </row>
    <row r="5" spans="1:9" x14ac:dyDescent="0.3">
      <c r="A5" t="s">
        <v>141</v>
      </c>
      <c r="B5">
        <v>20.669601521497029</v>
      </c>
      <c r="C5">
        <v>14.875925282632377</v>
      </c>
      <c r="D5">
        <f t="shared" si="0"/>
        <v>15.649870507247764</v>
      </c>
      <c r="E5">
        <v>10</v>
      </c>
      <c r="F5">
        <f t="shared" si="1"/>
        <v>5.6498705072477637</v>
      </c>
      <c r="H5" t="s">
        <v>12</v>
      </c>
      <c r="I5" cm="1">
        <f t="array" ref="I5">(SUM(TableMUN[PP]-TableMUN[AP]))^2</f>
        <v>1.2621774483536189E-27</v>
      </c>
    </row>
    <row r="6" spans="1:9" x14ac:dyDescent="0.3">
      <c r="A6" t="s">
        <v>142</v>
      </c>
      <c r="B6">
        <v>10.176388132648455</v>
      </c>
      <c r="C6">
        <v>19.426763701675508</v>
      </c>
      <c r="D6">
        <f t="shared" si="0"/>
        <v>13.489500394210911</v>
      </c>
      <c r="E6">
        <v>23</v>
      </c>
      <c r="F6">
        <f t="shared" si="1"/>
        <v>9.5104996057890894</v>
      </c>
    </row>
    <row r="7" spans="1:9" x14ac:dyDescent="0.3">
      <c r="A7" t="s">
        <v>143</v>
      </c>
      <c r="B7">
        <v>19.754615481207907</v>
      </c>
      <c r="C7">
        <v>30.179848890042777</v>
      </c>
      <c r="D7">
        <f t="shared" si="0"/>
        <v>22.586299840713764</v>
      </c>
      <c r="E7">
        <v>22</v>
      </c>
      <c r="F7">
        <f t="shared" si="1"/>
        <v>0.58629984071376384</v>
      </c>
      <c r="H7" t="s">
        <v>15</v>
      </c>
      <c r="I7">
        <f>AVERAGE(TableMUN[DIFF])/5</f>
        <v>0.83671407808635279</v>
      </c>
    </row>
    <row r="8" spans="1:9" x14ac:dyDescent="0.3">
      <c r="A8" t="s">
        <v>144</v>
      </c>
      <c r="B8">
        <v>51.366238018886278</v>
      </c>
      <c r="C8">
        <v>24.233515588758017</v>
      </c>
      <c r="D8">
        <f t="shared" si="0"/>
        <v>32.805089981028182</v>
      </c>
      <c r="E8">
        <v>36</v>
      </c>
      <c r="F8">
        <f t="shared" si="1"/>
        <v>3.194910018971818</v>
      </c>
    </row>
    <row r="9" spans="1:9" x14ac:dyDescent="0.3">
      <c r="A9" t="s">
        <v>145</v>
      </c>
      <c r="B9">
        <v>15.128673548395</v>
      </c>
      <c r="C9">
        <v>21.269057800155053</v>
      </c>
      <c r="D9">
        <f t="shared" si="0"/>
        <v>16.41613229883729</v>
      </c>
      <c r="E9">
        <v>19</v>
      </c>
      <c r="F9">
        <f t="shared" si="1"/>
        <v>2.5838677011627098</v>
      </c>
    </row>
    <row r="10" spans="1:9" x14ac:dyDescent="0.3">
      <c r="A10" t="s">
        <v>146</v>
      </c>
      <c r="B10">
        <v>19.981839527144015</v>
      </c>
      <c r="C10">
        <v>27.386700321113398</v>
      </c>
      <c r="D10">
        <f t="shared" si="0"/>
        <v>21.345202957973967</v>
      </c>
      <c r="E10">
        <v>18</v>
      </c>
      <c r="F10">
        <f t="shared" si="1"/>
        <v>3.3452029579739673</v>
      </c>
    </row>
    <row r="11" spans="1:9" x14ac:dyDescent="0.3">
      <c r="A11" t="s">
        <v>147</v>
      </c>
      <c r="B11">
        <v>12.499999997019769</v>
      </c>
      <c r="C11">
        <v>24.868654550743489</v>
      </c>
      <c r="D11">
        <f t="shared" si="0"/>
        <v>17.05047343422747</v>
      </c>
      <c r="E11">
        <v>18</v>
      </c>
      <c r="F11">
        <f t="shared" si="1"/>
        <v>0.94952656577252981</v>
      </c>
    </row>
    <row r="12" spans="1:9" x14ac:dyDescent="0.3">
      <c r="A12" t="s">
        <v>148</v>
      </c>
      <c r="B12">
        <v>19.210526332011465</v>
      </c>
      <c r="C12">
        <v>22.469227870009568</v>
      </c>
      <c r="D12">
        <f t="shared" si="0"/>
        <v>18.676230194354304</v>
      </c>
      <c r="E12">
        <v>23</v>
      </c>
      <c r="F12">
        <f t="shared" si="1"/>
        <v>4.3237698056456964</v>
      </c>
    </row>
    <row r="13" spans="1:9" x14ac:dyDescent="0.3">
      <c r="A13" t="s">
        <v>25</v>
      </c>
      <c r="B13">
        <v>13.705496708760245</v>
      </c>
      <c r="C13">
        <v>24.788296534288101</v>
      </c>
      <c r="D13">
        <f t="shared" si="0"/>
        <v>17.510135901333832</v>
      </c>
      <c r="E13">
        <v>12</v>
      </c>
      <c r="F13">
        <f t="shared" si="1"/>
        <v>5.5101359013338325</v>
      </c>
    </row>
    <row r="14" spans="1:9" x14ac:dyDescent="0.3">
      <c r="A14" t="s">
        <v>149</v>
      </c>
      <c r="B14">
        <v>10.888889270790475</v>
      </c>
      <c r="C14">
        <v>21.97178345298429</v>
      </c>
      <c r="D14">
        <f t="shared" si="0"/>
        <v>15.000266570017303</v>
      </c>
      <c r="E14">
        <v>10</v>
      </c>
      <c r="F14">
        <f t="shared" si="1"/>
        <v>5.0002665700173026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150</v>
      </c>
      <c r="B2">
        <v>21.981782001767069</v>
      </c>
      <c r="C2">
        <v>21.798431346076182</v>
      </c>
      <c r="D2">
        <f t="shared" ref="D2:D8" si="0">B2*$I$2+C2*$I$3</f>
        <v>11.574159119074377</v>
      </c>
      <c r="E2">
        <v>13</v>
      </c>
      <c r="F2">
        <f t="shared" ref="F2:F8" si="1">ABS(D2-E2)</f>
        <v>1.4258408809256231</v>
      </c>
      <c r="H2" t="s">
        <v>7</v>
      </c>
      <c r="I2">
        <v>0.29230589193773299</v>
      </c>
    </row>
    <row r="3" spans="1:9" x14ac:dyDescent="0.3">
      <c r="A3" t="s">
        <v>151</v>
      </c>
      <c r="B3">
        <v>39.268466555702247</v>
      </c>
      <c r="C3">
        <v>33.586364235812951</v>
      </c>
      <c r="D3">
        <f t="shared" si="0"/>
        <v>19.411449818048393</v>
      </c>
      <c r="E3">
        <v>11</v>
      </c>
      <c r="F3">
        <f t="shared" si="1"/>
        <v>8.4114498180483928</v>
      </c>
      <c r="H3" t="s">
        <v>9</v>
      </c>
      <c r="I3">
        <v>0.23619840542305109</v>
      </c>
    </row>
    <row r="4" spans="1:9" x14ac:dyDescent="0.3">
      <c r="A4" t="s">
        <v>152</v>
      </c>
      <c r="B4">
        <v>46.919457437684819</v>
      </c>
      <c r="C4">
        <v>23.448882785919356</v>
      </c>
      <c r="D4">
        <f t="shared" si="0"/>
        <v>19.253422578543145</v>
      </c>
      <c r="E4">
        <v>13</v>
      </c>
      <c r="F4">
        <f t="shared" si="1"/>
        <v>6.2534225785431445</v>
      </c>
    </row>
    <row r="5" spans="1:9" x14ac:dyDescent="0.3">
      <c r="A5" t="s">
        <v>153</v>
      </c>
      <c r="B5">
        <v>21.308486020228571</v>
      </c>
      <c r="C5">
        <v>16.758547383549459</v>
      </c>
      <c r="D5">
        <f t="shared" si="0"/>
        <v>10.186938181186655</v>
      </c>
      <c r="E5">
        <v>10</v>
      </c>
      <c r="F5">
        <f t="shared" si="1"/>
        <v>0.18693818118665462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154</v>
      </c>
      <c r="B6">
        <v>41.999999998995499</v>
      </c>
      <c r="C6">
        <v>31.616875096389666</v>
      </c>
      <c r="D6">
        <f t="shared" si="0"/>
        <v>19.744702943318178</v>
      </c>
      <c r="E6">
        <v>24</v>
      </c>
      <c r="F6">
        <f t="shared" si="1"/>
        <v>4.2552970566818225</v>
      </c>
    </row>
    <row r="7" spans="1:9" x14ac:dyDescent="0.3">
      <c r="A7" t="s">
        <v>155</v>
      </c>
      <c r="B7">
        <v>13.595065138075972</v>
      </c>
      <c r="C7">
        <v>13.971819511881368</v>
      </c>
      <c r="D7">
        <f t="shared" si="0"/>
        <v>7.2740391307019276</v>
      </c>
      <c r="E7">
        <v>17</v>
      </c>
      <c r="F7">
        <f t="shared" si="1"/>
        <v>9.7259608692980724</v>
      </c>
      <c r="H7" t="s">
        <v>15</v>
      </c>
      <c r="I7">
        <f>AVERAGE(TableNEW[DIFF])/5</f>
        <v>0.88040564610888672</v>
      </c>
    </row>
    <row r="8" spans="1:9" x14ac:dyDescent="0.3">
      <c r="A8" t="s">
        <v>156</v>
      </c>
      <c r="B8">
        <v>21.894736842105267</v>
      </c>
      <c r="C8">
        <v>26.059988155843371</v>
      </c>
      <c r="D8">
        <f t="shared" si="0"/>
        <v>12.555288229127326</v>
      </c>
      <c r="E8">
        <v>12</v>
      </c>
      <c r="F8">
        <f t="shared" si="1"/>
        <v>0.55528822912732601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157</v>
      </c>
      <c r="B2">
        <v>17.102130450943591</v>
      </c>
      <c r="C2">
        <v>13.755850809288003</v>
      </c>
      <c r="D2">
        <f t="shared" ref="D2:D9" si="0">B2*$I$2+C2*$I$3</f>
        <v>13.461956136514367</v>
      </c>
      <c r="E2">
        <v>15</v>
      </c>
      <c r="F2">
        <f t="shared" ref="F2:F9" si="1">ABS(D2-E2)</f>
        <v>1.5380438634856333</v>
      </c>
      <c r="H2" t="s">
        <v>7</v>
      </c>
      <c r="I2">
        <v>0.34380161323079617</v>
      </c>
    </row>
    <row r="3" spans="1:9" x14ac:dyDescent="0.3">
      <c r="A3" t="s">
        <v>158</v>
      </c>
      <c r="B3">
        <v>8.1103372370073252</v>
      </c>
      <c r="C3">
        <v>19.462998489030717</v>
      </c>
      <c r="D3">
        <f t="shared" si="0"/>
        <v>13.516339245448686</v>
      </c>
      <c r="E3">
        <v>15</v>
      </c>
      <c r="F3">
        <f t="shared" si="1"/>
        <v>1.4836607545513143</v>
      </c>
      <c r="H3" t="s">
        <v>9</v>
      </c>
      <c r="I3">
        <v>0.55119935530828057</v>
      </c>
    </row>
    <row r="4" spans="1:9" x14ac:dyDescent="0.3">
      <c r="A4" t="s">
        <v>159</v>
      </c>
      <c r="B4">
        <v>10.623737249716005</v>
      </c>
      <c r="C4">
        <v>22.346324442843919</v>
      </c>
      <c r="D4">
        <f t="shared" si="0"/>
        <v>15.969737631397704</v>
      </c>
      <c r="E4">
        <v>10</v>
      </c>
      <c r="F4">
        <f t="shared" si="1"/>
        <v>5.9697376313977042</v>
      </c>
    </row>
    <row r="5" spans="1:9" x14ac:dyDescent="0.3">
      <c r="A5" t="s">
        <v>160</v>
      </c>
      <c r="B5">
        <v>5.0269605770678263</v>
      </c>
      <c r="C5">
        <v>19.612237160264396</v>
      </c>
      <c r="D5">
        <f t="shared" si="0"/>
        <v>12.53852963493437</v>
      </c>
      <c r="E5">
        <v>11</v>
      </c>
      <c r="F5">
        <f t="shared" si="1"/>
        <v>1.5385296349343704</v>
      </c>
      <c r="H5" t="s">
        <v>12</v>
      </c>
      <c r="I5" cm="1">
        <f t="array" ref="I5">(SUM(TableNFO[PP]-TableNFO[AP]))^2</f>
        <v>3.1554436208840472E-30</v>
      </c>
    </row>
    <row r="6" spans="1:9" x14ac:dyDescent="0.3">
      <c r="A6" t="s">
        <v>161</v>
      </c>
      <c r="B6">
        <v>18.142857124026342</v>
      </c>
      <c r="C6">
        <v>23.49048586068109</v>
      </c>
      <c r="D6">
        <f t="shared" si="0"/>
        <v>19.185484210141798</v>
      </c>
      <c r="E6">
        <v>21</v>
      </c>
      <c r="F6">
        <f t="shared" si="1"/>
        <v>1.8145157898582021</v>
      </c>
    </row>
    <row r="7" spans="1:9" x14ac:dyDescent="0.3">
      <c r="A7" t="s">
        <v>162</v>
      </c>
      <c r="B7">
        <v>10.329836568209007</v>
      </c>
      <c r="C7">
        <v>24.52955380416935</v>
      </c>
      <c r="D7">
        <f t="shared" si="0"/>
        <v>17.072088719418655</v>
      </c>
      <c r="E7">
        <v>16</v>
      </c>
      <c r="F7">
        <f t="shared" si="1"/>
        <v>1.0720887194186552</v>
      </c>
      <c r="H7" t="s">
        <v>15</v>
      </c>
      <c r="I7">
        <f>AVERAGE(TableNFO[DIFF])/5</f>
        <v>0.42901779928753658</v>
      </c>
    </row>
    <row r="8" spans="1:9" x14ac:dyDescent="0.3">
      <c r="A8" t="s">
        <v>112</v>
      </c>
      <c r="B8">
        <v>20.916697069991283</v>
      </c>
      <c r="C8">
        <v>23.186805100341669</v>
      </c>
      <c r="D8">
        <f t="shared" si="0"/>
        <v>19.971746219089951</v>
      </c>
      <c r="E8">
        <v>21</v>
      </c>
      <c r="F8">
        <f t="shared" si="1"/>
        <v>1.0282537809100489</v>
      </c>
    </row>
    <row r="9" spans="1:9" x14ac:dyDescent="0.3">
      <c r="A9" t="s">
        <v>163</v>
      </c>
      <c r="B9">
        <v>10.76484476761491</v>
      </c>
      <c r="C9">
        <v>15.571765683522784</v>
      </c>
      <c r="D9">
        <f t="shared" si="0"/>
        <v>12.284118203054467</v>
      </c>
      <c r="E9">
        <v>15</v>
      </c>
      <c r="F9">
        <f t="shared" si="1"/>
        <v>2.7158817969455331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164</v>
      </c>
      <c r="B2">
        <v>11.185185349775285</v>
      </c>
      <c r="C2">
        <v>12.140468032875573</v>
      </c>
      <c r="D2">
        <f t="shared" ref="D2:D8" si="0">B2*$I$2+C2*$I$3</f>
        <v>11.595651726393109</v>
      </c>
      <c r="E2">
        <v>19</v>
      </c>
      <c r="F2">
        <f t="shared" ref="F2:F8" si="1">ABS(D2-E2)</f>
        <v>7.4043482736068906</v>
      </c>
      <c r="H2" t="s">
        <v>7</v>
      </c>
      <c r="I2">
        <v>0.51791233936033843</v>
      </c>
    </row>
    <row r="3" spans="1:9" x14ac:dyDescent="0.3">
      <c r="A3" t="s">
        <v>165</v>
      </c>
      <c r="B3">
        <v>20.69565217615029</v>
      </c>
      <c r="C3">
        <v>15.807628298766419</v>
      </c>
      <c r="D3">
        <f t="shared" si="0"/>
        <v>18.274010303108611</v>
      </c>
      <c r="E3">
        <v>16</v>
      </c>
      <c r="F3">
        <f t="shared" si="1"/>
        <v>2.2740103031086107</v>
      </c>
      <c r="H3" t="s">
        <v>9</v>
      </c>
      <c r="I3">
        <v>0.47796396316836115</v>
      </c>
    </row>
    <row r="4" spans="1:9" x14ac:dyDescent="0.3">
      <c r="A4" t="s">
        <v>166</v>
      </c>
      <c r="B4">
        <v>18.764278076561656</v>
      </c>
      <c r="C4">
        <v>21.478468571153162</v>
      </c>
      <c r="D4">
        <f t="shared" si="0"/>
        <v>19.984185116095411</v>
      </c>
      <c r="E4">
        <v>15</v>
      </c>
      <c r="F4">
        <f t="shared" si="1"/>
        <v>4.9841851160954107</v>
      </c>
    </row>
    <row r="5" spans="1:9" x14ac:dyDescent="0.3">
      <c r="A5" t="s">
        <v>167</v>
      </c>
      <c r="B5">
        <v>13.567797862385552</v>
      </c>
      <c r="C5">
        <v>13.923703513806865</v>
      </c>
      <c r="D5">
        <f t="shared" si="0"/>
        <v>13.681958444316667</v>
      </c>
      <c r="E5">
        <v>12</v>
      </c>
      <c r="F5">
        <f t="shared" si="1"/>
        <v>1.6819584443166669</v>
      </c>
      <c r="H5" t="s">
        <v>12</v>
      </c>
      <c r="I5" cm="1">
        <f t="array" ref="I5">(SUM(TableSOU[PP]-TableSOU[AP]))^2</f>
        <v>2.8398992587956425E-29</v>
      </c>
    </row>
    <row r="6" spans="1:9" x14ac:dyDescent="0.3">
      <c r="A6" t="s">
        <v>168</v>
      </c>
      <c r="B6">
        <v>29.86560563280532</v>
      </c>
      <c r="C6">
        <v>11.463555186574773</v>
      </c>
      <c r="D6">
        <f t="shared" si="0"/>
        <v>20.946931948674003</v>
      </c>
      <c r="E6">
        <v>15</v>
      </c>
      <c r="F6">
        <f t="shared" si="1"/>
        <v>5.9469319486740027</v>
      </c>
    </row>
    <row r="7" spans="1:9" x14ac:dyDescent="0.3">
      <c r="A7" t="s">
        <v>169</v>
      </c>
      <c r="B7">
        <v>10.405405405405405</v>
      </c>
      <c r="C7">
        <v>13.67798977518494</v>
      </c>
      <c r="D7">
        <f t="shared" si="0"/>
        <v>11.926674056629938</v>
      </c>
      <c r="E7">
        <v>15</v>
      </c>
      <c r="F7">
        <f t="shared" si="1"/>
        <v>3.0733259433700617</v>
      </c>
      <c r="H7" t="s">
        <v>15</v>
      </c>
      <c r="I7">
        <f>AVERAGE(TableSOU[DIFF])/5</f>
        <v>0.85069061783969668</v>
      </c>
    </row>
    <row r="8" spans="1:9" x14ac:dyDescent="0.3">
      <c r="A8" t="s">
        <v>170</v>
      </c>
      <c r="B8">
        <v>12.303269301700688</v>
      </c>
      <c r="C8">
        <v>19.287172526249652</v>
      </c>
      <c r="D8">
        <f t="shared" si="0"/>
        <v>15.590588404782256</v>
      </c>
      <c r="E8">
        <v>20</v>
      </c>
      <c r="F8">
        <f t="shared" si="1"/>
        <v>4.409411595217744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171</v>
      </c>
      <c r="B2">
        <v>21.312304389222852</v>
      </c>
      <c r="C2">
        <v>20.097435715562554</v>
      </c>
      <c r="D2">
        <f t="shared" ref="D2:D14" si="0">B2*$I$2+C2*$I$3</f>
        <v>18.966265957731515</v>
      </c>
      <c r="E2">
        <v>27</v>
      </c>
      <c r="F2">
        <f t="shared" ref="F2:F14" si="1">ABS(D2-E2)</f>
        <v>8.0337340422684846</v>
      </c>
      <c r="H2" t="s">
        <v>7</v>
      </c>
      <c r="I2">
        <v>0.46366340684225166</v>
      </c>
    </row>
    <row r="3" spans="1:9" x14ac:dyDescent="0.3">
      <c r="A3" t="s">
        <v>172</v>
      </c>
      <c r="B3">
        <v>63.014554063316751</v>
      </c>
      <c r="C3">
        <v>35.891799490480267</v>
      </c>
      <c r="D3">
        <f t="shared" si="0"/>
        <v>45.441510118674444</v>
      </c>
      <c r="E3">
        <v>28</v>
      </c>
      <c r="F3">
        <f t="shared" si="1"/>
        <v>17.441510118674444</v>
      </c>
      <c r="H3" t="s">
        <v>9</v>
      </c>
      <c r="I3">
        <v>0.45202434905318395</v>
      </c>
    </row>
    <row r="4" spans="1:9" x14ac:dyDescent="0.3">
      <c r="A4" t="s">
        <v>173</v>
      </c>
      <c r="B4">
        <v>22.736842119097421</v>
      </c>
      <c r="C4">
        <v>26.266964615412725</v>
      </c>
      <c r="D4">
        <f t="shared" si="0"/>
        <v>22.415549259660065</v>
      </c>
      <c r="E4">
        <v>20</v>
      </c>
      <c r="F4">
        <f t="shared" si="1"/>
        <v>2.4155492596600645</v>
      </c>
    </row>
    <row r="5" spans="1:9" x14ac:dyDescent="0.3">
      <c r="A5" t="s">
        <v>174</v>
      </c>
      <c r="B5">
        <v>28.388872194519585</v>
      </c>
      <c r="C5">
        <v>21.644453199331785</v>
      </c>
      <c r="D5">
        <f t="shared" si="0"/>
        <v>22.946701066160273</v>
      </c>
      <c r="E5">
        <v>18</v>
      </c>
      <c r="F5">
        <f t="shared" si="1"/>
        <v>4.9467010661602728</v>
      </c>
      <c r="H5" t="s">
        <v>12</v>
      </c>
      <c r="I5" cm="1">
        <f t="array" ref="I5">(SUM(TableTOT[PP]-TableTOT[AP]))^2</f>
        <v>2.8398992587956425E-29</v>
      </c>
    </row>
    <row r="6" spans="1:9" x14ac:dyDescent="0.3">
      <c r="A6" t="s">
        <v>175</v>
      </c>
      <c r="B6">
        <v>15.144200616234629</v>
      </c>
      <c r="C6">
        <v>17.476473213505486</v>
      </c>
      <c r="D6">
        <f t="shared" si="0"/>
        <v>14.921603079706099</v>
      </c>
      <c r="E6">
        <v>25</v>
      </c>
      <c r="F6">
        <f t="shared" si="1"/>
        <v>10.078396920293901</v>
      </c>
    </row>
    <row r="7" spans="1:9" x14ac:dyDescent="0.3">
      <c r="A7" t="s">
        <v>176</v>
      </c>
      <c r="B7">
        <v>14.759563919755834</v>
      </c>
      <c r="C7">
        <v>19.283906051273991</v>
      </c>
      <c r="D7">
        <f t="shared" si="0"/>
        <v>15.560264770569848</v>
      </c>
      <c r="E7">
        <v>23</v>
      </c>
      <c r="F7">
        <f t="shared" si="1"/>
        <v>7.439735229430152</v>
      </c>
      <c r="H7" t="s">
        <v>15</v>
      </c>
      <c r="I7">
        <f>AVERAGE(TableTOT[DIFF])/5</f>
        <v>1.503030850616847</v>
      </c>
    </row>
    <row r="8" spans="1:9" x14ac:dyDescent="0.3">
      <c r="A8" t="s">
        <v>177</v>
      </c>
      <c r="B8">
        <v>15.030550868895375</v>
      </c>
      <c r="C8">
        <v>19.430499768655977</v>
      </c>
      <c r="D8">
        <f t="shared" si="0"/>
        <v>15.752175432292555</v>
      </c>
      <c r="E8">
        <v>11</v>
      </c>
      <c r="F8">
        <f t="shared" si="1"/>
        <v>4.7521754322925549</v>
      </c>
    </row>
    <row r="9" spans="1:9" x14ac:dyDescent="0.3">
      <c r="A9" t="s">
        <v>178</v>
      </c>
      <c r="B9">
        <v>14.875418192065414</v>
      </c>
      <c r="C9">
        <v>18.799807062587693</v>
      </c>
      <c r="D9">
        <f t="shared" si="0"/>
        <v>15.395157626927912</v>
      </c>
      <c r="E9">
        <v>26</v>
      </c>
      <c r="F9">
        <f t="shared" si="1"/>
        <v>10.604842373072088</v>
      </c>
    </row>
    <row r="10" spans="1:9" x14ac:dyDescent="0.3">
      <c r="A10" t="s">
        <v>179</v>
      </c>
      <c r="B10">
        <v>16.53125</v>
      </c>
      <c r="C10">
        <v>18.138364716002226</v>
      </c>
      <c r="D10">
        <f t="shared" si="0"/>
        <v>15.863918198001119</v>
      </c>
      <c r="E10">
        <v>19</v>
      </c>
      <c r="F10">
        <f t="shared" si="1"/>
        <v>3.1360818019988805</v>
      </c>
    </row>
    <row r="11" spans="1:9" x14ac:dyDescent="0.3">
      <c r="A11" t="s">
        <v>180</v>
      </c>
      <c r="B11">
        <v>29.481372140161071</v>
      </c>
      <c r="C11">
        <v>23.068700353159361</v>
      </c>
      <c r="D11">
        <f t="shared" si="0"/>
        <v>24.097047705531139</v>
      </c>
      <c r="E11">
        <v>30</v>
      </c>
      <c r="F11">
        <f t="shared" si="1"/>
        <v>5.9029522944688608</v>
      </c>
    </row>
    <row r="12" spans="1:9" x14ac:dyDescent="0.3">
      <c r="A12" t="s">
        <v>181</v>
      </c>
      <c r="B12">
        <v>22.852760394324331</v>
      </c>
      <c r="C12">
        <v>25.797220378784768</v>
      </c>
      <c r="D12">
        <f t="shared" si="0"/>
        <v>22.256960489283813</v>
      </c>
      <c r="E12">
        <v>11</v>
      </c>
      <c r="F12">
        <f t="shared" si="1"/>
        <v>11.256960489283813</v>
      </c>
    </row>
    <row r="13" spans="1:9" x14ac:dyDescent="0.3">
      <c r="A13" t="s">
        <v>182</v>
      </c>
      <c r="B13">
        <v>26.05263157894737</v>
      </c>
      <c r="C13">
        <v>22.025261215970989</v>
      </c>
      <c r="D13">
        <f t="shared" si="0"/>
        <v>22.035606278976392</v>
      </c>
      <c r="E13">
        <v>14</v>
      </c>
      <c r="F13">
        <f t="shared" si="1"/>
        <v>8.0356062789763918</v>
      </c>
    </row>
    <row r="14" spans="1:9" x14ac:dyDescent="0.3">
      <c r="A14" t="s">
        <v>183</v>
      </c>
      <c r="B14">
        <v>7.273894851031347</v>
      </c>
      <c r="C14">
        <v>22.066512942801097</v>
      </c>
      <c r="D14">
        <f t="shared" si="0"/>
        <v>13.347240016484832</v>
      </c>
      <c r="E14">
        <v>17</v>
      </c>
      <c r="F14">
        <f t="shared" si="1"/>
        <v>3.6527599835151676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184</v>
      </c>
      <c r="B2">
        <v>15.703579209174674</v>
      </c>
      <c r="C2">
        <v>16.867892151839921</v>
      </c>
      <c r="D2">
        <f t="shared" ref="D2:D11" si="0">B2*$I$2+C2*$I$3</f>
        <v>14.37718984520798</v>
      </c>
      <c r="E2">
        <v>19</v>
      </c>
      <c r="F2">
        <f t="shared" ref="F2:F11" si="1">ABS(D2-E2)</f>
        <v>4.6228101547920204</v>
      </c>
      <c r="H2" t="s">
        <v>7</v>
      </c>
      <c r="I2">
        <v>0.44071156233161785</v>
      </c>
    </row>
    <row r="3" spans="1:9" x14ac:dyDescent="0.3">
      <c r="A3" t="s">
        <v>185</v>
      </c>
      <c r="B3">
        <v>32.099999979870901</v>
      </c>
      <c r="C3">
        <v>18.227616098379539</v>
      </c>
      <c r="D3">
        <f t="shared" si="0"/>
        <v>22.204347159042122</v>
      </c>
      <c r="E3">
        <v>19</v>
      </c>
      <c r="F3">
        <f t="shared" si="1"/>
        <v>3.204347159042122</v>
      </c>
      <c r="H3" t="s">
        <v>9</v>
      </c>
      <c r="I3">
        <v>0.4420493592568388</v>
      </c>
    </row>
    <row r="4" spans="1:9" x14ac:dyDescent="0.3">
      <c r="A4" t="s">
        <v>186</v>
      </c>
      <c r="B4">
        <v>15.965531805171109</v>
      </c>
      <c r="C4">
        <v>14.547252600218689</v>
      </c>
      <c r="D4">
        <f t="shared" si="0"/>
        <v>13.466798156186147</v>
      </c>
      <c r="E4">
        <v>15</v>
      </c>
      <c r="F4">
        <f t="shared" si="1"/>
        <v>1.5332018438138526</v>
      </c>
    </row>
    <row r="5" spans="1:9" x14ac:dyDescent="0.3">
      <c r="A5" t="s">
        <v>187</v>
      </c>
      <c r="B5">
        <v>16.45400010473967</v>
      </c>
      <c r="C5">
        <v>19.730370483426803</v>
      </c>
      <c r="D5">
        <f t="shared" si="0"/>
        <v>15.973265722863285</v>
      </c>
      <c r="E5">
        <v>15</v>
      </c>
      <c r="F5">
        <f t="shared" si="1"/>
        <v>0.97326572286328528</v>
      </c>
      <c r="H5" t="s">
        <v>12</v>
      </c>
      <c r="I5" cm="1">
        <f t="array" ref="I5">(SUM(TableWHU[PP]-TableWHU[AP]))^2</f>
        <v>1.135959703518257E-28</v>
      </c>
    </row>
    <row r="6" spans="1:9" x14ac:dyDescent="0.3">
      <c r="A6" t="s">
        <v>188</v>
      </c>
      <c r="B6">
        <v>14.02635758786333</v>
      </c>
      <c r="C6">
        <v>13.164382668581482</v>
      </c>
      <c r="D6">
        <f t="shared" si="0"/>
        <v>12.000884890027468</v>
      </c>
      <c r="E6">
        <v>11</v>
      </c>
      <c r="F6">
        <f t="shared" si="1"/>
        <v>1.0008848900274678</v>
      </c>
    </row>
    <row r="7" spans="1:9" x14ac:dyDescent="0.3">
      <c r="A7" t="s">
        <v>189</v>
      </c>
      <c r="B7">
        <v>16.626073462822305</v>
      </c>
      <c r="C7">
        <v>17.668702448325742</v>
      </c>
      <c r="D7">
        <f t="shared" si="0"/>
        <v>15.137741407422803</v>
      </c>
      <c r="E7">
        <v>22</v>
      </c>
      <c r="F7">
        <f t="shared" si="1"/>
        <v>6.8622585925771968</v>
      </c>
      <c r="H7" t="s">
        <v>15</v>
      </c>
      <c r="I7">
        <f>AVERAGE(TableWHU[DIFF])/5</f>
        <v>0.61591328702859949</v>
      </c>
    </row>
    <row r="8" spans="1:9" x14ac:dyDescent="0.3">
      <c r="A8" t="s">
        <v>190</v>
      </c>
      <c r="B8">
        <v>19.923992718786806</v>
      </c>
      <c r="C8">
        <v>23.587875761012178</v>
      </c>
      <c r="D8">
        <f t="shared" si="0"/>
        <v>19.207739325365665</v>
      </c>
      <c r="E8">
        <v>16</v>
      </c>
      <c r="F8">
        <f t="shared" si="1"/>
        <v>3.2077393253656652</v>
      </c>
    </row>
    <row r="9" spans="1:9" x14ac:dyDescent="0.3">
      <c r="A9" t="s">
        <v>191</v>
      </c>
      <c r="B9">
        <v>18.099372682596687</v>
      </c>
      <c r="C9">
        <v>15.029623873831911</v>
      </c>
      <c r="D9">
        <f t="shared" si="0"/>
        <v>14.620438415468076</v>
      </c>
      <c r="E9">
        <v>17</v>
      </c>
      <c r="F9">
        <f t="shared" si="1"/>
        <v>2.379561584531924</v>
      </c>
    </row>
    <row r="10" spans="1:9" x14ac:dyDescent="0.3">
      <c r="A10" t="s">
        <v>192</v>
      </c>
      <c r="B10">
        <v>17.682692309745878</v>
      </c>
      <c r="C10">
        <v>15.037123767758459</v>
      </c>
      <c r="D10">
        <f t="shared" si="0"/>
        <v>14.440117880660798</v>
      </c>
      <c r="E10">
        <v>10</v>
      </c>
      <c r="F10">
        <f t="shared" si="1"/>
        <v>4.4401178806607984</v>
      </c>
    </row>
    <row r="11" spans="1:9" x14ac:dyDescent="0.3">
      <c r="A11" t="s">
        <v>193</v>
      </c>
      <c r="B11">
        <v>10.999563360885904</v>
      </c>
      <c r="C11">
        <v>24.259377871382114</v>
      </c>
      <c r="D11">
        <f t="shared" si="0"/>
        <v>15.571477197755645</v>
      </c>
      <c r="E11">
        <v>13</v>
      </c>
      <c r="F11">
        <f t="shared" si="1"/>
        <v>2.5714771977556445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194</v>
      </c>
      <c r="B2">
        <v>17.851063850810387</v>
      </c>
      <c r="C2">
        <v>16.090544738336533</v>
      </c>
      <c r="D2">
        <f>B2*$I$2+C2*$I$3</f>
        <v>13.866456446875183</v>
      </c>
      <c r="E2">
        <v>11</v>
      </c>
      <c r="F2">
        <f>ABS(D2-E2)</f>
        <v>2.8664564468751834</v>
      </c>
      <c r="H2" t="s">
        <v>7</v>
      </c>
      <c r="I2">
        <v>0.37939489494700257</v>
      </c>
    </row>
    <row r="3" spans="1:9" x14ac:dyDescent="0.3">
      <c r="A3" t="s">
        <v>195</v>
      </c>
      <c r="B3">
        <v>20.303720783054704</v>
      </c>
      <c r="C3">
        <v>21.247575704437882</v>
      </c>
      <c r="D3">
        <f>B3*$I$2+C3*$I$3</f>
        <v>17.070567173796547</v>
      </c>
      <c r="E3">
        <v>20</v>
      </c>
      <c r="F3">
        <f>ABS(D3-E3)</f>
        <v>2.9294328262034526</v>
      </c>
      <c r="H3" t="s">
        <v>9</v>
      </c>
      <c r="I3">
        <v>0.44087096290800371</v>
      </c>
    </row>
    <row r="4" spans="1:9" x14ac:dyDescent="0.3">
      <c r="A4" t="s">
        <v>196</v>
      </c>
      <c r="B4">
        <v>7.2113202737946294</v>
      </c>
      <c r="C4">
        <v>20.459957401086875</v>
      </c>
      <c r="D4">
        <f>B4*$I$2+C4*$I$3</f>
        <v>11.756139218179412</v>
      </c>
      <c r="E4">
        <v>14</v>
      </c>
      <c r="F4">
        <f>ABS(D4-E4)</f>
        <v>2.2438607818205885</v>
      </c>
    </row>
    <row r="5" spans="1:9" x14ac:dyDescent="0.3">
      <c r="A5" t="s">
        <v>197</v>
      </c>
      <c r="B5">
        <v>16.180555577055774</v>
      </c>
      <c r="C5">
        <v>17.083460488115545</v>
      </c>
      <c r="D5">
        <f>B5*$I$2+C5*$I$3</f>
        <v>13.670421858537548</v>
      </c>
      <c r="E5">
        <v>13</v>
      </c>
      <c r="F5">
        <f>ABS(D5-E5)</f>
        <v>0.67042185853754788</v>
      </c>
      <c r="H5" t="s">
        <v>12</v>
      </c>
      <c r="I5" cm="1">
        <f t="array" ref="I5">(SUM(TableWOL[PP]-TableWOL[AP]))^2</f>
        <v>2.8398992587956425E-29</v>
      </c>
    </row>
    <row r="6" spans="1:9" x14ac:dyDescent="0.3">
      <c r="A6" t="s">
        <v>198</v>
      </c>
      <c r="B6">
        <v>15.833333311880381</v>
      </c>
      <c r="C6">
        <v>15.036892950178078</v>
      </c>
      <c r="D6">
        <f>B6*$I$2+C6*$I$3</f>
        <v>12.636415302611315</v>
      </c>
      <c r="E6">
        <v>11</v>
      </c>
      <c r="F6">
        <f>ABS(D6-E6)</f>
        <v>1.6364153026113151</v>
      </c>
    </row>
    <row r="7" spans="1:9" x14ac:dyDescent="0.3">
      <c r="H7" t="s">
        <v>15</v>
      </c>
      <c r="I7">
        <f>AVERAGE(TableWOL[DIFF])/5</f>
        <v>0.41386348864192346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2023-03-16T14:12:11Z</dcterms:created>
  <dcterms:modified xsi:type="dcterms:W3CDTF">2023-03-16T14:20:07Z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e8b95b74-b2a2-4a70-b53a-8b5d6d22fdf0</vt:lpwstr>
  </property>
</Properties>
</file>