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BA6399FE-E51E-48CC-A3A3-809338A8B552}" xr6:coauthVersionLast="47" xr6:coauthVersionMax="47" xr10:uidLastSave="{00000000-0000-0000-0000-000000000000}"/>
  <bookViews>
    <workbookView xWindow="-108" yWindow="-108" windowWidth="23256" windowHeight="12576" firstSheet="6" activeTab="19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8" r:id="rId18"/>
    <sheet name="WHU" sheetId="19" r:id="rId19"/>
    <sheet name="WOL" sheetId="20" r:id="rId20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LEE!$I$2:$I$3</definedName>
    <definedName name="solver_adj" localSheetId="10" hidden="1">LEI!$I$2:$I$3</definedName>
    <definedName name="solver_adj" localSheetId="11" hidden="1">LIV!$I$2:$I$3</definedName>
    <definedName name="solver_adj" localSheetId="12" hidden="1">MCI!$I$2:$I$4</definedName>
    <definedName name="solver_adj" localSheetId="13" hidden="1">MUN!$I$2:$I$3</definedName>
    <definedName name="solver_adj" localSheetId="14" hidden="1">NEW!$I$2:$I$3</definedName>
    <definedName name="solver_adj" localSheetId="15" hidden="1">NFO!$I$2:$I$3</definedName>
    <definedName name="solver_adj" localSheetId="16" hidden="1">SOU!$I$2:$I$3</definedName>
    <definedName name="solver_adj" localSheetId="17" hidden="1">TOT!$I$2:$I$3</definedName>
    <definedName name="solver_adj" localSheetId="18" hidden="1">WHU!$I$2:$I$3</definedName>
    <definedName name="solver_adj" localSheetId="19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LEE!$I$5</definedName>
    <definedName name="solver_opt" localSheetId="10" hidden="1">LEI!$I$5</definedName>
    <definedName name="solver_opt" localSheetId="11" hidden="1">LIV!$I$5</definedName>
    <definedName name="solver_opt" localSheetId="12" hidden="1">MCI!$I$5</definedName>
    <definedName name="solver_opt" localSheetId="13" hidden="1">MUN!$I$5</definedName>
    <definedName name="solver_opt" localSheetId="14" hidden="1">NEW!$I$5</definedName>
    <definedName name="solver_opt" localSheetId="15" hidden="1">NFO!$I$5</definedName>
    <definedName name="solver_opt" localSheetId="16" hidden="1">SOU!$I$5</definedName>
    <definedName name="solver_opt" localSheetId="17" hidden="1">TOT!$I$5</definedName>
    <definedName name="solver_opt" localSheetId="18" hidden="1">WHU!$I$5</definedName>
    <definedName name="solver_opt" localSheetId="19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0" l="1"/>
  <c r="F5" i="20" s="1"/>
  <c r="D4" i="20"/>
  <c r="F4" i="20" s="1"/>
  <c r="D3" i="20"/>
  <c r="F3" i="20" s="1"/>
  <c r="D2" i="20"/>
  <c r="F2" i="20" s="1"/>
  <c r="D11" i="19"/>
  <c r="F11" i="19" s="1"/>
  <c r="D10" i="19"/>
  <c r="F10" i="19" s="1"/>
  <c r="D9" i="19"/>
  <c r="F9" i="19" s="1"/>
  <c r="D8" i="19"/>
  <c r="F8" i="19" s="1"/>
  <c r="D7" i="19"/>
  <c r="F7" i="19" s="1"/>
  <c r="D6" i="19"/>
  <c r="F6" i="19" s="1"/>
  <c r="D5" i="19"/>
  <c r="F5" i="19" s="1"/>
  <c r="D4" i="19"/>
  <c r="F4" i="19" s="1"/>
  <c r="D3" i="19"/>
  <c r="F3" i="19" s="1"/>
  <c r="D2" i="19"/>
  <c r="F2" i="19" s="1"/>
  <c r="D14" i="18"/>
  <c r="F14" i="18" s="1"/>
  <c r="D13" i="18"/>
  <c r="F13" i="18" s="1"/>
  <c r="D12" i="18"/>
  <c r="F12" i="18" s="1"/>
  <c r="D11" i="18"/>
  <c r="F11" i="18" s="1"/>
  <c r="D10" i="18"/>
  <c r="F10" i="18" s="1"/>
  <c r="D9" i="18"/>
  <c r="F9" i="18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F2" i="18" s="1"/>
  <c r="D8" i="17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F2" i="17" s="1"/>
  <c r="D9" i="16"/>
  <c r="F9" i="16" s="1"/>
  <c r="D8" i="16"/>
  <c r="F8" i="16" s="1"/>
  <c r="D7" i="16"/>
  <c r="F7" i="16" s="1"/>
  <c r="D6" i="16"/>
  <c r="F6" i="16" s="1"/>
  <c r="D5" i="16"/>
  <c r="F5" i="16" s="1"/>
  <c r="D4" i="16"/>
  <c r="F4" i="16" s="1"/>
  <c r="D3" i="16"/>
  <c r="F3" i="16" s="1"/>
  <c r="D2" i="16"/>
  <c r="F2" i="16" s="1"/>
  <c r="D6" i="15"/>
  <c r="F6" i="15" s="1"/>
  <c r="D5" i="15"/>
  <c r="F5" i="15" s="1"/>
  <c r="D4" i="15"/>
  <c r="F4" i="15" s="1"/>
  <c r="D3" i="15"/>
  <c r="F3" i="15" s="1"/>
  <c r="D2" i="15"/>
  <c r="I5" i="15" s="1" a="1"/>
  <c r="I5" i="15" s="1"/>
  <c r="D14" i="14"/>
  <c r="F14" i="14" s="1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4" i="13"/>
  <c r="F14" i="13" s="1"/>
  <c r="D13" i="13"/>
  <c r="F13" i="13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D14" i="12"/>
  <c r="F14" i="12" s="1"/>
  <c r="D13" i="12"/>
  <c r="F13" i="12" s="1"/>
  <c r="D12" i="12"/>
  <c r="F12" i="12" s="1"/>
  <c r="D11" i="12"/>
  <c r="F11" i="12" s="1"/>
  <c r="D10" i="12"/>
  <c r="F10" i="12" s="1"/>
  <c r="D9" i="12"/>
  <c r="F9" i="12" s="1"/>
  <c r="D8" i="12"/>
  <c r="F8" i="12" s="1"/>
  <c r="D7" i="12"/>
  <c r="F7" i="12" s="1"/>
  <c r="D6" i="12"/>
  <c r="F6" i="12" s="1"/>
  <c r="D5" i="12"/>
  <c r="F5" i="12" s="1"/>
  <c r="D4" i="12"/>
  <c r="F4" i="12" s="1"/>
  <c r="D3" i="12"/>
  <c r="F3" i="12" s="1"/>
  <c r="D2" i="12"/>
  <c r="D5" i="11"/>
  <c r="F5" i="11" s="1"/>
  <c r="D4" i="11"/>
  <c r="F4" i="11" s="1"/>
  <c r="D3" i="11"/>
  <c r="F3" i="11" s="1"/>
  <c r="D2" i="11"/>
  <c r="D12" i="10"/>
  <c r="F12" i="10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8" i="9"/>
  <c r="F8" i="9" s="1"/>
  <c r="D7" i="9"/>
  <c r="F7" i="9" s="1"/>
  <c r="D6" i="9"/>
  <c r="F6" i="9" s="1"/>
  <c r="D5" i="9"/>
  <c r="F5" i="9" s="1"/>
  <c r="D4" i="9"/>
  <c r="F4" i="9" s="1"/>
  <c r="D3" i="9"/>
  <c r="F3" i="9" s="1"/>
  <c r="D2" i="9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12" i="5"/>
  <c r="F12" i="5" s="1"/>
  <c r="D11" i="5"/>
  <c r="F11" i="5" s="1"/>
  <c r="D10" i="5"/>
  <c r="F10" i="5" s="1"/>
  <c r="D9" i="5"/>
  <c r="F9" i="5" s="1"/>
  <c r="D8" i="5"/>
  <c r="F8" i="5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F2" i="4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F2" i="2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20" l="1" a="1"/>
  <c r="I5" i="20" s="1"/>
  <c r="I7" i="20"/>
  <c r="I5" i="19" a="1"/>
  <c r="I5" i="19" s="1"/>
  <c r="I5" i="18" a="1"/>
  <c r="I5" i="18" s="1"/>
  <c r="I5" i="17" a="1"/>
  <c r="I5" i="17" s="1"/>
  <c r="I5" i="16" a="1"/>
  <c r="I5" i="16" s="1"/>
  <c r="F2" i="15"/>
  <c r="I7" i="15" s="1"/>
  <c r="I7" i="14"/>
  <c r="I5" i="14" a="1"/>
  <c r="I5" i="14" s="1"/>
  <c r="I5" i="13" a="1"/>
  <c r="I5" i="13" s="1"/>
  <c r="F2" i="13"/>
  <c r="I7" i="13" s="1"/>
  <c r="I5" i="12" a="1"/>
  <c r="I5" i="12" s="1"/>
  <c r="F2" i="12"/>
  <c r="I7" i="12" s="1"/>
  <c r="I5" i="11" a="1"/>
  <c r="I5" i="11" s="1"/>
  <c r="F2" i="11"/>
  <c r="I5" i="10" a="1"/>
  <c r="I5" i="10" s="1"/>
  <c r="F2" i="10"/>
  <c r="I7" i="10" s="1"/>
  <c r="I5" i="9" a="1"/>
  <c r="I5" i="9" s="1"/>
  <c r="F2" i="9"/>
  <c r="I5" i="8" a="1"/>
  <c r="I5" i="8" s="1"/>
  <c r="F2" i="8"/>
  <c r="I7" i="8" s="1"/>
  <c r="I5" i="7" a="1"/>
  <c r="I5" i="7" s="1"/>
  <c r="F2" i="7"/>
  <c r="I7" i="7" s="1"/>
  <c r="I5" i="6" a="1"/>
  <c r="I5" i="6" s="1"/>
  <c r="I7" i="5"/>
  <c r="I5" i="5" a="1"/>
  <c r="I5" i="5" s="1"/>
  <c r="I5" i="4" a="1"/>
  <c r="I5" i="4" s="1"/>
  <c r="I5" i="3" a="1"/>
  <c r="I5" i="3" s="1"/>
  <c r="I5" i="2" a="1"/>
  <c r="I5" i="2" s="1"/>
  <c r="I5" i="1" a="1"/>
  <c r="I5" i="1" s="1"/>
  <c r="I7" i="11"/>
  <c r="I7" i="4"/>
  <c r="I7" i="6"/>
  <c r="I7" i="1"/>
  <c r="I7" i="2"/>
  <c r="I7" i="19"/>
  <c r="I7" i="16"/>
  <c r="I7" i="18"/>
  <c r="I7" i="3"/>
  <c r="I7" i="9"/>
  <c r="I7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<sst xmlns="http://schemas.openxmlformats.org/spreadsheetml/2006/main" count="392" uniqueCount="200">
  <si>
    <t>Name</t>
  </si>
  <si>
    <t>ARIMAPP</t>
  </si>
  <si>
    <t>LSTMPP</t>
  </si>
  <si>
    <t>PP</t>
  </si>
  <si>
    <t>AP</t>
  </si>
  <si>
    <t>DIFF</t>
  </si>
  <si>
    <t>Xhaka</t>
  </si>
  <si>
    <t>ARIMA</t>
  </si>
  <si>
    <t>Partey</t>
  </si>
  <si>
    <t>LSTM</t>
  </si>
  <si>
    <t>Ødegaard</t>
  </si>
  <si>
    <t>White</t>
  </si>
  <si>
    <t>OFF</t>
  </si>
  <si>
    <t>Nketiah</t>
  </si>
  <si>
    <t>Saka</t>
  </si>
  <si>
    <t>AVG</t>
  </si>
  <si>
    <t>Ramsdale</t>
  </si>
  <si>
    <t>Gabriel</t>
  </si>
  <si>
    <t>Martinelli</t>
  </si>
  <si>
    <t>Saliba</t>
  </si>
  <si>
    <t>Jesus</t>
  </si>
  <si>
    <t>Trossard</t>
  </si>
  <si>
    <t>Jorginho</t>
  </si>
  <si>
    <t>Zinchenko</t>
  </si>
  <si>
    <t>Coutinho</t>
  </si>
  <si>
    <t>Martínez</t>
  </si>
  <si>
    <t>McGinn</t>
  </si>
  <si>
    <t>Watkins</t>
  </si>
  <si>
    <t>Buendía</t>
  </si>
  <si>
    <t>Cash</t>
  </si>
  <si>
    <t>Konsa</t>
  </si>
  <si>
    <t>Bailey</t>
  </si>
  <si>
    <t>Douglas Luiz</t>
  </si>
  <si>
    <t>Ramsey</t>
  </si>
  <si>
    <t>Kamara</t>
  </si>
  <si>
    <t>Smith</t>
  </si>
  <si>
    <t>Stanislas</t>
  </si>
  <si>
    <t>Lerma</t>
  </si>
  <si>
    <t>Solanke</t>
  </si>
  <si>
    <t>Billing</t>
  </si>
  <si>
    <t>Travers</t>
  </si>
  <si>
    <t>Kelly</t>
  </si>
  <si>
    <t>Zemura</t>
  </si>
  <si>
    <t>Stephens</t>
  </si>
  <si>
    <t>Tavernier</t>
  </si>
  <si>
    <t>Jansson</t>
  </si>
  <si>
    <t>Nørgaard</t>
  </si>
  <si>
    <t>Toney</t>
  </si>
  <si>
    <t>Raya</t>
  </si>
  <si>
    <t>Henry</t>
  </si>
  <si>
    <t>Janelt</t>
  </si>
  <si>
    <t>Jensen</t>
  </si>
  <si>
    <t>Wissa</t>
  </si>
  <si>
    <t>Mbeumo</t>
  </si>
  <si>
    <t>Hickey</t>
  </si>
  <si>
    <t>Mee</t>
  </si>
  <si>
    <t>Lallana</t>
  </si>
  <si>
    <t>Welbeck</t>
  </si>
  <si>
    <t>Groß</t>
  </si>
  <si>
    <t>Dunk</t>
  </si>
  <si>
    <t>March</t>
  </si>
  <si>
    <t>Webster</t>
  </si>
  <si>
    <t>Veltman</t>
  </si>
  <si>
    <t>Sánchez</t>
  </si>
  <si>
    <t>Lamptey</t>
  </si>
  <si>
    <t>Mac Allister</t>
  </si>
  <si>
    <t>Mwepu</t>
  </si>
  <si>
    <t>Cucurella</t>
  </si>
  <si>
    <t>Thiago Silva</t>
  </si>
  <si>
    <t>Kanté</t>
  </si>
  <si>
    <t>Loftus-Cheek</t>
  </si>
  <si>
    <t>Chilwell</t>
  </si>
  <si>
    <t>Pulisic</t>
  </si>
  <si>
    <t>Havertz</t>
  </si>
  <si>
    <t>Mendy</t>
  </si>
  <si>
    <t>Broja</t>
  </si>
  <si>
    <t>W.Fofana</t>
  </si>
  <si>
    <t>Koulibaly</t>
  </si>
  <si>
    <t>Sambi</t>
  </si>
  <si>
    <t>Guaita</t>
  </si>
  <si>
    <t>Clyne</t>
  </si>
  <si>
    <t>Zaha</t>
  </si>
  <si>
    <t>Schlupp</t>
  </si>
  <si>
    <t>Guéhi</t>
  </si>
  <si>
    <t>Eze</t>
  </si>
  <si>
    <t>Mitchell</t>
  </si>
  <si>
    <t>Pickford</t>
  </si>
  <si>
    <t>A.Doucouré</t>
  </si>
  <si>
    <t>Iwobi</t>
  </si>
  <si>
    <t>Mina</t>
  </si>
  <si>
    <t>Gray</t>
  </si>
  <si>
    <t>Holgate</t>
  </si>
  <si>
    <t>Tarkowski</t>
  </si>
  <si>
    <t>McNeil</t>
  </si>
  <si>
    <t>Ream</t>
  </si>
  <si>
    <t>Kebano</t>
  </si>
  <si>
    <t>De Cordova-Reid</t>
  </si>
  <si>
    <t>Reed</t>
  </si>
  <si>
    <t>Tete</t>
  </si>
  <si>
    <t>Robinson</t>
  </si>
  <si>
    <t>Andreas</t>
  </si>
  <si>
    <t>Rodrigo</t>
  </si>
  <si>
    <t>Bamford</t>
  </si>
  <si>
    <t>Koch</t>
  </si>
  <si>
    <t>Harrison</t>
  </si>
  <si>
    <t>Struijk</t>
  </si>
  <si>
    <t>Meslier</t>
  </si>
  <si>
    <t>Summerville</t>
  </si>
  <si>
    <t>Kristensen</t>
  </si>
  <si>
    <t>Roca</t>
  </si>
  <si>
    <t>Aaronson</t>
  </si>
  <si>
    <t>Adams</t>
  </si>
  <si>
    <t>Ward</t>
  </si>
  <si>
    <t>Maddison</t>
  </si>
  <si>
    <t>Justin</t>
  </si>
  <si>
    <t>Daka</t>
  </si>
  <si>
    <t>Henderson</t>
  </si>
  <si>
    <t>Matip</t>
  </si>
  <si>
    <t>Thiago</t>
  </si>
  <si>
    <t>Firmino</t>
  </si>
  <si>
    <t>Van Dijk</t>
  </si>
  <si>
    <t>Alisson</t>
  </si>
  <si>
    <t>Fabinho</t>
  </si>
  <si>
    <t>Salah</t>
  </si>
  <si>
    <t>Robertson</t>
  </si>
  <si>
    <t>Alexander-Arnold</t>
  </si>
  <si>
    <t>Luis Díaz</t>
  </si>
  <si>
    <t>Elliott</t>
  </si>
  <si>
    <t>Darwin</t>
  </si>
  <si>
    <t>Walker</t>
  </si>
  <si>
    <t>Gündogan</t>
  </si>
  <si>
    <t>De Bruyne</t>
  </si>
  <si>
    <t>Mahrez</t>
  </si>
  <si>
    <t>Grealish</t>
  </si>
  <si>
    <t>Ederson</t>
  </si>
  <si>
    <t>Aké</t>
  </si>
  <si>
    <t>Bernardo</t>
  </si>
  <si>
    <t>Dias</t>
  </si>
  <si>
    <t>Foden</t>
  </si>
  <si>
    <t>Rodri</t>
  </si>
  <si>
    <t>Haaland</t>
  </si>
  <si>
    <t>Álvarez</t>
  </si>
  <si>
    <t>Ronaldo</t>
  </si>
  <si>
    <t>De Gea</t>
  </si>
  <si>
    <t>Maguire</t>
  </si>
  <si>
    <t>Fred</t>
  </si>
  <si>
    <t>Shaw</t>
  </si>
  <si>
    <t>Fernandes</t>
  </si>
  <si>
    <t>Rashford</t>
  </si>
  <si>
    <t>Sancho</t>
  </si>
  <si>
    <t>Dalot</t>
  </si>
  <si>
    <t>Malacia</t>
  </si>
  <si>
    <t>Eriksen</t>
  </si>
  <si>
    <t>Garnacho</t>
  </si>
  <si>
    <t>Wilson</t>
  </si>
  <si>
    <t>Trippier</t>
  </si>
  <si>
    <t>Almirón</t>
  </si>
  <si>
    <t>S.Longstaff</t>
  </si>
  <si>
    <t>Willock</t>
  </si>
  <si>
    <t>Wood</t>
  </si>
  <si>
    <t>McKenna</t>
  </si>
  <si>
    <t>Worrall</t>
  </si>
  <si>
    <t>Surridge</t>
  </si>
  <si>
    <t>Johnson</t>
  </si>
  <si>
    <t>Awoniyi</t>
  </si>
  <si>
    <t>Gibbs-White</t>
  </si>
  <si>
    <t>Romeu</t>
  </si>
  <si>
    <t>Redmond</t>
  </si>
  <si>
    <t>Ward-Prowse</t>
  </si>
  <si>
    <t>Walker-Peters</t>
  </si>
  <si>
    <t>Bednarek</t>
  </si>
  <si>
    <t>Perraud</t>
  </si>
  <si>
    <t>Bazunu</t>
  </si>
  <si>
    <t>Lloris</t>
  </si>
  <si>
    <t>Kane</t>
  </si>
  <si>
    <t>Son</t>
  </si>
  <si>
    <t>Doherty</t>
  </si>
  <si>
    <t>Dier</t>
  </si>
  <si>
    <t>Davies</t>
  </si>
  <si>
    <t>Højbjerg</t>
  </si>
  <si>
    <t>Bentancur</t>
  </si>
  <si>
    <t>Romero</t>
  </si>
  <si>
    <t>Emerson Royal</t>
  </si>
  <si>
    <t>Kulusevski</t>
  </si>
  <si>
    <t>Perišić</t>
  </si>
  <si>
    <t>Lenglet</t>
  </si>
  <si>
    <t>Ings</t>
  </si>
  <si>
    <t>Fabianski</t>
  </si>
  <si>
    <t>Antonio</t>
  </si>
  <si>
    <t>Zouma</t>
  </si>
  <si>
    <t>Coufal</t>
  </si>
  <si>
    <t>Benrahma</t>
  </si>
  <si>
    <t>Bowen</t>
  </si>
  <si>
    <t>Rice</t>
  </si>
  <si>
    <t>Soucek</t>
  </si>
  <si>
    <t>Scamacca</t>
  </si>
  <si>
    <t>Jonny</t>
  </si>
  <si>
    <t>Sá</t>
  </si>
  <si>
    <t>Hwang</t>
  </si>
  <si>
    <t>Kilman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</si>
</sst>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5">
  <autoFilter ref="A1:F15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2">
  <autoFilter ref="A1:F12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11">
  <autoFilter ref="A1:F11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2">
  <autoFilter ref="A1:F12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12">
  <autoFilter ref="A1:F12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12">
  <autoFilter ref="A1:F12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9">
  <autoFilter ref="A1:F9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9">
  <autoFilter ref="A1:F9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8">
  <autoFilter ref="A1:F8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EE" displayName="TableLEE" ref="A1:F12">
  <autoFilter ref="A1:F12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EI" displayName="TableLEI" ref="A1:F5">
  <autoFilter ref="A1:F5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LIV" displayName="TableLIV" ref="A1:F14">
  <autoFilter ref="A1:F14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CI" displayName="TableMCI" ref="A1:F14">
  <autoFilter ref="A1:F14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MUN" displayName="TableMUN" ref="A1:F14">
  <autoFilter ref="A1:F1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EW" displayName="TableNEW" ref="A1:F6">
  <autoFilter ref="A1:F6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NFO" displayName="TableNFO" ref="A1:F9">
  <autoFilter ref="A1:F9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SOU" displayName="TableSOU" ref="A1:F8">
  <autoFilter ref="A1:F8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TOT" displayName="TableTOT" ref="A1:F14">
  <autoFilter ref="A1:F14" xr:uid="{00000000-0009-0000-0100-000012000000}"/>
  <tableColumns count="6">
    <tableColumn id="1" xr3:uid="{00000000-0010-0000-1100-000001000000}" name="Name" totalsRowLabel="Total"/>
    <tableColumn id="2" xr3:uid="{00000000-0010-0000-1100-000002000000}" name="ARIMAPP"/>
    <tableColumn id="3" xr3:uid="{00000000-0010-0000-1100-000003000000}" name="LSTMPP"/>
    <tableColumn id="4" xr3:uid="{00000000-0010-0000-1100-000004000000}" name="PP"/>
    <tableColumn id="5" xr3:uid="{00000000-0010-0000-1100-000005000000}" name="AP"/>
    <tableColumn id="6" xr3:uid="{00000000-0010-0000-1100-000006000000}" name="DIFF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HU" displayName="TableWHU" ref="A1:F11">
  <autoFilter ref="A1:F11" xr:uid="{00000000-0009-0000-0100-000013000000}"/>
  <tableColumns count="6">
    <tableColumn id="1" xr3:uid="{00000000-0010-0000-1200-000001000000}" name="Name" totalsRowLabel="Total"/>
    <tableColumn id="2" xr3:uid="{00000000-0010-0000-1200-000002000000}" name="ARIMAPP"/>
    <tableColumn id="3" xr3:uid="{00000000-0010-0000-1200-000003000000}" name="LSTMPP"/>
    <tableColumn id="4" xr3:uid="{00000000-0010-0000-1200-000004000000}" name="PP"/>
    <tableColumn id="5" xr3:uid="{00000000-0010-0000-1200-000005000000}" name="AP"/>
    <tableColumn id="6" xr3:uid="{00000000-0010-0000-1200-000006000000}" name="DIFF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WOL" displayName="TableWOL" ref="A1:F5">
  <autoFilter ref="A1:F5" xr:uid="{00000000-0009-0000-0100-000014000000}"/>
  <tableColumns count="6">
    <tableColumn id="1" xr3:uid="{00000000-0010-0000-1300-000001000000}" name="Name" totalsRowLabel="Total"/>
    <tableColumn id="2" xr3:uid="{00000000-0010-0000-1300-000002000000}" name="ARIMAPP"/>
    <tableColumn id="3" xr3:uid="{00000000-0010-0000-1300-000003000000}" name="LSTMPP"/>
    <tableColumn id="4" xr3:uid="{00000000-0010-0000-1300-000004000000}" name="PP"/>
    <tableColumn id="5" xr3:uid="{00000000-0010-0000-1300-000005000000}" name="AP"/>
    <tableColumn id="6" xr3:uid="{00000000-0010-0000-13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13.609022529017295</v>
      </c>
      <c r="C2">
        <v>20.245834431428207</v>
      </c>
      <c r="D2">
        <f t="shared" ref="D2:D15" si="0">B2*$I$2+C2*$I$3</f>
        <v>18.201495652987653</v>
      </c>
      <c r="E2">
        <v>18</v>
      </c>
      <c r="F2">
        <f t="shared" ref="F2:F15" si="1">ABS(D2-E2)</f>
        <v>0.20149565298765282</v>
      </c>
      <c r="H2" t="s">
        <v>7</v>
      </c>
      <c r="I2">
        <v>0.48700991762434742</v>
      </c>
    </row>
    <row r="3" spans="1:9" x14ac:dyDescent="0.3">
      <c r="A3" t="s">
        <v>8</v>
      </c>
      <c r="B3">
        <v>12.258064516129032</v>
      </c>
      <c r="C3">
        <v>15.8645273049809</v>
      </c>
      <c r="D3">
        <f t="shared" si="0"/>
        <v>15.038940528894358</v>
      </c>
      <c r="E3">
        <v>17</v>
      </c>
      <c r="F3">
        <f t="shared" si="1"/>
        <v>1.9610594711056422</v>
      </c>
      <c r="H3" t="s">
        <v>9</v>
      </c>
      <c r="I3">
        <v>0.57166163001988934</v>
      </c>
    </row>
    <row r="4" spans="1:9" x14ac:dyDescent="0.3">
      <c r="A4" t="s">
        <v>10</v>
      </c>
      <c r="B4">
        <v>20.284695934630882</v>
      </c>
      <c r="C4">
        <v>29.923100581469122</v>
      </c>
      <c r="D4">
        <f t="shared" si="0"/>
        <v>26.984736549811259</v>
      </c>
      <c r="E4">
        <v>27</v>
      </c>
      <c r="F4">
        <f t="shared" si="1"/>
        <v>1.5263450188740535E-2</v>
      </c>
    </row>
    <row r="5" spans="1:9" x14ac:dyDescent="0.3">
      <c r="A5" t="s">
        <v>11</v>
      </c>
      <c r="B5">
        <v>20.243971807259602</v>
      </c>
      <c r="C5">
        <v>27.078432180233509</v>
      </c>
      <c r="D5">
        <f t="shared" si="0"/>
        <v>25.338715720778424</v>
      </c>
      <c r="E5">
        <v>25</v>
      </c>
      <c r="F5">
        <f t="shared" si="1"/>
        <v>0.33871572077842416</v>
      </c>
      <c r="H5" t="s">
        <v>12</v>
      </c>
      <c r="I5" cm="1">
        <f t="array" ref="I5">(SUM(TableARS[PP]-TableARS[AP]))^2</f>
        <v>1.2621774483536189E-29</v>
      </c>
    </row>
    <row r="6" spans="1:9" x14ac:dyDescent="0.3">
      <c r="A6" t="s">
        <v>13</v>
      </c>
      <c r="B6">
        <v>12.097346732867361</v>
      </c>
      <c r="C6">
        <v>21.664164041383486</v>
      </c>
      <c r="D6">
        <f t="shared" si="0"/>
        <v>18.27609916476246</v>
      </c>
      <c r="E6">
        <v>25</v>
      </c>
      <c r="F6">
        <f t="shared" si="1"/>
        <v>6.72390083523754</v>
      </c>
    </row>
    <row r="7" spans="1:9" x14ac:dyDescent="0.3">
      <c r="A7" t="s">
        <v>14</v>
      </c>
      <c r="B7">
        <v>20.331978336077089</v>
      </c>
      <c r="C7">
        <v>31.883387260141095</v>
      </c>
      <c r="D7">
        <f t="shared" si="0"/>
        <v>28.128384226280552</v>
      </c>
      <c r="E7">
        <v>41</v>
      </c>
      <c r="F7">
        <f t="shared" si="1"/>
        <v>12.871615773719448</v>
      </c>
      <c r="H7" t="s">
        <v>15</v>
      </c>
      <c r="I7">
        <f>AVERAGE(TableARS[DIFF])/5</f>
        <v>1.1987505826512088</v>
      </c>
    </row>
    <row r="8" spans="1:9" x14ac:dyDescent="0.3">
      <c r="A8" t="s">
        <v>16</v>
      </c>
      <c r="B8">
        <v>29.104838729494634</v>
      </c>
      <c r="C8">
        <v>23.445270227365441</v>
      </c>
      <c r="D8">
        <f t="shared" si="0"/>
        <v>27.577106506553609</v>
      </c>
      <c r="E8">
        <v>19</v>
      </c>
      <c r="F8">
        <f t="shared" si="1"/>
        <v>8.5771065065536085</v>
      </c>
    </row>
    <row r="9" spans="1:9" x14ac:dyDescent="0.3">
      <c r="A9" t="s">
        <v>17</v>
      </c>
      <c r="B9">
        <v>21.514818763772567</v>
      </c>
      <c r="C9">
        <v>26.888228140565836</v>
      </c>
      <c r="D9">
        <f t="shared" si="0"/>
        <v>25.848898441030165</v>
      </c>
      <c r="E9">
        <v>24</v>
      </c>
      <c r="F9">
        <f t="shared" si="1"/>
        <v>1.8488984410301654</v>
      </c>
    </row>
    <row r="10" spans="1:9" x14ac:dyDescent="0.3">
      <c r="A10" t="s">
        <v>18</v>
      </c>
      <c r="B10">
        <v>18.799540788322663</v>
      </c>
      <c r="C10">
        <v>29.249325008526107</v>
      </c>
      <c r="D10">
        <f t="shared" si="0"/>
        <v>25.876279622052127</v>
      </c>
      <c r="E10">
        <v>39</v>
      </c>
      <c r="F10">
        <f t="shared" si="1"/>
        <v>13.123720377947873</v>
      </c>
    </row>
    <row r="11" spans="1:9" x14ac:dyDescent="0.3">
      <c r="A11" t="s">
        <v>19</v>
      </c>
      <c r="B11">
        <v>28.130557708284094</v>
      </c>
      <c r="C11">
        <v>24.442807291817136</v>
      </c>
      <c r="D11">
        <f t="shared" si="0"/>
        <v>27.672875650940608</v>
      </c>
      <c r="E11">
        <v>16</v>
      </c>
      <c r="F11">
        <f t="shared" si="1"/>
        <v>11.672875650940608</v>
      </c>
    </row>
    <row r="12" spans="1:9" x14ac:dyDescent="0.3">
      <c r="A12" t="s">
        <v>20</v>
      </c>
      <c r="B12">
        <v>25.018866630901691</v>
      </c>
      <c r="C12">
        <v>24.866033431706388</v>
      </c>
      <c r="D12">
        <f t="shared" si="0"/>
        <v>26.399393380668304</v>
      </c>
      <c r="E12">
        <v>15</v>
      </c>
      <c r="F12">
        <f t="shared" si="1"/>
        <v>11.399393380668304</v>
      </c>
    </row>
    <row r="13" spans="1:9" x14ac:dyDescent="0.3">
      <c r="A13" t="s">
        <v>21</v>
      </c>
      <c r="B13">
        <v>19.089151003609341</v>
      </c>
      <c r="C13">
        <v>24.626162522520662</v>
      </c>
      <c r="D13">
        <f t="shared" si="0"/>
        <v>23.374438066545387</v>
      </c>
      <c r="E13">
        <v>29</v>
      </c>
      <c r="F13">
        <f t="shared" si="1"/>
        <v>5.6255619334546125</v>
      </c>
    </row>
    <row r="14" spans="1:9" x14ac:dyDescent="0.3">
      <c r="A14" t="s">
        <v>22</v>
      </c>
      <c r="B14">
        <v>17.275758034701703</v>
      </c>
      <c r="C14">
        <v>16.62577833346035</v>
      </c>
      <c r="D14">
        <f t="shared" si="0"/>
        <v>17.917785039833539</v>
      </c>
      <c r="E14">
        <v>10</v>
      </c>
      <c r="F14">
        <f t="shared" si="1"/>
        <v>7.9177850398335394</v>
      </c>
    </row>
    <row r="15" spans="1:9" x14ac:dyDescent="0.3">
      <c r="A15" t="s">
        <v>23</v>
      </c>
      <c r="B15">
        <v>28.933333333333334</v>
      </c>
      <c r="C15">
        <v>19.721511071514193</v>
      </c>
      <c r="D15">
        <f t="shared" si="0"/>
        <v>25.36485144886155</v>
      </c>
      <c r="E15">
        <v>27</v>
      </c>
      <c r="F15">
        <f t="shared" si="1"/>
        <v>1.6351485511384496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24</v>
      </c>
      <c r="B2">
        <v>10.204300500092989</v>
      </c>
      <c r="C2">
        <v>13.510507255024573</v>
      </c>
      <c r="D2">
        <f t="shared" ref="D2:D12" si="0">B2*$I$2+C2*$I$3</f>
        <v>13.989435850063128</v>
      </c>
      <c r="E2">
        <v>12</v>
      </c>
      <c r="F2">
        <f t="shared" ref="F2:F12" si="1">ABS(D2-E2)</f>
        <v>1.9894358500631277</v>
      </c>
      <c r="H2" t="s">
        <v>7</v>
      </c>
      <c r="I2">
        <v>0.54131827455698789</v>
      </c>
    </row>
    <row r="3" spans="1:9" x14ac:dyDescent="0.3">
      <c r="A3" t="s">
        <v>25</v>
      </c>
      <c r="B3">
        <v>20.25</v>
      </c>
      <c r="C3">
        <v>22.414183050838908</v>
      </c>
      <c r="D3">
        <f t="shared" si="0"/>
        <v>25.006385104081581</v>
      </c>
      <c r="E3">
        <v>23</v>
      </c>
      <c r="F3">
        <f t="shared" si="1"/>
        <v>2.0063851040815806</v>
      </c>
      <c r="H3" t="s">
        <v>9</v>
      </c>
      <c r="I3">
        <v>0.62659834678993209</v>
      </c>
    </row>
    <row r="4" spans="1:9" x14ac:dyDescent="0.3">
      <c r="A4" t="s">
        <v>26</v>
      </c>
      <c r="B4">
        <v>14.51783974888342</v>
      </c>
      <c r="C4">
        <v>14.535552954214657</v>
      </c>
      <c r="D4">
        <f t="shared" si="0"/>
        <v>16.966725413948843</v>
      </c>
      <c r="E4">
        <v>21</v>
      </c>
      <c r="F4">
        <f t="shared" si="1"/>
        <v>4.0332745860511565</v>
      </c>
    </row>
    <row r="5" spans="1:9" x14ac:dyDescent="0.3">
      <c r="A5" t="s">
        <v>27</v>
      </c>
      <c r="B5">
        <v>34.020133372926097</v>
      </c>
      <c r="C5">
        <v>22.194123210972421</v>
      </c>
      <c r="D5">
        <f t="shared" si="0"/>
        <v>32.322520810078331</v>
      </c>
      <c r="E5">
        <v>29</v>
      </c>
      <c r="F5">
        <f t="shared" si="1"/>
        <v>3.3225208100783306</v>
      </c>
      <c r="H5" t="s">
        <v>12</v>
      </c>
      <c r="I5" cm="1">
        <f t="array" ref="I5">(SUM(TableAVL[PP]-TableAVL[AP]))^2</f>
        <v>5.0487097934144756E-29</v>
      </c>
    </row>
    <row r="6" spans="1:9" x14ac:dyDescent="0.3">
      <c r="A6" t="s">
        <v>28</v>
      </c>
      <c r="B6">
        <v>19.024592506590022</v>
      </c>
      <c r="C6">
        <v>17.116378264514495</v>
      </c>
      <c r="D6">
        <f t="shared" si="0"/>
        <v>21.02345391339302</v>
      </c>
      <c r="E6">
        <v>21</v>
      </c>
      <c r="F6">
        <f t="shared" si="1"/>
        <v>2.3453913393019832E-2</v>
      </c>
    </row>
    <row r="7" spans="1:9" x14ac:dyDescent="0.3">
      <c r="A7" t="s">
        <v>29</v>
      </c>
      <c r="B7">
        <v>7.0561870800913082</v>
      </c>
      <c r="C7">
        <v>17.92295851940505</v>
      </c>
      <c r="D7">
        <f t="shared" si="0"/>
        <v>15.05013919299007</v>
      </c>
      <c r="E7">
        <v>29</v>
      </c>
      <c r="F7">
        <f t="shared" si="1"/>
        <v>13.94986080700993</v>
      </c>
      <c r="H7" t="s">
        <v>15</v>
      </c>
      <c r="I7">
        <f>AVERAGE(TableAVL[DIFF])/5</f>
        <v>0.85795510183264145</v>
      </c>
    </row>
    <row r="8" spans="1:9" x14ac:dyDescent="0.3">
      <c r="A8" t="s">
        <v>30</v>
      </c>
      <c r="B8">
        <v>15.820754669906428</v>
      </c>
      <c r="C8">
        <v>14.741671641053591</v>
      </c>
      <c r="D8">
        <f t="shared" si="0"/>
        <v>17.801170699307363</v>
      </c>
      <c r="E8">
        <v>22</v>
      </c>
      <c r="F8">
        <f t="shared" si="1"/>
        <v>4.1988293006926369</v>
      </c>
    </row>
    <row r="9" spans="1:9" x14ac:dyDescent="0.3">
      <c r="A9" t="s">
        <v>31</v>
      </c>
      <c r="B9">
        <v>14.102564101807076</v>
      </c>
      <c r="C9">
        <v>18.212391413340193</v>
      </c>
      <c r="D9">
        <f t="shared" si="0"/>
        <v>19.045830017109644</v>
      </c>
      <c r="E9">
        <v>13</v>
      </c>
      <c r="F9">
        <f t="shared" si="1"/>
        <v>6.045830017109644</v>
      </c>
    </row>
    <row r="10" spans="1:9" x14ac:dyDescent="0.3">
      <c r="A10" t="s">
        <v>32</v>
      </c>
      <c r="B10">
        <v>13.242997049531843</v>
      </c>
      <c r="C10">
        <v>17.550573925841704</v>
      </c>
      <c r="D10">
        <f t="shared" si="0"/>
        <v>18.165836919962757</v>
      </c>
      <c r="E10">
        <v>19</v>
      </c>
      <c r="F10">
        <f t="shared" si="1"/>
        <v>0.83416308003724282</v>
      </c>
    </row>
    <row r="11" spans="1:9" x14ac:dyDescent="0.3">
      <c r="A11" t="s">
        <v>33</v>
      </c>
      <c r="B11">
        <v>13.081125292906687</v>
      </c>
      <c r="C11">
        <v>16.503890177099755</v>
      </c>
      <c r="D11">
        <f t="shared" si="0"/>
        <v>17.422362473393328</v>
      </c>
      <c r="E11">
        <v>18</v>
      </c>
      <c r="F11">
        <f t="shared" si="1"/>
        <v>0.57763752660667222</v>
      </c>
    </row>
    <row r="12" spans="1:9" x14ac:dyDescent="0.3">
      <c r="A12" t="s">
        <v>34</v>
      </c>
      <c r="B12">
        <v>9.9999999999307025</v>
      </c>
      <c r="C12">
        <v>23.608356032096157</v>
      </c>
      <c r="D12">
        <f t="shared" si="0"/>
        <v>20.206139605671943</v>
      </c>
      <c r="E12">
        <v>10</v>
      </c>
      <c r="F12">
        <f t="shared" si="1"/>
        <v>10.206139605671943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35</v>
      </c>
      <c r="B2">
        <v>11.642857142857144</v>
      </c>
      <c r="C2">
        <v>10.908877542202696</v>
      </c>
      <c r="D2">
        <f t="shared" ref="D2:D11" si="0">B2*$I$2+C2*$I$3</f>
        <v>9.8500957819365347</v>
      </c>
      <c r="E2">
        <v>13</v>
      </c>
      <c r="F2">
        <f t="shared" ref="F2:F11" si="1">ABS(D2-E2)</f>
        <v>3.1499042180634653</v>
      </c>
      <c r="H2" t="s">
        <v>7</v>
      </c>
      <c r="I2">
        <v>0.47552670467113978</v>
      </c>
    </row>
    <row r="3" spans="1:9" x14ac:dyDescent="0.3">
      <c r="A3" t="s">
        <v>36</v>
      </c>
      <c r="B3">
        <v>17.24133664974098</v>
      </c>
      <c r="C3">
        <v>15.864691434491274</v>
      </c>
      <c r="D3">
        <f t="shared" si="0"/>
        <v>14.471958369617258</v>
      </c>
      <c r="E3">
        <v>10</v>
      </c>
      <c r="F3">
        <f t="shared" si="1"/>
        <v>4.4719583696172585</v>
      </c>
      <c r="H3" t="s">
        <v>9</v>
      </c>
      <c r="I3">
        <v>0.39542164399123353</v>
      </c>
    </row>
    <row r="4" spans="1:9" x14ac:dyDescent="0.3">
      <c r="A4" t="s">
        <v>37</v>
      </c>
      <c r="B4">
        <v>12.464462190104619</v>
      </c>
      <c r="C4">
        <v>16.921391153718929</v>
      </c>
      <c r="D4">
        <f t="shared" si="0"/>
        <v>12.618268939380723</v>
      </c>
      <c r="E4">
        <v>14</v>
      </c>
      <c r="F4">
        <f t="shared" si="1"/>
        <v>1.381731060619277</v>
      </c>
    </row>
    <row r="5" spans="1:9" x14ac:dyDescent="0.3">
      <c r="A5" t="s">
        <v>38</v>
      </c>
      <c r="B5">
        <v>16.469381576740592</v>
      </c>
      <c r="C5">
        <v>15.117037975978411</v>
      </c>
      <c r="D5">
        <f t="shared" si="0"/>
        <v>13.809234757898327</v>
      </c>
      <c r="E5">
        <v>16</v>
      </c>
      <c r="F5">
        <f t="shared" si="1"/>
        <v>2.1907652421016728</v>
      </c>
      <c r="H5" t="s">
        <v>12</v>
      </c>
      <c r="I5" cm="1">
        <f t="array" ref="I5">(SUM(TableBOU[PP]-TableBOU[AP]))^2</f>
        <v>1.2621774483536189E-29</v>
      </c>
    </row>
    <row r="6" spans="1:9" x14ac:dyDescent="0.3">
      <c r="A6" t="s">
        <v>39</v>
      </c>
      <c r="B6">
        <v>12.135392268977309</v>
      </c>
      <c r="C6">
        <v>13.427151259688195</v>
      </c>
      <c r="D6">
        <f t="shared" si="0"/>
        <v>11.080089320783273</v>
      </c>
      <c r="E6">
        <v>24</v>
      </c>
      <c r="F6">
        <f t="shared" si="1"/>
        <v>12.919910679216727</v>
      </c>
    </row>
    <row r="7" spans="1:9" x14ac:dyDescent="0.3">
      <c r="A7" t="s">
        <v>40</v>
      </c>
      <c r="B7">
        <v>5.2352404432905839</v>
      </c>
      <c r="C7">
        <v>24.184355134083045</v>
      </c>
      <c r="D7">
        <f t="shared" si="0"/>
        <v>12.052514102145995</v>
      </c>
      <c r="E7">
        <v>14</v>
      </c>
      <c r="F7">
        <f t="shared" si="1"/>
        <v>1.9474858978540048</v>
      </c>
      <c r="H7" t="s">
        <v>15</v>
      </c>
      <c r="I7">
        <f>AVERAGE(TableBOU[DIFF])/5</f>
        <v>1.9737781070450122</v>
      </c>
    </row>
    <row r="8" spans="1:9" x14ac:dyDescent="0.3">
      <c r="A8" t="s">
        <v>41</v>
      </c>
      <c r="B8">
        <v>15.377531235137853</v>
      </c>
      <c r="C8">
        <v>19.695291319840869</v>
      </c>
      <c r="D8">
        <f t="shared" si="0"/>
        <v>15.100371226800373</v>
      </c>
      <c r="E8">
        <v>10</v>
      </c>
      <c r="F8">
        <f t="shared" si="1"/>
        <v>5.1003712268003731</v>
      </c>
    </row>
    <row r="9" spans="1:9" x14ac:dyDescent="0.3">
      <c r="A9" t="s">
        <v>42</v>
      </c>
      <c r="B9">
        <v>14.538095014097388</v>
      </c>
      <c r="C9">
        <v>22.17327848021187</v>
      </c>
      <c r="D9">
        <f t="shared" si="0"/>
        <v>15.681046643570475</v>
      </c>
      <c r="E9">
        <v>12</v>
      </c>
      <c r="F9">
        <f t="shared" si="1"/>
        <v>3.6810466435704754</v>
      </c>
    </row>
    <row r="10" spans="1:9" x14ac:dyDescent="0.3">
      <c r="A10" t="s">
        <v>43</v>
      </c>
      <c r="B10">
        <v>96.529411764705898</v>
      </c>
      <c r="C10">
        <v>10.593156493770277</v>
      </c>
      <c r="D10">
        <f t="shared" si="0"/>
        <v>50.0910764361372</v>
      </c>
      <c r="E10">
        <v>14</v>
      </c>
      <c r="F10">
        <f t="shared" si="1"/>
        <v>36.0910764361372</v>
      </c>
    </row>
    <row r="11" spans="1:9" x14ac:dyDescent="0.3">
      <c r="A11" t="s">
        <v>44</v>
      </c>
      <c r="B11">
        <v>10.96364309201992</v>
      </c>
      <c r="C11">
        <v>27.898926421022296</v>
      </c>
      <c r="D11">
        <f t="shared" si="0"/>
        <v>16.245344421729836</v>
      </c>
      <c r="E11">
        <v>44</v>
      </c>
      <c r="F11">
        <f t="shared" si="1"/>
        <v>27.754655578270164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45</v>
      </c>
      <c r="B2">
        <v>22.710526315789473</v>
      </c>
      <c r="C2">
        <v>18.848524870752421</v>
      </c>
      <c r="D2">
        <f t="shared" ref="D2:D12" si="0">B2*$I$2+C2*$I$3</f>
        <v>17.031019991052077</v>
      </c>
      <c r="E2">
        <v>10</v>
      </c>
      <c r="F2">
        <f t="shared" ref="F2:F12" si="1">ABS(D2-E2)</f>
        <v>7.0310199910520765</v>
      </c>
      <c r="H2" t="s">
        <v>7</v>
      </c>
      <c r="I2">
        <v>0.42250057778354921</v>
      </c>
    </row>
    <row r="3" spans="1:9" x14ac:dyDescent="0.3">
      <c r="A3" t="s">
        <v>46</v>
      </c>
      <c r="B3">
        <v>16.370196305448648</v>
      </c>
      <c r="C3">
        <v>19.512792278697248</v>
      </c>
      <c r="D3">
        <f t="shared" si="0"/>
        <v>14.614282732261657</v>
      </c>
      <c r="E3">
        <v>21</v>
      </c>
      <c r="F3">
        <f t="shared" si="1"/>
        <v>6.3857172677383431</v>
      </c>
      <c r="H3" t="s">
        <v>9</v>
      </c>
      <c r="I3">
        <v>0.3945035249098352</v>
      </c>
    </row>
    <row r="4" spans="1:9" x14ac:dyDescent="0.3">
      <c r="A4" t="s">
        <v>47</v>
      </c>
      <c r="B4">
        <v>22.930399011422924</v>
      </c>
      <c r="C4">
        <v>27.894756522514331</v>
      </c>
      <c r="D4">
        <f t="shared" si="0"/>
        <v>20.69268660576703</v>
      </c>
      <c r="E4">
        <v>32</v>
      </c>
      <c r="F4">
        <f t="shared" si="1"/>
        <v>11.30731339423297</v>
      </c>
    </row>
    <row r="5" spans="1:9" x14ac:dyDescent="0.3">
      <c r="A5" t="s">
        <v>48</v>
      </c>
      <c r="B5">
        <v>26.138778213711152</v>
      </c>
      <c r="C5">
        <v>25.136626361525472</v>
      </c>
      <c r="D5">
        <f t="shared" si="0"/>
        <v>20.960136601812295</v>
      </c>
      <c r="E5">
        <v>19</v>
      </c>
      <c r="F5">
        <f t="shared" si="1"/>
        <v>1.9601366018122945</v>
      </c>
      <c r="H5" t="s">
        <v>12</v>
      </c>
      <c r="I5" cm="1">
        <f t="array" ref="I5">(SUM(TableBRE[PP]-TableBRE[AP]))^2</f>
        <v>1.2621774483536189E-29</v>
      </c>
    </row>
    <row r="6" spans="1:9" x14ac:dyDescent="0.3">
      <c r="A6" t="s">
        <v>49</v>
      </c>
      <c r="B6">
        <v>68.442307692307679</v>
      </c>
      <c r="C6">
        <v>18.925620088515267</v>
      </c>
      <c r="D6">
        <f t="shared" si="0"/>
        <v>36.383138380863109</v>
      </c>
      <c r="E6">
        <v>13</v>
      </c>
      <c r="F6">
        <f t="shared" si="1"/>
        <v>23.383138380863109</v>
      </c>
    </row>
    <row r="7" spans="1:9" x14ac:dyDescent="0.3">
      <c r="A7" t="s">
        <v>50</v>
      </c>
      <c r="B7">
        <v>18.529731279559769</v>
      </c>
      <c r="C7">
        <v>16.805146222426707</v>
      </c>
      <c r="D7">
        <f t="shared" si="0"/>
        <v>14.458511593160445</v>
      </c>
      <c r="E7">
        <v>12</v>
      </c>
      <c r="F7">
        <f t="shared" si="1"/>
        <v>2.4585115931604449</v>
      </c>
      <c r="H7" t="s">
        <v>15</v>
      </c>
      <c r="I7">
        <f>AVERAGE(TableBRE[DIFF])/5</f>
        <v>1.3998939842176277</v>
      </c>
    </row>
    <row r="8" spans="1:9" x14ac:dyDescent="0.3">
      <c r="A8" t="s">
        <v>51</v>
      </c>
      <c r="B8">
        <v>12.961545190003006</v>
      </c>
      <c r="C8">
        <v>17.670794127537999</v>
      </c>
      <c r="D8">
        <f t="shared" si="0"/>
        <v>12.44745090301361</v>
      </c>
      <c r="E8">
        <v>27</v>
      </c>
      <c r="F8">
        <f t="shared" si="1"/>
        <v>14.55254909698639</v>
      </c>
    </row>
    <row r="9" spans="1:9" x14ac:dyDescent="0.3">
      <c r="A9" t="s">
        <v>52</v>
      </c>
      <c r="B9">
        <v>14.371958849978565</v>
      </c>
      <c r="C9">
        <v>17.595225913467559</v>
      </c>
      <c r="D9">
        <f t="shared" si="0"/>
        <v>13.013539562445164</v>
      </c>
      <c r="E9">
        <v>14</v>
      </c>
      <c r="F9">
        <f t="shared" si="1"/>
        <v>0.98646043755483603</v>
      </c>
    </row>
    <row r="10" spans="1:9" x14ac:dyDescent="0.3">
      <c r="A10" t="s">
        <v>53</v>
      </c>
      <c r="B10">
        <v>12.890279046049997</v>
      </c>
      <c r="C10">
        <v>19.995627369890517</v>
      </c>
      <c r="D10">
        <f t="shared" si="0"/>
        <v>13.334495824952686</v>
      </c>
      <c r="E10">
        <v>13</v>
      </c>
      <c r="F10">
        <f t="shared" si="1"/>
        <v>0.33449582495268615</v>
      </c>
    </row>
    <row r="11" spans="1:9" x14ac:dyDescent="0.3">
      <c r="A11" t="s">
        <v>54</v>
      </c>
      <c r="B11">
        <v>16.222222248012695</v>
      </c>
      <c r="C11">
        <v>25.046816400607856</v>
      </c>
      <c r="D11">
        <f t="shared" si="0"/>
        <v>16.734955630527779</v>
      </c>
      <c r="E11">
        <v>22</v>
      </c>
      <c r="F11">
        <f t="shared" si="1"/>
        <v>5.2650443694722213</v>
      </c>
    </row>
    <row r="12" spans="1:9" x14ac:dyDescent="0.3">
      <c r="A12" t="s">
        <v>55</v>
      </c>
      <c r="B12">
        <v>16.262826293281108</v>
      </c>
      <c r="C12">
        <v>23.97628429556163</v>
      </c>
      <c r="D12">
        <f t="shared" si="0"/>
        <v>16.329782174144153</v>
      </c>
      <c r="E12">
        <v>13</v>
      </c>
      <c r="F12">
        <f t="shared" si="1"/>
        <v>3.3297821741441531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56</v>
      </c>
      <c r="B2">
        <v>11.739446587592912</v>
      </c>
      <c r="C2">
        <v>12.1752860020119</v>
      </c>
      <c r="D2">
        <f t="shared" ref="D2:D12" si="0">B2*$I$2+C2*$I$3</f>
        <v>11.122074363576168</v>
      </c>
      <c r="E2">
        <v>16</v>
      </c>
      <c r="F2">
        <f t="shared" ref="F2:F12" si="1">ABS(D2-E2)</f>
        <v>4.8779256364238321</v>
      </c>
      <c r="H2" t="s">
        <v>7</v>
      </c>
      <c r="I2">
        <v>0.46885319826019423</v>
      </c>
    </row>
    <row r="3" spans="1:9" x14ac:dyDescent="0.3">
      <c r="A3" t="s">
        <v>57</v>
      </c>
      <c r="B3">
        <v>14.257175948817832</v>
      </c>
      <c r="C3">
        <v>18.511181977499199</v>
      </c>
      <c r="D3">
        <f t="shared" si="0"/>
        <v>15.226068923329196</v>
      </c>
      <c r="E3">
        <v>15</v>
      </c>
      <c r="F3">
        <f t="shared" si="1"/>
        <v>0.22606892332919593</v>
      </c>
      <c r="H3" t="s">
        <v>9</v>
      </c>
      <c r="I3">
        <v>0.46142630934913276</v>
      </c>
    </row>
    <row r="4" spans="1:9" x14ac:dyDescent="0.3">
      <c r="A4" t="s">
        <v>58</v>
      </c>
      <c r="B4">
        <v>16.167296726972687</v>
      </c>
      <c r="C4">
        <v>24.328088617199505</v>
      </c>
      <c r="D4">
        <f t="shared" si="0"/>
        <v>18.805708921815729</v>
      </c>
      <c r="E4">
        <v>16</v>
      </c>
      <c r="F4">
        <f t="shared" si="1"/>
        <v>2.8057089218157287</v>
      </c>
    </row>
    <row r="5" spans="1:9" x14ac:dyDescent="0.3">
      <c r="A5" t="s">
        <v>59</v>
      </c>
      <c r="B5">
        <v>35.428919192366166</v>
      </c>
      <c r="C5">
        <v>18.16367160616311</v>
      </c>
      <c r="D5">
        <f t="shared" si="0"/>
        <v>24.992158027704335</v>
      </c>
      <c r="E5">
        <v>23</v>
      </c>
      <c r="F5">
        <f t="shared" si="1"/>
        <v>1.9921580277043347</v>
      </c>
      <c r="H5" t="s">
        <v>12</v>
      </c>
      <c r="I5" cm="1">
        <f t="array" ref="I5">(SUM(TableBHA[PP]-TableBHA[AP]))^2</f>
        <v>2.8398992587956425E-29</v>
      </c>
    </row>
    <row r="6" spans="1:9" x14ac:dyDescent="0.3">
      <c r="A6" t="s">
        <v>60</v>
      </c>
      <c r="B6">
        <v>24.204032655174782</v>
      </c>
      <c r="C6">
        <v>32.014584042032709</v>
      </c>
      <c r="D6">
        <f t="shared" si="0"/>
        <v>26.120509481035668</v>
      </c>
      <c r="E6">
        <v>27</v>
      </c>
      <c r="F6">
        <f t="shared" si="1"/>
        <v>0.87949051896433161</v>
      </c>
    </row>
    <row r="7" spans="1:9" x14ac:dyDescent="0.3">
      <c r="A7" t="s">
        <v>61</v>
      </c>
      <c r="B7">
        <v>13.369565105935465</v>
      </c>
      <c r="C7">
        <v>15.630321199972883</v>
      </c>
      <c r="D7">
        <f t="shared" si="0"/>
        <v>13.480604784510732</v>
      </c>
      <c r="E7">
        <v>16</v>
      </c>
      <c r="F7">
        <f t="shared" si="1"/>
        <v>2.5193952154892685</v>
      </c>
      <c r="H7" t="s">
        <v>15</v>
      </c>
      <c r="I7">
        <f>AVERAGE(TableBHA[DIFF])/5</f>
        <v>0.71586481456850648</v>
      </c>
    </row>
    <row r="8" spans="1:9" x14ac:dyDescent="0.3">
      <c r="A8" t="s">
        <v>62</v>
      </c>
      <c r="B8">
        <v>29.753315673958333</v>
      </c>
      <c r="C8">
        <v>17.6755848949153</v>
      </c>
      <c r="D8">
        <f t="shared" si="0"/>
        <v>22.105917116228575</v>
      </c>
      <c r="E8">
        <v>28</v>
      </c>
      <c r="F8">
        <f t="shared" si="1"/>
        <v>5.894082883771425</v>
      </c>
    </row>
    <row r="9" spans="1:9" x14ac:dyDescent="0.3">
      <c r="A9" t="s">
        <v>63</v>
      </c>
      <c r="B9">
        <v>32.799999968607104</v>
      </c>
      <c r="C9">
        <v>18.675739666543052</v>
      </c>
      <c r="D9">
        <f t="shared" si="0"/>
        <v>23.995862516913874</v>
      </c>
      <c r="E9">
        <v>20</v>
      </c>
      <c r="F9">
        <f t="shared" si="1"/>
        <v>3.9958625169138742</v>
      </c>
    </row>
    <row r="10" spans="1:9" x14ac:dyDescent="0.3">
      <c r="A10" t="s">
        <v>64</v>
      </c>
      <c r="B10">
        <v>10.277688295954352</v>
      </c>
      <c r="C10">
        <v>11.32793126101461</v>
      </c>
      <c r="D10">
        <f t="shared" si="0"/>
        <v>10.045732542610203</v>
      </c>
      <c r="E10">
        <v>10</v>
      </c>
      <c r="F10">
        <f t="shared" si="1"/>
        <v>4.5732542610203097E-2</v>
      </c>
    </row>
    <row r="11" spans="1:9" x14ac:dyDescent="0.3">
      <c r="A11" t="s">
        <v>65</v>
      </c>
      <c r="B11">
        <v>13.667044921273698</v>
      </c>
      <c r="C11">
        <v>19.67112396498003</v>
      </c>
      <c r="D11">
        <f t="shared" si="0"/>
        <v>15.484611854014933</v>
      </c>
      <c r="E11">
        <v>21</v>
      </c>
      <c r="F11">
        <f t="shared" si="1"/>
        <v>5.5153881459850673</v>
      </c>
    </row>
    <row r="12" spans="1:9" x14ac:dyDescent="0.3">
      <c r="A12" t="s">
        <v>66</v>
      </c>
      <c r="B12">
        <v>17.194130836563403</v>
      </c>
      <c r="C12">
        <v>27.218275117318509</v>
      </c>
      <c r="D12">
        <f t="shared" si="0"/>
        <v>20.620751468260593</v>
      </c>
      <c r="E12">
        <v>10</v>
      </c>
      <c r="F12">
        <f t="shared" si="1"/>
        <v>10.620751468260593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67</v>
      </c>
      <c r="B2">
        <v>13.440445552712797</v>
      </c>
      <c r="C2">
        <v>25.157160282675513</v>
      </c>
      <c r="D2">
        <f t="shared" ref="D2:D12" si="0">B2*$I$2+C2*$I$3</f>
        <v>15.863299637249526</v>
      </c>
      <c r="E2">
        <v>16</v>
      </c>
      <c r="F2">
        <f t="shared" ref="F2:F12" si="1">ABS(D2-E2)</f>
        <v>0.13670036275047437</v>
      </c>
      <c r="H2" t="s">
        <v>7</v>
      </c>
      <c r="I2">
        <v>0.42443121654914312</v>
      </c>
    </row>
    <row r="3" spans="1:9" x14ac:dyDescent="0.3">
      <c r="A3" t="s">
        <v>68</v>
      </c>
      <c r="B3">
        <v>21.604651146707816</v>
      </c>
      <c r="C3">
        <v>17.451134661485554</v>
      </c>
      <c r="D3">
        <f t="shared" si="0"/>
        <v>16.216660251799123</v>
      </c>
      <c r="E3">
        <v>23</v>
      </c>
      <c r="F3">
        <f t="shared" si="1"/>
        <v>6.783339748200877</v>
      </c>
      <c r="H3" t="s">
        <v>9</v>
      </c>
      <c r="I3">
        <v>0.40381167294724207</v>
      </c>
    </row>
    <row r="4" spans="1:9" x14ac:dyDescent="0.3">
      <c r="A4" t="s">
        <v>69</v>
      </c>
      <c r="B4">
        <v>14.116856501820624</v>
      </c>
      <c r="C4">
        <v>15.292708318244181</v>
      </c>
      <c r="D4">
        <f t="shared" si="0"/>
        <v>12.167008708801795</v>
      </c>
      <c r="E4">
        <v>10</v>
      </c>
      <c r="F4">
        <f t="shared" si="1"/>
        <v>2.1670087088017951</v>
      </c>
    </row>
    <row r="5" spans="1:9" x14ac:dyDescent="0.3">
      <c r="A5" t="s">
        <v>70</v>
      </c>
      <c r="B5">
        <v>11.226072952998951</v>
      </c>
      <c r="C5">
        <v>11.525797242290112</v>
      </c>
      <c r="D5">
        <f t="shared" si="0"/>
        <v>9.4189472669706547</v>
      </c>
      <c r="E5">
        <v>11</v>
      </c>
      <c r="F5">
        <f t="shared" si="1"/>
        <v>1.5810527330293453</v>
      </c>
      <c r="H5" t="s">
        <v>12</v>
      </c>
      <c r="I5" cm="1">
        <f t="array" ref="I5">(SUM(TableCHE[PP]-TableCHE[AP]))^2</f>
        <v>3.8180867812696971E-28</v>
      </c>
    </row>
    <row r="6" spans="1:9" x14ac:dyDescent="0.3">
      <c r="A6" t="s">
        <v>71</v>
      </c>
      <c r="B6">
        <v>28.454545454545453</v>
      </c>
      <c r="C6">
        <v>22.635470145027114</v>
      </c>
      <c r="D6">
        <f t="shared" si="0"/>
        <v>21.217464410836371</v>
      </c>
      <c r="E6">
        <v>22</v>
      </c>
      <c r="F6">
        <f t="shared" si="1"/>
        <v>0.7825355891636292</v>
      </c>
    </row>
    <row r="7" spans="1:9" x14ac:dyDescent="0.3">
      <c r="A7" t="s">
        <v>72</v>
      </c>
      <c r="B7">
        <v>24.625140291639767</v>
      </c>
      <c r="C7">
        <v>14.937470883437527</v>
      </c>
      <c r="D7">
        <f t="shared" si="0"/>
        <v>16.483603358715612</v>
      </c>
      <c r="E7">
        <v>10</v>
      </c>
      <c r="F7">
        <f t="shared" si="1"/>
        <v>6.4836033587156123</v>
      </c>
      <c r="H7" t="s">
        <v>15</v>
      </c>
      <c r="I7">
        <f>AVERAGE(TableCHE[DIFF])/5</f>
        <v>0.64400478808847716</v>
      </c>
    </row>
    <row r="8" spans="1:9" x14ac:dyDescent="0.3">
      <c r="A8" t="s">
        <v>73</v>
      </c>
      <c r="B8">
        <v>20.551243894327339</v>
      </c>
      <c r="C8">
        <v>18.200083339173883</v>
      </c>
      <c r="D8">
        <f t="shared" si="0"/>
        <v>16.071995548638537</v>
      </c>
      <c r="E8">
        <v>21</v>
      </c>
      <c r="F8">
        <f t="shared" si="1"/>
        <v>4.9280044513614634</v>
      </c>
    </row>
    <row r="9" spans="1:9" x14ac:dyDescent="0.3">
      <c r="A9" t="s">
        <v>74</v>
      </c>
      <c r="B9">
        <v>20.241935483594911</v>
      </c>
      <c r="C9">
        <v>18.086228870406988</v>
      </c>
      <c r="D9">
        <f t="shared" si="0"/>
        <v>15.89473964007721</v>
      </c>
      <c r="E9">
        <v>10</v>
      </c>
      <c r="F9">
        <f t="shared" si="1"/>
        <v>5.8947396400772103</v>
      </c>
    </row>
    <row r="10" spans="1:9" x14ac:dyDescent="0.3">
      <c r="A10" t="s">
        <v>75</v>
      </c>
      <c r="B10">
        <v>13.289473684210527</v>
      </c>
      <c r="C10">
        <v>12.916959015541984</v>
      </c>
      <c r="D10">
        <f t="shared" si="0"/>
        <v>10.856486312544266</v>
      </c>
      <c r="E10">
        <v>10</v>
      </c>
      <c r="F10">
        <f t="shared" si="1"/>
        <v>0.85648631254426633</v>
      </c>
    </row>
    <row r="11" spans="1:9" x14ac:dyDescent="0.3">
      <c r="A11" t="s">
        <v>76</v>
      </c>
      <c r="B11">
        <v>22.257256302531815</v>
      </c>
      <c r="C11">
        <v>14.994184785079449</v>
      </c>
      <c r="D11">
        <f t="shared" si="0"/>
        <v>15.501501212072679</v>
      </c>
      <c r="E11">
        <v>19</v>
      </c>
      <c r="F11">
        <f t="shared" si="1"/>
        <v>3.4984987879273213</v>
      </c>
    </row>
    <row r="12" spans="1:9" x14ac:dyDescent="0.3">
      <c r="A12" t="s">
        <v>77</v>
      </c>
      <c r="B12">
        <v>15.479118981717832</v>
      </c>
      <c r="C12">
        <v>24.116371576626378</v>
      </c>
      <c r="D12">
        <f t="shared" si="0"/>
        <v>16.308293652294246</v>
      </c>
      <c r="E12">
        <v>14</v>
      </c>
      <c r="F12">
        <f t="shared" si="1"/>
        <v>2.3082936522942461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78</v>
      </c>
      <c r="B2">
        <v>8.2929674869262584</v>
      </c>
      <c r="C2">
        <v>13.544854443708502</v>
      </c>
      <c r="D2">
        <f t="shared" ref="D2:D9" si="0">B2*$I$2+C2*$I$3</f>
        <v>9.982636386992958</v>
      </c>
      <c r="E2">
        <v>10</v>
      </c>
      <c r="F2">
        <f t="shared" ref="F2:F9" si="1">ABS(D2-E2)</f>
        <v>1.7363613007042034E-2</v>
      </c>
      <c r="H2" t="s">
        <v>7</v>
      </c>
      <c r="I2">
        <v>0.44897738697076206</v>
      </c>
    </row>
    <row r="3" spans="1:9" x14ac:dyDescent="0.3">
      <c r="A3" t="s">
        <v>79</v>
      </c>
      <c r="B3">
        <v>17.827427820815519</v>
      </c>
      <c r="C3">
        <v>18.558322947772957</v>
      </c>
      <c r="D3">
        <f t="shared" si="0"/>
        <v>16.580192879980423</v>
      </c>
      <c r="E3">
        <v>21</v>
      </c>
      <c r="F3">
        <f t="shared" si="1"/>
        <v>4.419807120019577</v>
      </c>
      <c r="H3" t="s">
        <v>9</v>
      </c>
      <c r="I3">
        <v>0.46211508144974683</v>
      </c>
    </row>
    <row r="4" spans="1:9" x14ac:dyDescent="0.3">
      <c r="A4" t="s">
        <v>80</v>
      </c>
      <c r="B4">
        <v>11.204918364216454</v>
      </c>
      <c r="C4">
        <v>12.968187709564404</v>
      </c>
      <c r="D4">
        <f t="shared" si="0"/>
        <v>11.023550088047569</v>
      </c>
      <c r="E4">
        <v>13</v>
      </c>
      <c r="F4">
        <f t="shared" si="1"/>
        <v>1.9764499119524306</v>
      </c>
    </row>
    <row r="5" spans="1:9" x14ac:dyDescent="0.3">
      <c r="A5" t="s">
        <v>81</v>
      </c>
      <c r="B5">
        <v>20.482758650140269</v>
      </c>
      <c r="C5">
        <v>22.286119183889816</v>
      </c>
      <c r="D5">
        <f t="shared" si="0"/>
        <v>19.495047238554761</v>
      </c>
      <c r="E5">
        <v>10</v>
      </c>
      <c r="F5">
        <f t="shared" si="1"/>
        <v>9.4950472385547613</v>
      </c>
      <c r="H5" t="s">
        <v>12</v>
      </c>
      <c r="I5" cm="1">
        <f t="array" ref="I5">(SUM(TableCRY[PP]-TableCRY[AP]))^2</f>
        <v>1.2621774483536189E-29</v>
      </c>
    </row>
    <row r="6" spans="1:9" x14ac:dyDescent="0.3">
      <c r="A6" t="s">
        <v>82</v>
      </c>
      <c r="B6">
        <v>13.194182628047775</v>
      </c>
      <c r="C6">
        <v>12.614524120917105</v>
      </c>
      <c r="D6">
        <f t="shared" si="0"/>
        <v>11.753251481143316</v>
      </c>
      <c r="E6">
        <v>17</v>
      </c>
      <c r="F6">
        <f t="shared" si="1"/>
        <v>5.246748518856684</v>
      </c>
    </row>
    <row r="7" spans="1:9" x14ac:dyDescent="0.3">
      <c r="A7" t="s">
        <v>83</v>
      </c>
      <c r="B7">
        <v>14.789499168786621</v>
      </c>
      <c r="C7">
        <v>14.766192490790607</v>
      </c>
      <c r="D7">
        <f t="shared" si="0"/>
        <v>13.463830936992416</v>
      </c>
      <c r="E7">
        <v>12</v>
      </c>
      <c r="F7">
        <f t="shared" si="1"/>
        <v>1.4638309369924158</v>
      </c>
      <c r="H7" t="s">
        <v>15</v>
      </c>
      <c r="I7">
        <f>AVERAGE(TableCRY[DIFF])/5</f>
        <v>0.66375471365110039</v>
      </c>
    </row>
    <row r="8" spans="1:9" x14ac:dyDescent="0.3">
      <c r="A8" t="s">
        <v>84</v>
      </c>
      <c r="B8">
        <v>16.640624978934657</v>
      </c>
      <c r="C8">
        <v>16.97618643447252</v>
      </c>
      <c r="D8">
        <f t="shared" si="0"/>
        <v>15.316216097474831</v>
      </c>
      <c r="E8">
        <v>13</v>
      </c>
      <c r="F8">
        <f t="shared" si="1"/>
        <v>2.3162160974748307</v>
      </c>
    </row>
    <row r="9" spans="1:9" x14ac:dyDescent="0.3">
      <c r="A9" t="s">
        <v>85</v>
      </c>
      <c r="B9">
        <v>18.69917231901708</v>
      </c>
      <c r="C9">
        <v>12.961640086954816</v>
      </c>
      <c r="D9">
        <f t="shared" si="0"/>
        <v>14.385274890813722</v>
      </c>
      <c r="E9">
        <v>16</v>
      </c>
      <c r="F9">
        <f t="shared" si="1"/>
        <v>1.6147251091862778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86</v>
      </c>
      <c r="B2">
        <v>19.809304344965</v>
      </c>
      <c r="C2">
        <v>17.172458225582801</v>
      </c>
      <c r="D2">
        <f t="shared" ref="D2:D9" si="0">B2*$I$2+C2*$I$3</f>
        <v>19.146081615961904</v>
      </c>
      <c r="E2">
        <v>17</v>
      </c>
      <c r="F2">
        <f t="shared" ref="F2:F9" si="1">ABS(D2-E2)</f>
        <v>2.1460816159619043</v>
      </c>
      <c r="H2" t="s">
        <v>7</v>
      </c>
      <c r="I2">
        <v>0.60426541481966589</v>
      </c>
    </row>
    <row r="3" spans="1:9" x14ac:dyDescent="0.3">
      <c r="A3" t="s">
        <v>87</v>
      </c>
      <c r="B3">
        <v>28.288219364717797</v>
      </c>
      <c r="C3">
        <v>12.228826537890336</v>
      </c>
      <c r="D3">
        <f t="shared" si="0"/>
        <v>22.203758452822214</v>
      </c>
      <c r="E3">
        <v>31</v>
      </c>
      <c r="F3">
        <f t="shared" si="1"/>
        <v>8.7962415471777859</v>
      </c>
      <c r="H3" t="s">
        <v>9</v>
      </c>
      <c r="I3">
        <v>0.4178786760984583</v>
      </c>
    </row>
    <row r="4" spans="1:9" x14ac:dyDescent="0.3">
      <c r="A4" t="s">
        <v>88</v>
      </c>
      <c r="B4">
        <v>13.00545955424041</v>
      </c>
      <c r="C4">
        <v>15.61636284294535</v>
      </c>
      <c r="D4">
        <f t="shared" si="0"/>
        <v>14.384494442746627</v>
      </c>
      <c r="E4">
        <v>16</v>
      </c>
      <c r="F4">
        <f t="shared" si="1"/>
        <v>1.615505557253373</v>
      </c>
    </row>
    <row r="5" spans="1:9" x14ac:dyDescent="0.3">
      <c r="A5" t="s">
        <v>89</v>
      </c>
      <c r="B5">
        <v>13.640844339090188</v>
      </c>
      <c r="C5">
        <v>13.357748974442169</v>
      </c>
      <c r="D5">
        <f t="shared" si="0"/>
        <v>13.824608920146257</v>
      </c>
      <c r="E5">
        <v>20</v>
      </c>
      <c r="F5">
        <f t="shared" si="1"/>
        <v>6.1753910798537426</v>
      </c>
      <c r="H5" t="s">
        <v>12</v>
      </c>
      <c r="I5" cm="1">
        <f t="array" ref="I5">(SUM(TableEVE[PP]-TableEVE[AP]))^2</f>
        <v>5.3326997192940398E-28</v>
      </c>
    </row>
    <row r="6" spans="1:9" x14ac:dyDescent="0.3">
      <c r="A6" t="s">
        <v>90</v>
      </c>
      <c r="B6">
        <v>13.524287113462487</v>
      </c>
      <c r="C6">
        <v>14.552893160415357</v>
      </c>
      <c r="D6">
        <f t="shared" si="0"/>
        <v>14.25360269003335</v>
      </c>
      <c r="E6">
        <v>13</v>
      </c>
      <c r="F6">
        <f t="shared" si="1"/>
        <v>1.2536026900333503</v>
      </c>
    </row>
    <row r="7" spans="1:9" x14ac:dyDescent="0.3">
      <c r="A7" t="s">
        <v>91</v>
      </c>
      <c r="B7">
        <v>26.331913644336336</v>
      </c>
      <c r="C7">
        <v>13.376772608599646</v>
      </c>
      <c r="D7">
        <f t="shared" si="0"/>
        <v>21.501332749442255</v>
      </c>
      <c r="E7">
        <v>12</v>
      </c>
      <c r="F7">
        <f t="shared" si="1"/>
        <v>9.5013327494422555</v>
      </c>
      <c r="H7" t="s">
        <v>15</v>
      </c>
      <c r="I7">
        <f>AVERAGE(TableEVE[DIFF])/5</f>
        <v>1.1115647151352079</v>
      </c>
    </row>
    <row r="8" spans="1:9" x14ac:dyDescent="0.3">
      <c r="A8" t="s">
        <v>92</v>
      </c>
      <c r="B8">
        <v>36.392930484259935</v>
      </c>
      <c r="C8">
        <v>15.170163911877642</v>
      </c>
      <c r="D8">
        <f t="shared" si="0"/>
        <v>28.330277247266633</v>
      </c>
      <c r="E8">
        <v>19</v>
      </c>
      <c r="F8">
        <f t="shared" si="1"/>
        <v>9.3302772472666327</v>
      </c>
    </row>
    <row r="9" spans="1:9" x14ac:dyDescent="0.3">
      <c r="A9" t="s">
        <v>93</v>
      </c>
      <c r="B9">
        <v>14.694392797380115</v>
      </c>
      <c r="C9">
        <v>13.105551528689109</v>
      </c>
      <c r="D9">
        <f t="shared" si="0"/>
        <v>14.355843881580736</v>
      </c>
      <c r="E9">
        <v>20</v>
      </c>
      <c r="F9">
        <f t="shared" si="1"/>
        <v>5.6441561184192643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94</v>
      </c>
      <c r="B2">
        <v>11.396438115823273</v>
      </c>
      <c r="C2">
        <v>14.703753771585328</v>
      </c>
      <c r="D2">
        <f t="shared" ref="D2:D8" si="0">B2*$I$2+C2*$I$3</f>
        <v>12.427259270066358</v>
      </c>
      <c r="E2">
        <v>19</v>
      </c>
      <c r="F2">
        <f t="shared" ref="F2:F8" si="1">ABS(D2-E2)</f>
        <v>6.572740729933642</v>
      </c>
      <c r="H2" t="s">
        <v>7</v>
      </c>
      <c r="I2">
        <v>0.45104093259258832</v>
      </c>
    </row>
    <row r="3" spans="1:9" x14ac:dyDescent="0.3">
      <c r="A3" t="s">
        <v>95</v>
      </c>
      <c r="B3">
        <v>7.7977834445340219</v>
      </c>
      <c r="C3">
        <v>20.843993216140625</v>
      </c>
      <c r="D3">
        <f t="shared" si="0"/>
        <v>13.847145721631424</v>
      </c>
      <c r="E3">
        <v>17</v>
      </c>
      <c r="F3">
        <f t="shared" si="1"/>
        <v>3.1528542783685758</v>
      </c>
      <c r="H3" t="s">
        <v>9</v>
      </c>
      <c r="I3">
        <v>0.4955876783079482</v>
      </c>
    </row>
    <row r="4" spans="1:9" x14ac:dyDescent="0.3">
      <c r="A4" t="s">
        <v>96</v>
      </c>
      <c r="B4">
        <v>20.071430120368177</v>
      </c>
      <c r="C4">
        <v>22.629366371167006</v>
      </c>
      <c r="D4">
        <f t="shared" si="0"/>
        <v>20.267871701424447</v>
      </c>
      <c r="E4">
        <v>10</v>
      </c>
      <c r="F4">
        <f t="shared" si="1"/>
        <v>10.267871701424447</v>
      </c>
    </row>
    <row r="5" spans="1:9" x14ac:dyDescent="0.3">
      <c r="A5" t="s">
        <v>97</v>
      </c>
      <c r="B5">
        <v>19.3212931269858</v>
      </c>
      <c r="C5">
        <v>15.223957894029596</v>
      </c>
      <c r="D5">
        <f t="shared" si="0"/>
        <v>16.259500018250527</v>
      </c>
      <c r="E5">
        <v>11</v>
      </c>
      <c r="F5">
        <f t="shared" si="1"/>
        <v>5.2595000182505274</v>
      </c>
      <c r="H5" t="s">
        <v>12</v>
      </c>
      <c r="I5" cm="1">
        <f t="array" ref="I5">(SUM(TableFUL[PP]-TableFUL[AP]))^2</f>
        <v>7.8886090522101181E-29</v>
      </c>
    </row>
    <row r="6" spans="1:9" x14ac:dyDescent="0.3">
      <c r="A6" t="s">
        <v>98</v>
      </c>
      <c r="B6">
        <v>11.839655391380729</v>
      </c>
      <c r="C6">
        <v>16.124479867932543</v>
      </c>
      <c r="D6">
        <f t="shared" si="0"/>
        <v>13.331262750975171</v>
      </c>
      <c r="E6">
        <v>16</v>
      </c>
      <c r="F6">
        <f t="shared" si="1"/>
        <v>2.6687372490248293</v>
      </c>
    </row>
    <row r="7" spans="1:9" x14ac:dyDescent="0.3">
      <c r="A7" t="s">
        <v>99</v>
      </c>
      <c r="B7">
        <v>7.2750087422369836</v>
      </c>
      <c r="C7">
        <v>13.696031089123322</v>
      </c>
      <c r="D7">
        <f t="shared" si="0"/>
        <v>10.068910977209908</v>
      </c>
      <c r="E7">
        <v>22</v>
      </c>
      <c r="F7">
        <f t="shared" si="1"/>
        <v>11.931089022790092</v>
      </c>
      <c r="H7" t="s">
        <v>15</v>
      </c>
      <c r="I7">
        <f>AVERAGE(TableFUL[DIFF])/5</f>
        <v>1.3900240731495503</v>
      </c>
    </row>
    <row r="8" spans="1:9" x14ac:dyDescent="0.3">
      <c r="A8" t="s">
        <v>100</v>
      </c>
      <c r="B8">
        <v>37.809523779815798</v>
      </c>
      <c r="C8">
        <v>23.69793925064992</v>
      </c>
      <c r="D8">
        <f t="shared" si="0"/>
        <v>28.798049560442156</v>
      </c>
      <c r="E8">
        <v>20</v>
      </c>
      <c r="F8">
        <f t="shared" si="1"/>
        <v>8.7980495604421556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101</v>
      </c>
      <c r="B2">
        <v>18.946528479399209</v>
      </c>
      <c r="C2">
        <v>23.72201674260339</v>
      </c>
      <c r="D2">
        <f t="shared" ref="D2:D12" si="0">B2*$I$2+C2*$I$3</f>
        <v>17.264698293893659</v>
      </c>
      <c r="E2">
        <v>17</v>
      </c>
      <c r="F2">
        <f t="shared" ref="F2:F12" si="1">ABS(D2-E2)</f>
        <v>0.26469829389365884</v>
      </c>
      <c r="H2" t="s">
        <v>7</v>
      </c>
      <c r="I2">
        <v>0.36485354448713819</v>
      </c>
    </row>
    <row r="3" spans="1:9" x14ac:dyDescent="0.3">
      <c r="A3" t="s">
        <v>102</v>
      </c>
      <c r="B3">
        <v>19.770153562276143</v>
      </c>
      <c r="C3">
        <v>18.800746990937789</v>
      </c>
      <c r="D3">
        <f t="shared" si="0"/>
        <v>15.417620502846709</v>
      </c>
      <c r="E3">
        <v>14</v>
      </c>
      <c r="F3">
        <f t="shared" si="1"/>
        <v>1.4176205028467095</v>
      </c>
      <c r="H3" t="s">
        <v>9</v>
      </c>
      <c r="I3">
        <v>0.43638744271968938</v>
      </c>
    </row>
    <row r="4" spans="1:9" x14ac:dyDescent="0.3">
      <c r="A4" t="s">
        <v>103</v>
      </c>
      <c r="B4">
        <v>17.668380706800768</v>
      </c>
      <c r="C4">
        <v>10.768964961538277</v>
      </c>
      <c r="D4">
        <f t="shared" si="0"/>
        <v>11.145812406528055</v>
      </c>
      <c r="E4">
        <v>14</v>
      </c>
      <c r="F4">
        <f t="shared" si="1"/>
        <v>2.854187593471945</v>
      </c>
    </row>
    <row r="5" spans="1:9" x14ac:dyDescent="0.3">
      <c r="A5" t="s">
        <v>104</v>
      </c>
      <c r="B5">
        <v>18.86904757384843</v>
      </c>
      <c r="C5">
        <v>18.509521062904895</v>
      </c>
      <c r="D5">
        <f t="shared" si="0"/>
        <v>14.96176145102233</v>
      </c>
      <c r="E5">
        <v>30</v>
      </c>
      <c r="F5">
        <f t="shared" si="1"/>
        <v>15.03823854897767</v>
      </c>
      <c r="H5" t="s">
        <v>12</v>
      </c>
      <c r="I5" cm="1">
        <f t="array" ref="I5">(SUM(TableLEE[PP]-TableLEE[AP]))^2</f>
        <v>1.2621774483536189E-29</v>
      </c>
    </row>
    <row r="6" spans="1:9" x14ac:dyDescent="0.3">
      <c r="A6" t="s">
        <v>105</v>
      </c>
      <c r="B6">
        <v>11.384615400976458</v>
      </c>
      <c r="C6">
        <v>14.703771415583155</v>
      </c>
      <c r="D6">
        <f t="shared" si="0"/>
        <v>10.570258488050321</v>
      </c>
      <c r="E6">
        <v>10</v>
      </c>
      <c r="F6">
        <f t="shared" si="1"/>
        <v>0.57025848805032098</v>
      </c>
    </row>
    <row r="7" spans="1:9" x14ac:dyDescent="0.3">
      <c r="A7" t="s">
        <v>106</v>
      </c>
      <c r="B7">
        <v>20.015296747774375</v>
      </c>
      <c r="C7">
        <v>18.19381142717339</v>
      </c>
      <c r="D7">
        <f t="shared" si="0"/>
        <v>15.242202804415829</v>
      </c>
      <c r="E7">
        <v>14</v>
      </c>
      <c r="F7">
        <f t="shared" si="1"/>
        <v>1.2422028044158289</v>
      </c>
      <c r="H7" t="s">
        <v>15</v>
      </c>
      <c r="I7">
        <f>AVERAGE(TableLEE[DIFF])/5</f>
        <v>0.65063367790725868</v>
      </c>
    </row>
    <row r="8" spans="1:9" x14ac:dyDescent="0.3">
      <c r="A8" t="s">
        <v>107</v>
      </c>
      <c r="B8">
        <v>13.017264437730711</v>
      </c>
      <c r="C8">
        <v>24.849198894862436</v>
      </c>
      <c r="D8">
        <f t="shared" si="0"/>
        <v>15.593273428994374</v>
      </c>
      <c r="E8">
        <v>12</v>
      </c>
      <c r="F8">
        <f t="shared" si="1"/>
        <v>3.5932734289943742</v>
      </c>
    </row>
    <row r="9" spans="1:9" x14ac:dyDescent="0.3">
      <c r="A9" t="s">
        <v>108</v>
      </c>
      <c r="B9">
        <v>19</v>
      </c>
      <c r="C9">
        <v>19.313111984576985</v>
      </c>
      <c r="D9">
        <f t="shared" si="0"/>
        <v>15.360216895164161</v>
      </c>
      <c r="E9">
        <v>13</v>
      </c>
      <c r="F9">
        <f t="shared" si="1"/>
        <v>2.3602168951641609</v>
      </c>
    </row>
    <row r="10" spans="1:9" x14ac:dyDescent="0.3">
      <c r="A10" t="s">
        <v>109</v>
      </c>
      <c r="B10">
        <v>11.660159593972706</v>
      </c>
      <c r="C10">
        <v>20.746527434039443</v>
      </c>
      <c r="D10">
        <f t="shared" si="0"/>
        <v>13.307774609401005</v>
      </c>
      <c r="E10">
        <v>11</v>
      </c>
      <c r="F10">
        <f t="shared" si="1"/>
        <v>2.3077746094010045</v>
      </c>
    </row>
    <row r="11" spans="1:9" x14ac:dyDescent="0.3">
      <c r="A11" t="s">
        <v>110</v>
      </c>
      <c r="B11">
        <v>14.626222355297005</v>
      </c>
      <c r="C11">
        <v>20.026400380084745</v>
      </c>
      <c r="D11">
        <f t="shared" si="0"/>
        <v>14.075698717532926</v>
      </c>
      <c r="E11">
        <v>10</v>
      </c>
      <c r="F11">
        <f t="shared" si="1"/>
        <v>4.0756987175329265</v>
      </c>
    </row>
    <row r="12" spans="1:9" x14ac:dyDescent="0.3">
      <c r="A12" t="s">
        <v>111</v>
      </c>
      <c r="B12">
        <v>9.8280696051066414</v>
      </c>
      <c r="C12">
        <v>19.420532173069308</v>
      </c>
      <c r="D12">
        <f t="shared" si="0"/>
        <v>12.060682402150634</v>
      </c>
      <c r="E12">
        <v>10</v>
      </c>
      <c r="F12">
        <f t="shared" si="1"/>
        <v>2.0606824021506345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112</v>
      </c>
      <c r="B2">
        <v>11.39944611974091</v>
      </c>
      <c r="C2">
        <v>16.536208180099482</v>
      </c>
      <c r="D2">
        <f>B2*$I$2+C2*$I$3</f>
        <v>16.133177520819899</v>
      </c>
      <c r="E2">
        <v>20</v>
      </c>
      <c r="F2">
        <f>ABS(D2-E2)</f>
        <v>3.8668224791801009</v>
      </c>
      <c r="H2" t="s">
        <v>7</v>
      </c>
      <c r="I2">
        <v>0.54744017640484399</v>
      </c>
    </row>
    <row r="3" spans="1:9" x14ac:dyDescent="0.3">
      <c r="A3" t="s">
        <v>113</v>
      </c>
      <c r="B3">
        <v>23.401687473758301</v>
      </c>
      <c r="C3">
        <v>27.321376196959093</v>
      </c>
      <c r="D3">
        <f>B3*$I$2+C3*$I$3</f>
        <v>29.155832655247959</v>
      </c>
      <c r="E3">
        <v>20</v>
      </c>
      <c r="F3">
        <f>ABS(D3-E3)</f>
        <v>9.1558326552479592</v>
      </c>
      <c r="H3" t="s">
        <v>9</v>
      </c>
      <c r="I3">
        <v>0.59824251233222603</v>
      </c>
    </row>
    <row r="4" spans="1:9" x14ac:dyDescent="0.3">
      <c r="A4" t="s">
        <v>114</v>
      </c>
      <c r="B4">
        <v>20.165619601231771</v>
      </c>
      <c r="C4">
        <v>16.801169182282376</v>
      </c>
      <c r="D4">
        <f>B4*$I$2+C4*$I$3</f>
        <v>21.090644013538682</v>
      </c>
      <c r="E4">
        <v>28</v>
      </c>
      <c r="F4">
        <f>ABS(D4-E4)</f>
        <v>6.9093559864613177</v>
      </c>
    </row>
    <row r="5" spans="1:9" x14ac:dyDescent="0.3">
      <c r="A5" t="s">
        <v>115</v>
      </c>
      <c r="B5">
        <v>14.130845145222331</v>
      </c>
      <c r="C5">
        <v>14.851090098407269</v>
      </c>
      <c r="D5">
        <f>B5*$I$2+C5*$I$3</f>
        <v>16.620345810393459</v>
      </c>
      <c r="E5">
        <v>15</v>
      </c>
      <c r="F5">
        <f>ABS(D5-E5)</f>
        <v>1.6203458103934594</v>
      </c>
      <c r="H5" t="s">
        <v>12</v>
      </c>
      <c r="I5" cm="1">
        <f t="array" ref="I5">(SUM(TableLEI[PP]-TableLEI[AP]))^2</f>
        <v>0</v>
      </c>
    </row>
    <row r="7" spans="1:9" x14ac:dyDescent="0.3">
      <c r="H7" t="s">
        <v>15</v>
      </c>
      <c r="I7">
        <f>AVERAGE(TableLEI[DIFF])/5</f>
        <v>1.0776178465641419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116</v>
      </c>
      <c r="B2">
        <v>10.983173874819416</v>
      </c>
      <c r="C2">
        <v>13.262357570712556</v>
      </c>
      <c r="D2">
        <f t="shared" ref="D2:D14" si="0">B2*$I$2+C2*$I$3</f>
        <v>10.740194920390664</v>
      </c>
      <c r="E2">
        <v>12</v>
      </c>
      <c r="F2">
        <f t="shared" ref="F2:F14" si="1">ABS(D2-E2)</f>
        <v>1.2598050796093361</v>
      </c>
      <c r="H2" t="s">
        <v>7</v>
      </c>
      <c r="I2">
        <v>0.48598809332649862</v>
      </c>
    </row>
    <row r="3" spans="1:9" x14ac:dyDescent="0.3">
      <c r="A3" t="s">
        <v>117</v>
      </c>
      <c r="B3">
        <v>21.399999986213331</v>
      </c>
      <c r="C3">
        <v>24.634271350472737</v>
      </c>
      <c r="D3">
        <f t="shared" si="0"/>
        <v>20.435067628062299</v>
      </c>
      <c r="E3">
        <v>13</v>
      </c>
      <c r="F3">
        <f t="shared" si="1"/>
        <v>7.4350676280622991</v>
      </c>
      <c r="H3" t="s">
        <v>9</v>
      </c>
      <c r="I3">
        <v>0.40735617038588856</v>
      </c>
    </row>
    <row r="4" spans="1:9" x14ac:dyDescent="0.3">
      <c r="A4" t="s">
        <v>118</v>
      </c>
      <c r="B4">
        <v>12.980392186548652</v>
      </c>
      <c r="C4">
        <v>13.238002300483197</v>
      </c>
      <c r="D4">
        <f t="shared" si="0"/>
        <v>11.700897970055379</v>
      </c>
      <c r="E4">
        <v>10</v>
      </c>
      <c r="F4">
        <f t="shared" si="1"/>
        <v>1.7008979700553795</v>
      </c>
    </row>
    <row r="5" spans="1:9" x14ac:dyDescent="0.3">
      <c r="A5" t="s">
        <v>119</v>
      </c>
      <c r="B5">
        <v>24.871582422511125</v>
      </c>
      <c r="C5">
        <v>22.540575564379928</v>
      </c>
      <c r="D5">
        <f t="shared" si="0"/>
        <v>21.269335459728588</v>
      </c>
      <c r="E5">
        <v>12</v>
      </c>
      <c r="F5">
        <f t="shared" si="1"/>
        <v>9.2693354597285875</v>
      </c>
      <c r="H5" t="s">
        <v>12</v>
      </c>
      <c r="I5" cm="1">
        <f t="array" ref="I5">(SUM(TableLIV[PP]-TableLIV[AP]))^2</f>
        <v>1.9721522630525295E-29</v>
      </c>
    </row>
    <row r="6" spans="1:9" x14ac:dyDescent="0.3">
      <c r="A6" t="s">
        <v>120</v>
      </c>
      <c r="B6">
        <v>54.880900993181626</v>
      </c>
      <c r="C6">
        <v>23.194025632729652</v>
      </c>
      <c r="D6">
        <f t="shared" si="0"/>
        <v>36.119693891297572</v>
      </c>
      <c r="E6">
        <v>29</v>
      </c>
      <c r="F6">
        <f t="shared" si="1"/>
        <v>7.1196938912975725</v>
      </c>
    </row>
    <row r="7" spans="1:9" x14ac:dyDescent="0.3">
      <c r="A7" t="s">
        <v>121</v>
      </c>
      <c r="B7">
        <v>21.508926273989765</v>
      </c>
      <c r="C7">
        <v>23.793917120685922</v>
      </c>
      <c r="D7">
        <f t="shared" si="0"/>
        <v>20.145681026158361</v>
      </c>
      <c r="E7">
        <v>28</v>
      </c>
      <c r="F7">
        <f t="shared" si="1"/>
        <v>7.8543189738416395</v>
      </c>
      <c r="H7" t="s">
        <v>15</v>
      </c>
      <c r="I7">
        <f>AVERAGE(TableLIV[DIFF])/5</f>
        <v>1.2884129886210103</v>
      </c>
    </row>
    <row r="8" spans="1:9" x14ac:dyDescent="0.3">
      <c r="A8" t="s">
        <v>122</v>
      </c>
      <c r="B8">
        <v>15.466517316941399</v>
      </c>
      <c r="C8">
        <v>13.837363483886907</v>
      </c>
      <c r="D8">
        <f t="shared" si="0"/>
        <v>13.153278658295331</v>
      </c>
      <c r="E8">
        <v>11</v>
      </c>
      <c r="F8">
        <f t="shared" si="1"/>
        <v>2.1532786582953314</v>
      </c>
    </row>
    <row r="9" spans="1:9" x14ac:dyDescent="0.3">
      <c r="A9" t="s">
        <v>123</v>
      </c>
      <c r="B9">
        <v>85.437272359204044</v>
      </c>
      <c r="C9">
        <v>45.841091377572049</v>
      </c>
      <c r="D9">
        <f t="shared" si="0"/>
        <v>60.195148522743665</v>
      </c>
      <c r="E9">
        <v>46</v>
      </c>
      <c r="F9">
        <f t="shared" si="1"/>
        <v>14.195148522743665</v>
      </c>
    </row>
    <row r="10" spans="1:9" x14ac:dyDescent="0.3">
      <c r="A10" t="s">
        <v>124</v>
      </c>
      <c r="B10">
        <v>25.430463575015082</v>
      </c>
      <c r="C10">
        <v>23.623642463124927</v>
      </c>
      <c r="D10">
        <f t="shared" si="0"/>
        <v>21.982139029574583</v>
      </c>
      <c r="E10">
        <v>29</v>
      </c>
      <c r="F10">
        <f t="shared" si="1"/>
        <v>7.0178609704254171</v>
      </c>
    </row>
    <row r="11" spans="1:9" x14ac:dyDescent="0.3">
      <c r="A11" t="s">
        <v>125</v>
      </c>
      <c r="B11">
        <v>25.914586832503094</v>
      </c>
      <c r="C11">
        <v>21.12686887176211</v>
      </c>
      <c r="D11">
        <f t="shared" si="0"/>
        <v>21.200341039918015</v>
      </c>
      <c r="E11">
        <v>33</v>
      </c>
      <c r="F11">
        <f t="shared" si="1"/>
        <v>11.799658960081985</v>
      </c>
    </row>
    <row r="12" spans="1:9" x14ac:dyDescent="0.3">
      <c r="A12" t="s">
        <v>126</v>
      </c>
      <c r="B12">
        <v>28</v>
      </c>
      <c r="C12">
        <v>27.822527987267627</v>
      </c>
      <c r="D12">
        <f t="shared" si="0"/>
        <v>24.941345064489507</v>
      </c>
      <c r="E12">
        <v>26</v>
      </c>
      <c r="F12">
        <f t="shared" si="1"/>
        <v>1.0586549355104928</v>
      </c>
    </row>
    <row r="13" spans="1:9" x14ac:dyDescent="0.3">
      <c r="A13" t="s">
        <v>127</v>
      </c>
      <c r="B13">
        <v>1.666666608860438</v>
      </c>
      <c r="C13">
        <v>14.602168410753588</v>
      </c>
      <c r="D13">
        <f t="shared" si="0"/>
        <v>6.7582635305854035</v>
      </c>
      <c r="E13">
        <v>12</v>
      </c>
      <c r="F13">
        <f t="shared" si="1"/>
        <v>5.2417364694145965</v>
      </c>
    </row>
    <row r="14" spans="1:9" x14ac:dyDescent="0.3">
      <c r="A14" t="s">
        <v>128</v>
      </c>
      <c r="B14">
        <v>18.314643712109685</v>
      </c>
      <c r="C14">
        <v>23.217800953251356</v>
      </c>
      <c r="D14">
        <f t="shared" si="0"/>
        <v>18.358613258700636</v>
      </c>
      <c r="E14">
        <v>26</v>
      </c>
      <c r="F14">
        <f t="shared" si="1"/>
        <v>7.6413867412993639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129</v>
      </c>
      <c r="B2">
        <v>26.17337616583352</v>
      </c>
      <c r="C2">
        <v>19.66479147939566</v>
      </c>
      <c r="D2">
        <f t="shared" ref="D2:D14" si="0">B2*$I$2+C2*$I$3</f>
        <v>19.171813319843885</v>
      </c>
      <c r="E2">
        <v>11</v>
      </c>
      <c r="F2">
        <f t="shared" ref="F2:F14" si="1">ABS(D2-E2)</f>
        <v>8.1718133198438849</v>
      </c>
      <c r="H2" t="s">
        <v>7</v>
      </c>
      <c r="I2">
        <v>0.42560821079712485</v>
      </c>
    </row>
    <row r="3" spans="1:9" x14ac:dyDescent="0.3">
      <c r="A3" t="s">
        <v>130</v>
      </c>
      <c r="B3">
        <v>16.850853764638213</v>
      </c>
      <c r="C3">
        <v>19.122541546123038</v>
      </c>
      <c r="D3">
        <f t="shared" si="0"/>
        <v>14.982585796354879</v>
      </c>
      <c r="E3">
        <v>17</v>
      </c>
      <c r="F3">
        <f t="shared" si="1"/>
        <v>2.0174142036451208</v>
      </c>
      <c r="H3" t="s">
        <v>9</v>
      </c>
      <c r="I3">
        <v>0.40845637889419484</v>
      </c>
    </row>
    <row r="4" spans="1:9" x14ac:dyDescent="0.3">
      <c r="A4" t="s">
        <v>131</v>
      </c>
      <c r="B4">
        <v>28.834547407730213</v>
      </c>
      <c r="C4">
        <v>20.275654821917399</v>
      </c>
      <c r="D4">
        <f t="shared" si="0"/>
        <v>20.553940679617931</v>
      </c>
      <c r="E4">
        <v>20</v>
      </c>
      <c r="F4">
        <f t="shared" si="1"/>
        <v>0.5539406796179307</v>
      </c>
    </row>
    <row r="5" spans="1:9" x14ac:dyDescent="0.3">
      <c r="A5" t="s">
        <v>132</v>
      </c>
      <c r="B5">
        <v>27.117175848528518</v>
      </c>
      <c r="C5">
        <v>22.798405788851248</v>
      </c>
      <c r="D5">
        <f t="shared" si="0"/>
        <v>20.853446967837861</v>
      </c>
      <c r="E5">
        <v>27</v>
      </c>
      <c r="F5">
        <f t="shared" si="1"/>
        <v>6.1465530321621387</v>
      </c>
      <c r="H5" t="s">
        <v>12</v>
      </c>
      <c r="I5" cm="1">
        <f t="array" ref="I5">(SUM(TableMCI[PP]-TableMCI[AP]))^2</f>
        <v>2.8398992587956425E-29</v>
      </c>
    </row>
    <row r="6" spans="1:9" x14ac:dyDescent="0.3">
      <c r="A6" t="s">
        <v>133</v>
      </c>
      <c r="B6">
        <v>17.615777025649482</v>
      </c>
      <c r="C6">
        <v>18.204913396395018</v>
      </c>
      <c r="D6">
        <f t="shared" si="0"/>
        <v>14.9333323456617</v>
      </c>
      <c r="E6">
        <v>22</v>
      </c>
      <c r="F6">
        <f t="shared" si="1"/>
        <v>7.0666676543382998</v>
      </c>
    </row>
    <row r="7" spans="1:9" x14ac:dyDescent="0.3">
      <c r="A7" t="s">
        <v>134</v>
      </c>
      <c r="B7">
        <v>20.477428314186902</v>
      </c>
      <c r="C7">
        <v>20.461678362044914</v>
      </c>
      <c r="D7">
        <f t="shared" si="0"/>
        <v>17.073064676386039</v>
      </c>
      <c r="E7">
        <v>18</v>
      </c>
      <c r="F7">
        <f t="shared" si="1"/>
        <v>0.9269353236139608</v>
      </c>
      <c r="H7" t="s">
        <v>15</v>
      </c>
      <c r="I7">
        <f>AVERAGE(TableMCI[DIFF])/5</f>
        <v>0.93952255032137655</v>
      </c>
    </row>
    <row r="8" spans="1:9" x14ac:dyDescent="0.3">
      <c r="A8" t="s">
        <v>135</v>
      </c>
      <c r="B8">
        <v>15.360074728319608</v>
      </c>
      <c r="C8">
        <v>16.708408253570454</v>
      </c>
      <c r="D8">
        <f t="shared" si="0"/>
        <v>13.362029855169506</v>
      </c>
      <c r="E8">
        <v>20</v>
      </c>
      <c r="F8">
        <f t="shared" si="1"/>
        <v>6.6379701448304935</v>
      </c>
    </row>
    <row r="9" spans="1:9" x14ac:dyDescent="0.3">
      <c r="A9" t="s">
        <v>136</v>
      </c>
      <c r="B9">
        <v>47.888888888888893</v>
      </c>
      <c r="C9">
        <v>22.824658408170606</v>
      </c>
      <c r="D9">
        <f t="shared" si="0"/>
        <v>29.704781639960618</v>
      </c>
      <c r="E9">
        <v>22</v>
      </c>
      <c r="F9">
        <f t="shared" si="1"/>
        <v>7.7047816399606184</v>
      </c>
    </row>
    <row r="10" spans="1:9" x14ac:dyDescent="0.3">
      <c r="A10" t="s">
        <v>137</v>
      </c>
      <c r="B10">
        <v>16.76923073379508</v>
      </c>
      <c r="C10">
        <v>26.890487912587609</v>
      </c>
      <c r="D10">
        <f t="shared" si="0"/>
        <v>18.120713608528334</v>
      </c>
      <c r="E10">
        <v>18</v>
      </c>
      <c r="F10">
        <f t="shared" si="1"/>
        <v>0.12071360852833379</v>
      </c>
    </row>
    <row r="11" spans="1:9" x14ac:dyDescent="0.3">
      <c r="A11" t="s">
        <v>138</v>
      </c>
      <c r="B11">
        <v>28.508919737874152</v>
      </c>
      <c r="C11">
        <v>23.185502654133174</v>
      </c>
      <c r="D11">
        <f t="shared" si="0"/>
        <v>21.603896778344435</v>
      </c>
      <c r="E11">
        <v>28</v>
      </c>
      <c r="F11">
        <f t="shared" si="1"/>
        <v>6.3961032216555651</v>
      </c>
    </row>
    <row r="12" spans="1:9" x14ac:dyDescent="0.3">
      <c r="A12" t="s">
        <v>139</v>
      </c>
      <c r="B12">
        <v>17.741379305809314</v>
      </c>
      <c r="C12">
        <v>17.469012903515615</v>
      </c>
      <c r="D12">
        <f t="shared" si="0"/>
        <v>14.686206456844593</v>
      </c>
      <c r="E12">
        <v>16</v>
      </c>
      <c r="F12">
        <f t="shared" si="1"/>
        <v>1.3137935431554073</v>
      </c>
    </row>
    <row r="13" spans="1:9" x14ac:dyDescent="0.3">
      <c r="A13" t="s">
        <v>140</v>
      </c>
      <c r="B13">
        <v>45.473684210526315</v>
      </c>
      <c r="C13">
        <v>55.401901969463914</v>
      </c>
      <c r="D13">
        <f t="shared" si="0"/>
        <v>41.983233637493967</v>
      </c>
      <c r="E13">
        <v>28</v>
      </c>
      <c r="F13">
        <f t="shared" si="1"/>
        <v>13.983233637493967</v>
      </c>
    </row>
    <row r="14" spans="1:9" x14ac:dyDescent="0.3">
      <c r="A14" t="s">
        <v>141</v>
      </c>
      <c r="B14">
        <v>12.860289011677207</v>
      </c>
      <c r="C14">
        <v>25.700442406560196</v>
      </c>
      <c r="D14">
        <f t="shared" si="0"/>
        <v>15.970954237956246</v>
      </c>
      <c r="E14">
        <v>16</v>
      </c>
      <c r="F14">
        <f t="shared" si="1"/>
        <v>2.9045762043754308E-2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142</v>
      </c>
      <c r="B2">
        <v>24.137120699859636</v>
      </c>
      <c r="C2">
        <v>22.925370695169089</v>
      </c>
      <c r="D2">
        <f t="shared" ref="D2:D14" si="0">B2*$I$2+C2*$I$3</f>
        <v>21.542262718899778</v>
      </c>
      <c r="E2">
        <v>14</v>
      </c>
      <c r="F2">
        <f t="shared" ref="F2:F14" si="1">ABS(D2-E2)</f>
        <v>7.542262718899778</v>
      </c>
      <c r="H2" t="s">
        <v>7</v>
      </c>
      <c r="I2">
        <v>0.40783530642184324</v>
      </c>
    </row>
    <row r="3" spans="1:9" x14ac:dyDescent="0.3">
      <c r="A3" t="s">
        <v>143</v>
      </c>
      <c r="B3">
        <v>21.309628774436092</v>
      </c>
      <c r="C3">
        <v>27.139601039096995</v>
      </c>
      <c r="D3">
        <f t="shared" si="0"/>
        <v>22.539537110577079</v>
      </c>
      <c r="E3">
        <v>25</v>
      </c>
      <c r="F3">
        <f t="shared" si="1"/>
        <v>2.4604628894229208</v>
      </c>
      <c r="H3" t="s">
        <v>9</v>
      </c>
      <c r="I3">
        <v>0.51027714481391617</v>
      </c>
    </row>
    <row r="4" spans="1:9" x14ac:dyDescent="0.3">
      <c r="A4" t="s">
        <v>144</v>
      </c>
      <c r="B4">
        <v>14.850746180868356</v>
      </c>
      <c r="C4">
        <v>14.198991419456458</v>
      </c>
      <c r="D4">
        <f t="shared" si="0"/>
        <v>13.302079420025001</v>
      </c>
      <c r="E4">
        <v>17</v>
      </c>
      <c r="F4">
        <f t="shared" si="1"/>
        <v>3.6979205799749995</v>
      </c>
    </row>
    <row r="5" spans="1:9" x14ac:dyDescent="0.3">
      <c r="A5" t="s">
        <v>145</v>
      </c>
      <c r="B5">
        <v>13.764926594338414</v>
      </c>
      <c r="C5">
        <v>14.903927113865903</v>
      </c>
      <c r="D5">
        <f t="shared" si="0"/>
        <v>13.218956429654391</v>
      </c>
      <c r="E5">
        <v>10</v>
      </c>
      <c r="F5">
        <f t="shared" si="1"/>
        <v>3.2189564296543907</v>
      </c>
      <c r="H5" t="s">
        <v>12</v>
      </c>
      <c r="I5" cm="1">
        <f t="array" ref="I5">(SUM(TableMUN[PP]-TableMUN[AP]))^2</f>
        <v>1.0223637331664313E-27</v>
      </c>
    </row>
    <row r="6" spans="1:9" x14ac:dyDescent="0.3">
      <c r="A6" t="s">
        <v>146</v>
      </c>
      <c r="B6">
        <v>10.176388132648455</v>
      </c>
      <c r="C6">
        <v>20.183675141053854</v>
      </c>
      <c r="D6">
        <f t="shared" si="0"/>
        <v>14.44955849517487</v>
      </c>
      <c r="E6">
        <v>23</v>
      </c>
      <c r="F6">
        <f t="shared" si="1"/>
        <v>8.5504415048251303</v>
      </c>
    </row>
    <row r="7" spans="1:9" x14ac:dyDescent="0.3">
      <c r="A7" t="s">
        <v>147</v>
      </c>
      <c r="B7">
        <v>19.754615481207907</v>
      </c>
      <c r="C7">
        <v>30.150224212450546</v>
      </c>
      <c r="D7">
        <f t="shared" si="0"/>
        <v>23.441599984652782</v>
      </c>
      <c r="E7">
        <v>22</v>
      </c>
      <c r="F7">
        <f t="shared" si="1"/>
        <v>1.4415999846527825</v>
      </c>
      <c r="H7" t="s">
        <v>15</v>
      </c>
      <c r="I7">
        <f>AVERAGE(TableMUN[DIFF])/5</f>
        <v>1.0582811631446343</v>
      </c>
    </row>
    <row r="8" spans="1:9" x14ac:dyDescent="0.3">
      <c r="A8" t="s">
        <v>148</v>
      </c>
      <c r="B8">
        <v>22.664233572922949</v>
      </c>
      <c r="C8">
        <v>23.739303952598519</v>
      </c>
      <c r="D8">
        <f t="shared" si="0"/>
        <v>21.356898884830947</v>
      </c>
      <c r="E8">
        <v>36</v>
      </c>
      <c r="F8">
        <f t="shared" si="1"/>
        <v>14.643101115169053</v>
      </c>
    </row>
    <row r="9" spans="1:9" x14ac:dyDescent="0.3">
      <c r="A9" t="s">
        <v>149</v>
      </c>
      <c r="B9">
        <v>15.128673548395</v>
      </c>
      <c r="C9">
        <v>21.47657450450312</v>
      </c>
      <c r="D9">
        <f t="shared" si="0"/>
        <v>17.129012330906907</v>
      </c>
      <c r="E9">
        <v>19</v>
      </c>
      <c r="F9">
        <f t="shared" si="1"/>
        <v>1.8709876690930933</v>
      </c>
    </row>
    <row r="10" spans="1:9" x14ac:dyDescent="0.3">
      <c r="A10" t="s">
        <v>150</v>
      </c>
      <c r="B10">
        <v>19.981839527144015</v>
      </c>
      <c r="C10">
        <v>27.938464434097774</v>
      </c>
      <c r="D10">
        <f t="shared" si="0"/>
        <v>22.405659508341436</v>
      </c>
      <c r="E10">
        <v>18</v>
      </c>
      <c r="F10">
        <f t="shared" si="1"/>
        <v>4.4056595083414365</v>
      </c>
    </row>
    <row r="11" spans="1:9" x14ac:dyDescent="0.3">
      <c r="A11" t="s">
        <v>151</v>
      </c>
      <c r="B11">
        <v>28.499999997019771</v>
      </c>
      <c r="C11">
        <v>24.401026896333438</v>
      </c>
      <c r="D11">
        <f t="shared" si="0"/>
        <v>24.07459256699569</v>
      </c>
      <c r="E11">
        <v>18</v>
      </c>
      <c r="F11">
        <f t="shared" si="1"/>
        <v>6.0745925669956904</v>
      </c>
    </row>
    <row r="12" spans="1:9" x14ac:dyDescent="0.3">
      <c r="A12" t="s">
        <v>152</v>
      </c>
      <c r="B12">
        <v>21.210526332011462</v>
      </c>
      <c r="C12">
        <v>21.906476831088668</v>
      </c>
      <c r="D12">
        <f t="shared" si="0"/>
        <v>19.828775956284602</v>
      </c>
      <c r="E12">
        <v>23</v>
      </c>
      <c r="F12">
        <f t="shared" si="1"/>
        <v>3.171224043715398</v>
      </c>
    </row>
    <row r="13" spans="1:9" x14ac:dyDescent="0.3">
      <c r="A13" t="s">
        <v>25</v>
      </c>
      <c r="B13">
        <v>13.705496708760245</v>
      </c>
      <c r="C13">
        <v>24.375872793625689</v>
      </c>
      <c r="D13">
        <f t="shared" si="0"/>
        <v>18.028036221359336</v>
      </c>
      <c r="E13">
        <v>12</v>
      </c>
      <c r="F13">
        <f t="shared" si="1"/>
        <v>6.0280362213593364</v>
      </c>
    </row>
    <row r="14" spans="1:9" x14ac:dyDescent="0.3">
      <c r="A14" t="s">
        <v>153</v>
      </c>
      <c r="B14">
        <v>10.888889270790475</v>
      </c>
      <c r="C14">
        <v>22.031472493345856</v>
      </c>
      <c r="D14">
        <f t="shared" si="0"/>
        <v>15.68303037229721</v>
      </c>
      <c r="E14">
        <v>10</v>
      </c>
      <c r="F14">
        <f t="shared" si="1"/>
        <v>5.6830303722972104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154</v>
      </c>
      <c r="B2">
        <v>21.981782001767069</v>
      </c>
      <c r="C2">
        <v>22.28247242653093</v>
      </c>
      <c r="D2">
        <f>B2*$I$2+C2*$I$3</f>
        <v>14.668201139299164</v>
      </c>
      <c r="E2">
        <v>13</v>
      </c>
      <c r="F2">
        <f>ABS(D2-E2)</f>
        <v>1.668201139299164</v>
      </c>
      <c r="H2" t="s">
        <v>7</v>
      </c>
      <c r="I2">
        <v>0.30314455711309762</v>
      </c>
    </row>
    <row r="3" spans="1:9" x14ac:dyDescent="0.3">
      <c r="A3" t="s">
        <v>155</v>
      </c>
      <c r="B3">
        <v>26.876614383176801</v>
      </c>
      <c r="C3">
        <v>32.770751764821327</v>
      </c>
      <c r="D3">
        <f>B3*$I$2+C3*$I$3</f>
        <v>19.919752698074873</v>
      </c>
      <c r="E3">
        <v>11</v>
      </c>
      <c r="F3">
        <f>ABS(D3-E3)</f>
        <v>8.9197526980748734</v>
      </c>
      <c r="H3" t="s">
        <v>9</v>
      </c>
      <c r="I3">
        <v>0.35923049366308674</v>
      </c>
    </row>
    <row r="4" spans="1:9" x14ac:dyDescent="0.3">
      <c r="A4" t="s">
        <v>156</v>
      </c>
      <c r="B4">
        <v>27.999999998995499</v>
      </c>
      <c r="C4">
        <v>31.489261668376891</v>
      </c>
      <c r="D4">
        <f>B4*$I$2+C4*$I$3</f>
        <v>19.799950613079368</v>
      </c>
      <c r="E4">
        <v>24</v>
      </c>
      <c r="F4">
        <f>ABS(D4-E4)</f>
        <v>4.2000493869206323</v>
      </c>
    </row>
    <row r="5" spans="1:9" x14ac:dyDescent="0.3">
      <c r="A5" t="s">
        <v>157</v>
      </c>
      <c r="B5">
        <v>11.03926205891001</v>
      </c>
      <c r="C5">
        <v>13.618112953804944</v>
      </c>
      <c r="D5">
        <f>B5*$I$2+C5*$I$3</f>
        <v>8.2385336468587234</v>
      </c>
      <c r="E5">
        <v>13</v>
      </c>
      <c r="F5">
        <f>ABS(D5-E5)</f>
        <v>4.7614663531412766</v>
      </c>
      <c r="H5" t="s">
        <v>12</v>
      </c>
      <c r="I5" cm="1">
        <f t="array" ref="I5">(SUM(TableNEW[PP]-TableNEW[AP]))^2</f>
        <v>1.2621774483536189E-29</v>
      </c>
    </row>
    <row r="6" spans="1:9" x14ac:dyDescent="0.3">
      <c r="A6" t="s">
        <v>158</v>
      </c>
      <c r="B6">
        <v>17.75</v>
      </c>
      <c r="C6">
        <v>25.03335928481744</v>
      </c>
      <c r="D6">
        <f>B6*$I$2+C6*$I$3</f>
        <v>14.373561902687868</v>
      </c>
      <c r="E6">
        <v>16</v>
      </c>
      <c r="F6">
        <f>ABS(D6-E6)</f>
        <v>1.626438097312132</v>
      </c>
    </row>
    <row r="7" spans="1:9" x14ac:dyDescent="0.3">
      <c r="H7" t="s">
        <v>15</v>
      </c>
      <c r="I7">
        <f>AVERAGE(TableNEW[DIFF])/5</f>
        <v>0.84703630698992316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159</v>
      </c>
      <c r="B2">
        <v>17.102130450943591</v>
      </c>
      <c r="C2">
        <v>13.460337914850898</v>
      </c>
      <c r="D2">
        <f t="shared" ref="D2:D9" si="0">B2*$I$2+C2*$I$3</f>
        <v>13.14984005411201</v>
      </c>
      <c r="E2">
        <v>15</v>
      </c>
      <c r="F2">
        <f t="shared" ref="F2:F9" si="1">ABS(D2-E2)</f>
        <v>1.8501599458879898</v>
      </c>
      <c r="H2" t="s">
        <v>7</v>
      </c>
      <c r="I2">
        <v>0.37446508265371065</v>
      </c>
    </row>
    <row r="3" spans="1:9" x14ac:dyDescent="0.3">
      <c r="A3" t="s">
        <v>160</v>
      </c>
      <c r="B3">
        <v>8.1103372370073252</v>
      </c>
      <c r="C3">
        <v>20.001306514895198</v>
      </c>
      <c r="D3">
        <f t="shared" si="0"/>
        <v>13.060753810055642</v>
      </c>
      <c r="E3">
        <v>15</v>
      </c>
      <c r="F3">
        <f t="shared" si="1"/>
        <v>1.9392461899443578</v>
      </c>
      <c r="H3" t="s">
        <v>9</v>
      </c>
      <c r="I3">
        <v>0.5011530471164698</v>
      </c>
    </row>
    <row r="4" spans="1:9" x14ac:dyDescent="0.3">
      <c r="A4" t="s">
        <v>161</v>
      </c>
      <c r="B4">
        <v>9.625</v>
      </c>
      <c r="C4">
        <v>22.094367364796057</v>
      </c>
      <c r="D4">
        <f t="shared" si="0"/>
        <v>14.676885949520194</v>
      </c>
      <c r="E4">
        <v>10</v>
      </c>
      <c r="F4">
        <f t="shared" si="1"/>
        <v>4.6768859495201944</v>
      </c>
    </row>
    <row r="5" spans="1:9" x14ac:dyDescent="0.3">
      <c r="A5" t="s">
        <v>162</v>
      </c>
      <c r="B5">
        <v>5.013759784909964</v>
      </c>
      <c r="C5">
        <v>18.640119024257011</v>
      </c>
      <c r="D5">
        <f t="shared" si="0"/>
        <v>11.219030419882237</v>
      </c>
      <c r="E5">
        <v>11</v>
      </c>
      <c r="F5">
        <f t="shared" si="1"/>
        <v>0.21903041988223748</v>
      </c>
      <c r="H5" t="s">
        <v>12</v>
      </c>
      <c r="I5" cm="1">
        <f t="array" ref="I5">(SUM(TableNFO[PP]-TableNFO[AP]))^2</f>
        <v>2.5559093329160782E-28</v>
      </c>
    </row>
    <row r="6" spans="1:9" x14ac:dyDescent="0.3">
      <c r="A6" t="s">
        <v>163</v>
      </c>
      <c r="B6">
        <v>23.818181818181817</v>
      </c>
      <c r="C6">
        <v>21.978519822368312</v>
      </c>
      <c r="D6">
        <f t="shared" si="0"/>
        <v>19.933679603296177</v>
      </c>
      <c r="E6">
        <v>21</v>
      </c>
      <c r="F6">
        <f t="shared" si="1"/>
        <v>1.0663203967038228</v>
      </c>
    </row>
    <row r="7" spans="1:9" x14ac:dyDescent="0.3">
      <c r="A7" t="s">
        <v>164</v>
      </c>
      <c r="B7">
        <v>10.329836568209007</v>
      </c>
      <c r="C7">
        <v>24.031184262356469</v>
      </c>
      <c r="D7">
        <f t="shared" si="0"/>
        <v>15.911464323211007</v>
      </c>
      <c r="E7">
        <v>16</v>
      </c>
      <c r="F7">
        <f t="shared" si="1"/>
        <v>8.8535676788993101E-2</v>
      </c>
      <c r="H7" t="s">
        <v>15</v>
      </c>
      <c r="I7">
        <f>AVERAGE(TableNFO[DIFF])/5</f>
        <v>0.3865098556425427</v>
      </c>
    </row>
    <row r="8" spans="1:9" x14ac:dyDescent="0.3">
      <c r="A8" t="s">
        <v>116</v>
      </c>
      <c r="B8">
        <v>32.916666696209745</v>
      </c>
      <c r="C8">
        <v>22.963321273976121</v>
      </c>
      <c r="D8">
        <f t="shared" si="0"/>
        <v>23.834280743448414</v>
      </c>
      <c r="E8">
        <v>21</v>
      </c>
      <c r="F8">
        <f t="shared" si="1"/>
        <v>2.8342807434484136</v>
      </c>
    </row>
    <row r="9" spans="1:9" x14ac:dyDescent="0.3">
      <c r="A9" t="s">
        <v>165</v>
      </c>
      <c r="B9">
        <v>10.76863904096102</v>
      </c>
      <c r="C9">
        <v>14.330124957344282</v>
      </c>
      <c r="D9">
        <f t="shared" si="0"/>
        <v>11.214065096474302</v>
      </c>
      <c r="E9">
        <v>14</v>
      </c>
      <c r="F9">
        <f t="shared" si="1"/>
        <v>2.7859349035256979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166</v>
      </c>
      <c r="B2">
        <v>13.431339261939415</v>
      </c>
      <c r="C2">
        <v>13.293558547661313</v>
      </c>
      <c r="D2">
        <f t="shared" ref="D2:D8" si="0">B2*$I$2+C2*$I$3</f>
        <v>15.00070117571989</v>
      </c>
      <c r="E2">
        <v>19</v>
      </c>
      <c r="F2">
        <f t="shared" ref="F2:F8" si="1">ABS(D2-E2)</f>
        <v>3.9992988242801104</v>
      </c>
      <c r="H2" t="s">
        <v>7</v>
      </c>
      <c r="I2">
        <v>0.57890065257506484</v>
      </c>
    </row>
    <row r="3" spans="1:9" x14ac:dyDescent="0.3">
      <c r="A3" t="s">
        <v>167</v>
      </c>
      <c r="B3">
        <v>26.69565217615029</v>
      </c>
      <c r="C3">
        <v>16.180567819710554</v>
      </c>
      <c r="D3">
        <f t="shared" si="0"/>
        <v>24.248562464885133</v>
      </c>
      <c r="E3">
        <v>16</v>
      </c>
      <c r="F3">
        <f t="shared" si="1"/>
        <v>8.2485624648851328</v>
      </c>
      <c r="H3" t="s">
        <v>9</v>
      </c>
      <c r="I3">
        <v>0.54351813219321865</v>
      </c>
    </row>
    <row r="4" spans="1:9" x14ac:dyDescent="0.3">
      <c r="A4" t="s">
        <v>168</v>
      </c>
      <c r="B4">
        <v>18.43135932392747</v>
      </c>
      <c r="C4">
        <v>20.361043807388484</v>
      </c>
      <c r="D4">
        <f t="shared" si="0"/>
        <v>21.736522440163206</v>
      </c>
      <c r="E4">
        <v>24</v>
      </c>
      <c r="F4">
        <f t="shared" si="1"/>
        <v>2.2634775598367938</v>
      </c>
    </row>
    <row r="5" spans="1:9" x14ac:dyDescent="0.3">
      <c r="A5" t="s">
        <v>169</v>
      </c>
      <c r="B5">
        <v>13.523982054851553</v>
      </c>
      <c r="C5">
        <v>13.410895529349652</v>
      </c>
      <c r="D5">
        <f t="shared" si="0"/>
        <v>15.118106926117541</v>
      </c>
      <c r="E5">
        <v>11</v>
      </c>
      <c r="F5">
        <f t="shared" si="1"/>
        <v>4.1181069261175409</v>
      </c>
      <c r="H5" t="s">
        <v>12</v>
      </c>
      <c r="I5" cm="1">
        <f t="array" ref="I5">(SUM(TableSOU[PP]-TableSOU[AP]))^2</f>
        <v>3.1554436208840472E-28</v>
      </c>
    </row>
    <row r="6" spans="1:9" x14ac:dyDescent="0.3">
      <c r="A6" t="s">
        <v>170</v>
      </c>
      <c r="B6">
        <v>15.439236544098158</v>
      </c>
      <c r="C6">
        <v>11.016502932330035</v>
      </c>
      <c r="D6">
        <f t="shared" si="0"/>
        <v>14.925453207720349</v>
      </c>
      <c r="E6">
        <v>17</v>
      </c>
      <c r="F6">
        <f t="shared" si="1"/>
        <v>2.0745467922796514</v>
      </c>
    </row>
    <row r="7" spans="1:9" x14ac:dyDescent="0.3">
      <c r="A7" t="s">
        <v>171</v>
      </c>
      <c r="B7">
        <v>11.187106939080955</v>
      </c>
      <c r="C7">
        <v>13.055373488943317</v>
      </c>
      <c r="D7">
        <f t="shared" si="0"/>
        <v>13.572055721256337</v>
      </c>
      <c r="E7">
        <v>15</v>
      </c>
      <c r="F7">
        <f t="shared" si="1"/>
        <v>1.4279442787436629</v>
      </c>
      <c r="H7" t="s">
        <v>15</v>
      </c>
      <c r="I7">
        <f>AVERAGE(TableSOU[DIFF])/5</f>
        <v>0.70666682234301048</v>
      </c>
    </row>
    <row r="8" spans="1:9" x14ac:dyDescent="0.3">
      <c r="A8" t="s">
        <v>172</v>
      </c>
      <c r="B8">
        <v>13.300257774557396</v>
      </c>
      <c r="C8">
        <v>17.844979927149307</v>
      </c>
      <c r="D8">
        <f t="shared" si="0"/>
        <v>17.398598064137527</v>
      </c>
      <c r="E8">
        <v>20</v>
      </c>
      <c r="F8">
        <f t="shared" si="1"/>
        <v>2.6014019358624729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4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173</v>
      </c>
      <c r="B2">
        <v>24.795099008309883</v>
      </c>
      <c r="C2">
        <v>19.623926544098378</v>
      </c>
      <c r="D2">
        <f t="shared" ref="D2:D14" si="0">B2*$I$2+C2*$I$3</f>
        <v>20.744592424736091</v>
      </c>
      <c r="E2">
        <v>27</v>
      </c>
      <c r="F2">
        <f t="shared" ref="F2:F14" si="1">ABS(D2-E2)</f>
        <v>6.2554075752639093</v>
      </c>
      <c r="H2" t="s">
        <v>7</v>
      </c>
      <c r="I2">
        <v>0.44169789680764426</v>
      </c>
    </row>
    <row r="3" spans="1:9" x14ac:dyDescent="0.3">
      <c r="A3" t="s">
        <v>174</v>
      </c>
      <c r="B3">
        <v>29.689795780901051</v>
      </c>
      <c r="C3">
        <v>35.417975607030847</v>
      </c>
      <c r="D3">
        <f t="shared" si="0"/>
        <v>30.788049673246881</v>
      </c>
      <c r="E3">
        <v>32</v>
      </c>
      <c r="F3">
        <f t="shared" si="1"/>
        <v>1.2119503267531186</v>
      </c>
      <c r="H3" t="s">
        <v>9</v>
      </c>
      <c r="I3">
        <v>0.49901579684486291</v>
      </c>
    </row>
    <row r="4" spans="1:9" x14ac:dyDescent="0.3">
      <c r="A4" t="s">
        <v>175</v>
      </c>
      <c r="B4">
        <v>19.250000001438973</v>
      </c>
      <c r="C4">
        <v>26.156032187133668</v>
      </c>
      <c r="D4">
        <f t="shared" si="0"/>
        <v>21.554957758345132</v>
      </c>
      <c r="E4">
        <v>23</v>
      </c>
      <c r="F4">
        <f t="shared" si="1"/>
        <v>1.4450422416548676</v>
      </c>
    </row>
    <row r="5" spans="1:9" x14ac:dyDescent="0.3">
      <c r="A5" t="s">
        <v>176</v>
      </c>
      <c r="B5">
        <v>40</v>
      </c>
      <c r="C5">
        <v>22.128523202583743</v>
      </c>
      <c r="D5">
        <f t="shared" si="0"/>
        <v>28.710398511243135</v>
      </c>
      <c r="E5">
        <v>18</v>
      </c>
      <c r="F5">
        <f t="shared" si="1"/>
        <v>10.710398511243135</v>
      </c>
      <c r="H5" t="s">
        <v>12</v>
      </c>
      <c r="I5" cm="1">
        <f t="array" ref="I5">(SUM(TableTOT[PP]-TableTOT[AP]))^2</f>
        <v>0</v>
      </c>
    </row>
    <row r="6" spans="1:9" x14ac:dyDescent="0.3">
      <c r="A6" t="s">
        <v>177</v>
      </c>
      <c r="B6">
        <v>15.263828328712986</v>
      </c>
      <c r="C6">
        <v>19.712514715737949</v>
      </c>
      <c r="D6">
        <f t="shared" si="0"/>
        <v>16.578857108715525</v>
      </c>
      <c r="E6">
        <v>20</v>
      </c>
      <c r="F6">
        <f t="shared" si="1"/>
        <v>3.4211428912844752</v>
      </c>
    </row>
    <row r="7" spans="1:9" x14ac:dyDescent="0.3">
      <c r="A7" t="s">
        <v>178</v>
      </c>
      <c r="B7">
        <v>14.764410559833399</v>
      </c>
      <c r="C7">
        <v>19.403804867262426</v>
      </c>
      <c r="D7">
        <f t="shared" si="0"/>
        <v>16.204214239542175</v>
      </c>
      <c r="E7">
        <v>21</v>
      </c>
      <c r="F7">
        <f t="shared" si="1"/>
        <v>4.7957857604578251</v>
      </c>
      <c r="H7" t="s">
        <v>15</v>
      </c>
      <c r="I7">
        <f>AVERAGE(TableTOT[DIFF])/5</f>
        <v>0.97231003493046908</v>
      </c>
    </row>
    <row r="8" spans="1:9" x14ac:dyDescent="0.3">
      <c r="A8" t="s">
        <v>179</v>
      </c>
      <c r="B8">
        <v>14.994856111917994</v>
      </c>
      <c r="C8">
        <v>20.775457136602991</v>
      </c>
      <c r="D8">
        <f t="shared" si="0"/>
        <v>16.990477705405663</v>
      </c>
      <c r="E8">
        <v>11</v>
      </c>
      <c r="F8">
        <f t="shared" si="1"/>
        <v>5.990477705405663</v>
      </c>
    </row>
    <row r="9" spans="1:9" x14ac:dyDescent="0.3">
      <c r="A9" t="s">
        <v>180</v>
      </c>
      <c r="B9">
        <v>14.875418192065414</v>
      </c>
      <c r="C9">
        <v>18.922676782055728</v>
      </c>
      <c r="D9">
        <f t="shared" si="0"/>
        <v>16.013155562404791</v>
      </c>
      <c r="E9">
        <v>26</v>
      </c>
      <c r="F9">
        <f t="shared" si="1"/>
        <v>9.9868444375952095</v>
      </c>
    </row>
    <row r="10" spans="1:9" x14ac:dyDescent="0.3">
      <c r="A10" t="s">
        <v>181</v>
      </c>
      <c r="B10">
        <v>20.357596296611103</v>
      </c>
      <c r="C10">
        <v>19.312079492121391</v>
      </c>
      <c r="D10">
        <f t="shared" si="0"/>
        <v>18.628940204764504</v>
      </c>
      <c r="E10">
        <v>17</v>
      </c>
      <c r="F10">
        <f t="shared" si="1"/>
        <v>1.6289402047645041</v>
      </c>
    </row>
    <row r="11" spans="1:9" x14ac:dyDescent="0.3">
      <c r="A11" t="s">
        <v>182</v>
      </c>
      <c r="B11">
        <v>22.110517930833439</v>
      </c>
      <c r="C11">
        <v>24.90578063911709</v>
      </c>
      <c r="D11">
        <f t="shared" si="0"/>
        <v>22.194547239049211</v>
      </c>
      <c r="E11">
        <v>25</v>
      </c>
      <c r="F11">
        <f t="shared" si="1"/>
        <v>2.8054527609507893</v>
      </c>
    </row>
    <row r="12" spans="1:9" x14ac:dyDescent="0.3">
      <c r="A12" t="s">
        <v>183</v>
      </c>
      <c r="B12">
        <v>22.294059450452757</v>
      </c>
      <c r="C12">
        <v>25.873588906694042</v>
      </c>
      <c r="D12">
        <f t="shared" si="0"/>
        <v>22.758568756079903</v>
      </c>
      <c r="E12">
        <v>14</v>
      </c>
      <c r="F12">
        <f t="shared" si="1"/>
        <v>8.758568756079903</v>
      </c>
    </row>
    <row r="13" spans="1:9" x14ac:dyDescent="0.3">
      <c r="A13" t="s">
        <v>184</v>
      </c>
      <c r="B13">
        <v>16</v>
      </c>
      <c r="C13">
        <v>22.934193027926689</v>
      </c>
      <c r="D13">
        <f t="shared" si="0"/>
        <v>18.511690957747042</v>
      </c>
      <c r="E13">
        <v>14</v>
      </c>
      <c r="F13">
        <f t="shared" si="1"/>
        <v>4.5116909577470423</v>
      </c>
    </row>
    <row r="14" spans="1:9" x14ac:dyDescent="0.3">
      <c r="A14" t="s">
        <v>185</v>
      </c>
      <c r="B14">
        <v>9.1628482106220019</v>
      </c>
      <c r="C14">
        <v>22.593150650951355</v>
      </c>
      <c r="D14">
        <f t="shared" si="0"/>
        <v>15.321549858719948</v>
      </c>
      <c r="E14">
        <v>17</v>
      </c>
      <c r="F14">
        <f t="shared" si="1"/>
        <v>1.6784501412800523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1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186</v>
      </c>
      <c r="B2">
        <v>15.703579209174674</v>
      </c>
      <c r="C2">
        <v>17.285929688183451</v>
      </c>
      <c r="D2">
        <f t="shared" ref="D2:D11" si="0">B2*$I$2+C2*$I$3</f>
        <v>14.206562301490013</v>
      </c>
      <c r="E2">
        <v>19</v>
      </c>
      <c r="F2">
        <f t="shared" ref="F2:F11" si="1">ABS(D2-E2)</f>
        <v>4.7934376985099867</v>
      </c>
      <c r="H2" t="s">
        <v>7</v>
      </c>
      <c r="I2">
        <v>0.43947175318640119</v>
      </c>
    </row>
    <row r="3" spans="1:9" x14ac:dyDescent="0.3">
      <c r="A3" t="s">
        <v>187</v>
      </c>
      <c r="B3">
        <v>37.099999979870901</v>
      </c>
      <c r="C3">
        <v>18.497001353976376</v>
      </c>
      <c r="D3">
        <f t="shared" si="0"/>
        <v>24.121501175704903</v>
      </c>
      <c r="E3">
        <v>19</v>
      </c>
      <c r="F3">
        <f t="shared" si="1"/>
        <v>5.1215011757049034</v>
      </c>
      <c r="H3" t="s">
        <v>9</v>
      </c>
      <c r="I3">
        <v>0.42261440066636075</v>
      </c>
    </row>
    <row r="4" spans="1:9" x14ac:dyDescent="0.3">
      <c r="A4" t="s">
        <v>188</v>
      </c>
      <c r="B4">
        <v>15.965531805171109</v>
      </c>
      <c r="C4">
        <v>14.424805080715865</v>
      </c>
      <c r="D4">
        <f t="shared" si="0"/>
        <v>13.112530606887606</v>
      </c>
      <c r="E4">
        <v>15</v>
      </c>
      <c r="F4">
        <f t="shared" si="1"/>
        <v>1.8874693931123936</v>
      </c>
    </row>
    <row r="5" spans="1:9" x14ac:dyDescent="0.3">
      <c r="A5" t="s">
        <v>189</v>
      </c>
      <c r="B5">
        <v>16.709401745665311</v>
      </c>
      <c r="C5">
        <v>20.16897725112219</v>
      </c>
      <c r="D5">
        <f t="shared" si="0"/>
        <v>15.867010312899914</v>
      </c>
      <c r="E5">
        <v>15</v>
      </c>
      <c r="F5">
        <f t="shared" si="1"/>
        <v>0.86701031289991448</v>
      </c>
      <c r="H5" t="s">
        <v>12</v>
      </c>
      <c r="I5" cm="1">
        <f t="array" ref="I5">(SUM(TableWHU[PP]-TableWHU[AP]))^2</f>
        <v>7.8886090522101181E-29</v>
      </c>
    </row>
    <row r="6" spans="1:9" x14ac:dyDescent="0.3">
      <c r="A6" t="s">
        <v>190</v>
      </c>
      <c r="B6">
        <v>14.02635758786333</v>
      </c>
      <c r="C6">
        <v>13.052747625989213</v>
      </c>
      <c r="D6">
        <f t="shared" si="0"/>
        <v>11.680467074964373</v>
      </c>
      <c r="E6">
        <v>11</v>
      </c>
      <c r="F6">
        <f t="shared" si="1"/>
        <v>0.68046707496437264</v>
      </c>
    </row>
    <row r="7" spans="1:9" x14ac:dyDescent="0.3">
      <c r="A7" t="s">
        <v>191</v>
      </c>
      <c r="B7">
        <v>28.265822785012819</v>
      </c>
      <c r="C7">
        <v>17.750115908260039</v>
      </c>
      <c r="D7">
        <f t="shared" si="0"/>
        <v>19.923485290913462</v>
      </c>
      <c r="E7">
        <v>22</v>
      </c>
      <c r="F7">
        <f t="shared" si="1"/>
        <v>2.0765147090865383</v>
      </c>
      <c r="H7" t="s">
        <v>15</v>
      </c>
      <c r="I7">
        <f>AVERAGE(TableWHU[DIFF])/5</f>
        <v>0.59204614829362356</v>
      </c>
    </row>
    <row r="8" spans="1:9" x14ac:dyDescent="0.3">
      <c r="A8" t="s">
        <v>192</v>
      </c>
      <c r="B8">
        <v>19.923992718786806</v>
      </c>
      <c r="C8">
        <v>23.738454970296353</v>
      </c>
      <c r="D8">
        <f t="shared" si="0"/>
        <v>18.788244930615516</v>
      </c>
      <c r="E8">
        <v>16</v>
      </c>
      <c r="F8">
        <f t="shared" si="1"/>
        <v>2.7882449306155159</v>
      </c>
    </row>
    <row r="9" spans="1:9" x14ac:dyDescent="0.3">
      <c r="A9" t="s">
        <v>193</v>
      </c>
      <c r="B9">
        <v>10.320330201451682</v>
      </c>
      <c r="C9">
        <v>15.192985558820947</v>
      </c>
      <c r="D9">
        <f t="shared" si="0"/>
        <v>10.956268093368324</v>
      </c>
      <c r="E9">
        <v>17</v>
      </c>
      <c r="F9">
        <f t="shared" si="1"/>
        <v>6.0437319066316757</v>
      </c>
    </row>
    <row r="10" spans="1:9" x14ac:dyDescent="0.3">
      <c r="A10" t="s">
        <v>194</v>
      </c>
      <c r="B10">
        <v>16.591951898359483</v>
      </c>
      <c r="C10">
        <v>14.541257215961632</v>
      </c>
      <c r="D10">
        <f t="shared" si="0"/>
        <v>13.437038892815497</v>
      </c>
      <c r="E10">
        <v>10</v>
      </c>
      <c r="F10">
        <f t="shared" si="1"/>
        <v>3.4370388928154973</v>
      </c>
    </row>
    <row r="11" spans="1:9" x14ac:dyDescent="0.3">
      <c r="A11" t="s">
        <v>195</v>
      </c>
      <c r="B11">
        <v>10.999563360885904</v>
      </c>
      <c r="C11">
        <v>23.834715310137163</v>
      </c>
      <c r="D11">
        <f t="shared" si="0"/>
        <v>14.906891320340382</v>
      </c>
      <c r="E11">
        <v>13</v>
      </c>
      <c r="F11">
        <f t="shared" si="1"/>
        <v>1.9068913203403817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196</v>
      </c>
      <c r="B2">
        <v>10.244664909545554</v>
      </c>
      <c r="C2">
        <v>15.494681693795879</v>
      </c>
      <c r="D2">
        <f>B2*$I$2+C2*$I$3</f>
        <v>11.783794320787907</v>
      </c>
      <c r="E2">
        <v>13</v>
      </c>
      <c r="F2">
        <f>ABS(D2-E2)</f>
        <v>1.2162056792120932</v>
      </c>
      <c r="H2" t="s">
        <v>7</v>
      </c>
      <c r="I2">
        <v>0.40380013056391434</v>
      </c>
    </row>
    <row r="3" spans="1:9" x14ac:dyDescent="0.3">
      <c r="A3" t="s">
        <v>197</v>
      </c>
      <c r="B3">
        <v>21.075648006137182</v>
      </c>
      <c r="C3">
        <v>20.616149280633003</v>
      </c>
      <c r="D3">
        <f>B3*$I$2+C3*$I$3</f>
        <v>18.684913880134452</v>
      </c>
      <c r="E3">
        <v>18</v>
      </c>
      <c r="F3">
        <f>ABS(D3-E3)</f>
        <v>0.68491388013445231</v>
      </c>
      <c r="H3" t="s">
        <v>9</v>
      </c>
      <c r="I3">
        <v>0.49352400028919235</v>
      </c>
    </row>
    <row r="4" spans="1:9" x14ac:dyDescent="0.3">
      <c r="A4" t="s">
        <v>198</v>
      </c>
      <c r="B4">
        <v>7.2113202737946294</v>
      </c>
      <c r="C4">
        <v>15.230633148735098</v>
      </c>
      <c r="D4">
        <f>B4*$I$2+C4*$I$3</f>
        <v>10.428615066597397</v>
      </c>
      <c r="E4">
        <v>14</v>
      </c>
      <c r="F4">
        <f>ABS(D4-E4)</f>
        <v>3.5713849334026033</v>
      </c>
    </row>
    <row r="5" spans="1:9" x14ac:dyDescent="0.3">
      <c r="A5" t="s">
        <v>199</v>
      </c>
      <c r="B5">
        <v>17.079943544606508</v>
      </c>
      <c r="C5">
        <v>16.626938698696446</v>
      </c>
      <c r="D5">
        <f>B5*$I$2+C5*$I$3</f>
        <v>15.102676732480241</v>
      </c>
      <c r="E5">
        <v>11</v>
      </c>
      <c r="F5">
        <f>ABS(D5-E5)</f>
        <v>4.1026767324802407</v>
      </c>
      <c r="H5" t="s">
        <v>12</v>
      </c>
      <c r="I5" cm="1">
        <f t="array" ref="I5">(SUM(TableWOL[PP]-TableWOL[AP]))^2</f>
        <v>1.2621774483536189E-29</v>
      </c>
    </row>
    <row r="7" spans="1:9" x14ac:dyDescent="0.3">
      <c r="H7" t="s">
        <v>15</v>
      </c>
      <c r="I7">
        <f>AVERAGE(TableWOL[DIFF])/5</f>
        <v>0.4787590612614695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2023-03-31T13:59:22Z</dcterms:created>
  <dcterms:modified xsi:type="dcterms:W3CDTF">2023-03-31T14:10:58Z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6aa60002-69ee-4430-8720-5d33c98a3027</vt:lpwstr>
  </property>
</Properties>
</file>