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4F00E779-F608-4D5D-94F6-5A93521D28BD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0" l="1"/>
  <c r="F4" i="20" s="1"/>
  <c r="D3" i="20"/>
  <c r="F3" i="20" s="1"/>
  <c r="D2" i="20"/>
  <c r="F2" i="20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5" i="17"/>
  <c r="F5" i="17" s="1"/>
  <c r="D4" i="17"/>
  <c r="F4" i="17" s="1"/>
  <c r="D3" i="17"/>
  <c r="F3" i="17" s="1"/>
  <c r="D2" i="17"/>
  <c r="F2" i="17" s="1"/>
  <c r="D5" i="16"/>
  <c r="D4" i="16"/>
  <c r="F4" i="16" s="1"/>
  <c r="D3" i="16"/>
  <c r="F3" i="16" s="1"/>
  <c r="D2" i="16"/>
  <c r="F2" i="16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D6" i="14"/>
  <c r="F6" i="14" s="1"/>
  <c r="D5" i="14"/>
  <c r="F5" i="14" s="1"/>
  <c r="D4" i="14"/>
  <c r="F4" i="14" s="1"/>
  <c r="D3" i="14"/>
  <c r="F3" i="14" s="1"/>
  <c r="D2" i="14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4" i="11"/>
  <c r="F4" i="11" s="1"/>
  <c r="D3" i="11"/>
  <c r="F3" i="11" s="1"/>
  <c r="D2" i="11"/>
  <c r="F2" i="11" s="1"/>
  <c r="D7" i="10"/>
  <c r="F7" i="10" s="1"/>
  <c r="D6" i="10"/>
  <c r="F6" i="10" s="1"/>
  <c r="D5" i="10"/>
  <c r="D4" i="10"/>
  <c r="F4" i="10" s="1"/>
  <c r="D3" i="10"/>
  <c r="F3" i="10" s="1"/>
  <c r="D2" i="10"/>
  <c r="F2" i="10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6" i="8"/>
  <c r="F6" i="8" s="1"/>
  <c r="D5" i="8"/>
  <c r="F5" i="8" s="1"/>
  <c r="D4" i="8"/>
  <c r="F4" i="8" s="1"/>
  <c r="D3" i="8"/>
  <c r="F3" i="8" s="1"/>
  <c r="D2" i="8"/>
  <c r="F2" i="8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3" i="6"/>
  <c r="F3" i="6" s="1"/>
  <c r="D2" i="6"/>
  <c r="F2" i="6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9" i="4"/>
  <c r="F9" i="4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F2" i="4" s="1"/>
  <c r="D4" i="3"/>
  <c r="F4" i="3" s="1"/>
  <c r="D3" i="3"/>
  <c r="F3" i="3" s="1"/>
  <c r="D2" i="3"/>
  <c r="D10" i="2"/>
  <c r="F10" i="2" s="1"/>
  <c r="D9" i="2"/>
  <c r="F9" i="2" s="1"/>
  <c r="D8" i="2"/>
  <c r="F8" i="2" s="1"/>
  <c r="D7" i="2"/>
  <c r="F7" i="2" s="1"/>
  <c r="D6" i="2"/>
  <c r="F6" i="2" s="1"/>
  <c r="D5" i="2"/>
  <c r="D4" i="2"/>
  <c r="F4" i="2" s="1"/>
  <c r="D3" i="2"/>
  <c r="F3" i="2" s="1"/>
  <c r="D2" i="2"/>
  <c r="F2" i="2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20" l="1" a="1"/>
  <c r="I5" i="20" s="1"/>
  <c r="I7" i="20"/>
  <c r="I5" i="19" a="1"/>
  <c r="I5" i="19" s="1"/>
  <c r="I5" i="18" a="1"/>
  <c r="I5" i="18" s="1"/>
  <c r="I5" i="17" a="1"/>
  <c r="I5" i="17" s="1"/>
  <c r="I7" i="17"/>
  <c r="I5" i="16" a="1"/>
  <c r="I5" i="16" s="1"/>
  <c r="I5" i="15" a="1"/>
  <c r="I5" i="15" s="1"/>
  <c r="F2" i="15"/>
  <c r="I7" i="15" s="1"/>
  <c r="I5" i="14" a="1"/>
  <c r="I5" i="14" s="1"/>
  <c r="F2" i="14"/>
  <c r="I7" i="14" s="1"/>
  <c r="I5" i="13" a="1"/>
  <c r="I5" i="13" s="1"/>
  <c r="I5" i="12" a="1"/>
  <c r="I5" i="12" s="1"/>
  <c r="I5" i="11" a="1"/>
  <c r="I5" i="11" s="1"/>
  <c r="I7" i="11"/>
  <c r="I5" i="10" a="1"/>
  <c r="I5" i="10" s="1"/>
  <c r="I5" i="9" a="1"/>
  <c r="I5" i="9" s="1"/>
  <c r="I7" i="8"/>
  <c r="I5" i="8" a="1"/>
  <c r="I5" i="8" s="1"/>
  <c r="I7" i="7"/>
  <c r="I5" i="7" a="1"/>
  <c r="I5" i="7" s="1"/>
  <c r="I5" i="6" a="1"/>
  <c r="I5" i="6" s="1"/>
  <c r="I5" i="5" a="1"/>
  <c r="I5" i="5" s="1"/>
  <c r="I7" i="5"/>
  <c r="I5" i="4" a="1"/>
  <c r="I5" i="4" s="1"/>
  <c r="I5" i="3" a="1"/>
  <c r="I5" i="3" s="1"/>
  <c r="F2" i="3"/>
  <c r="I7" i="3" s="1"/>
  <c r="I5" i="2" a="1"/>
  <c r="I5" i="2" s="1"/>
  <c r="I5" i="1" a="1"/>
  <c r="I5" i="1" s="1"/>
  <c r="I7" i="1"/>
  <c r="I7" i="13"/>
  <c r="I7" i="12"/>
  <c r="I7" i="9"/>
  <c r="I7" i="19"/>
  <c r="I7" i="6"/>
  <c r="I7" i="18"/>
  <c r="F5" i="2"/>
  <c r="I7" i="2" s="1"/>
  <c r="F5" i="10"/>
  <c r="I7" i="10" s="1"/>
  <c r="F5" i="16"/>
  <c r="I7" i="16" s="1"/>
  <c r="F5" i="4"/>
  <c r="I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<sst xmlns="http://schemas.openxmlformats.org/spreadsheetml/2006/main" count="320" uniqueCount="129">
  <si>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</si>
  <si>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</si>
  <si>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</si>
  <si>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</si>
  <si>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</si>
  <si>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</si>
  <si>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</si>
  <si>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</si>
  <si>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</si>
  <si>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</si>
  <si>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</si>
  <si>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</si>
  <si>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</si>
  <si>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</si>
  <si>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</si>
  <si>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</si>
  <si>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</si>
  <si>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</si>
  <si>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</si>
  <si>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</si>
  <si>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Trossard</t>
  </si>
  <si>
    <t>Jorginho</t>
  </si>
  <si>
    <t>Martínez</t>
  </si>
  <si>
    <t>McGinn</t>
  </si>
  <si>
    <t>Watkins</t>
  </si>
  <si>
    <t>Buendía</t>
  </si>
  <si>
    <t>Cash</t>
  </si>
  <si>
    <t>Konsa</t>
  </si>
  <si>
    <t>Bailey</t>
  </si>
  <si>
    <t>Douglas Luiz</t>
  </si>
  <si>
    <t>Ramsey</t>
  </si>
  <si>
    <t>Lerma</t>
  </si>
  <si>
    <t>Solanke</t>
  </si>
  <si>
    <t>Billing</t>
  </si>
  <si>
    <t>Toney</t>
  </si>
  <si>
    <t>Raya</t>
  </si>
  <si>
    <t>Henry</t>
  </si>
  <si>
    <t>Janelt</t>
  </si>
  <si>
    <t>Jensen</t>
  </si>
  <si>
    <t>Wissa</t>
  </si>
  <si>
    <t>Mbeumo</t>
  </si>
  <si>
    <t>Mee</t>
  </si>
  <si>
    <t>Groß</t>
  </si>
  <si>
    <t>Dunk</t>
  </si>
  <si>
    <t>March</t>
  </si>
  <si>
    <t>Veltman</t>
  </si>
  <si>
    <t>Sánchez</t>
  </si>
  <si>
    <t>Mac Allister</t>
  </si>
  <si>
    <t>Caicedo</t>
  </si>
  <si>
    <t>Cucurella</t>
  </si>
  <si>
    <t>Havertz</t>
  </si>
  <si>
    <t>Guaita</t>
  </si>
  <si>
    <t>J.Ayew</t>
  </si>
  <si>
    <t>Schlupp</t>
  </si>
  <si>
    <t>Andersen</t>
  </si>
  <si>
    <t>Guéhi</t>
  </si>
  <si>
    <t>Mitchell</t>
  </si>
  <si>
    <t>Pickford</t>
  </si>
  <si>
    <t>Iwobi</t>
  </si>
  <si>
    <t>Gray</t>
  </si>
  <si>
    <t>Tarkowski</t>
  </si>
  <si>
    <t>McNeil</t>
  </si>
  <si>
    <t>Ream</t>
  </si>
  <si>
    <t>Reed</t>
  </si>
  <si>
    <t>Tete</t>
  </si>
  <si>
    <t>Robinson</t>
  </si>
  <si>
    <t>Palhinha</t>
  </si>
  <si>
    <t>Andreas</t>
  </si>
  <si>
    <t>Rodrigo</t>
  </si>
  <si>
    <t>Harrison</t>
  </si>
  <si>
    <t>Struijk</t>
  </si>
  <si>
    <t>Meslier</t>
  </si>
  <si>
    <t>Roca</t>
  </si>
  <si>
    <t>Aaronson</t>
  </si>
  <si>
    <t>Ward</t>
  </si>
  <si>
    <t>Maddison</t>
  </si>
  <si>
    <t>Daka</t>
  </si>
  <si>
    <t>Van Dijk</t>
  </si>
  <si>
    <t>Alisson</t>
  </si>
  <si>
    <t>Salah</t>
  </si>
  <si>
    <t>Robertson</t>
  </si>
  <si>
    <t>Alexander-Arnold</t>
  </si>
  <si>
    <t>Elliott</t>
  </si>
  <si>
    <t>Darwin</t>
  </si>
  <si>
    <t>Gündogan</t>
  </si>
  <si>
    <t>De Bruyne</t>
  </si>
  <si>
    <t>Ederson</t>
  </si>
  <si>
    <t>Bernardo</t>
  </si>
  <si>
    <t>Foden</t>
  </si>
  <si>
    <t>Rodri</t>
  </si>
  <si>
    <t>Haaland</t>
  </si>
  <si>
    <t>Álvarez</t>
  </si>
  <si>
    <t>De Gea</t>
  </si>
  <si>
    <t>Shaw</t>
  </si>
  <si>
    <t>Fernandes</t>
  </si>
  <si>
    <t>Rashford</t>
  </si>
  <si>
    <t>Trippier</t>
  </si>
  <si>
    <t>Schär</t>
  </si>
  <si>
    <t>Almirón</t>
  </si>
  <si>
    <t>S.Longstaff</t>
  </si>
  <si>
    <t>Joelinton</t>
  </si>
  <si>
    <t>Willock</t>
  </si>
  <si>
    <t>Bruno Guimarães</t>
  </si>
  <si>
    <t>Wood</t>
  </si>
  <si>
    <t>Worrall</t>
  </si>
  <si>
    <t>Johnson</t>
  </si>
  <si>
    <t>Gibbs-White</t>
  </si>
  <si>
    <t>Ward-Prowse</t>
  </si>
  <si>
    <t>Walker-Peters</t>
  </si>
  <si>
    <t>Perraud</t>
  </si>
  <si>
    <t>Bazunu</t>
  </si>
  <si>
    <t>Lloris</t>
  </si>
  <si>
    <t>Kane</t>
  </si>
  <si>
    <t>Son</t>
  </si>
  <si>
    <t>Dier</t>
  </si>
  <si>
    <t>Davies</t>
  </si>
  <si>
    <t>Højbjerg</t>
  </si>
  <si>
    <t>Emerson Royal</t>
  </si>
  <si>
    <t>Perišić</t>
  </si>
  <si>
    <t>Ings</t>
  </si>
  <si>
    <t>Fabianski</t>
  </si>
  <si>
    <t>Antonio</t>
  </si>
  <si>
    <t>Benrahma</t>
  </si>
  <si>
    <t>Bowen</t>
  </si>
  <si>
    <t>Rice</t>
  </si>
  <si>
    <t>Soucek</t>
  </si>
  <si>
    <t>Sá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</si>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</sst>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3">
  <autoFilter ref="A1:F13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4">
  <autoFilter ref="A1:F4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9">
  <autoFilter ref="A1:F9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>
  <autoFilter ref="A1:F8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3">
  <autoFilter ref="A1:F3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7">
  <autoFilter ref="A1:F7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7">
  <autoFilter ref="A1:F7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7">
  <autoFilter ref="A1:F7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4">
  <autoFilter ref="A1:F4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9">
  <autoFilter ref="A1:F9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6">
  <autoFilter ref="A1:F6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8">
  <autoFilter ref="A1:F8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5">
  <autoFilter ref="A1:F5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9">
  <autoFilter ref="A1:F9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8">
  <autoFilter ref="A1:F8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4">
  <autoFilter ref="A1:F4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13.582089538524825</v>
      </c>
      <c r="C2">
        <v>18.8363460936217</v>
      </c>
      <c r="D2">
        <f t="shared" ref="D2:D13" si="0">B2*$I$2+C2*$I$3</f>
        <v>18.652305770967629</v>
      </c>
      <c r="E2">
        <v>25</v>
      </c>
      <c r="F2">
        <f t="shared" ref="F2:F13" si="1">ABS(D2-E2)</f>
        <v>6.3476942290323706</v>
      </c>
      <c r="H2" t="s">
        <v>7</v>
      </c>
      <c r="I2">
        <v>0.5045181877559417</v>
      </c>
    </row>
    <row r="3" spans="1:9" x14ac:dyDescent="0.3">
      <c r="A3" t="s">
        <v>8</v>
      </c>
      <c r="B3">
        <v>12.301587301587302</v>
      </c>
      <c r="C3">
        <v>16.623005203060195</v>
      </c>
      <c r="D3">
        <f t="shared" si="0"/>
        <v>16.619737499196852</v>
      </c>
      <c r="E3">
        <v>15</v>
      </c>
      <c r="F3">
        <f t="shared" si="1"/>
        <v>1.6197374991968516</v>
      </c>
      <c r="H3" t="s">
        <v>9</v>
      </c>
      <c r="I3">
        <v>0.62644286277197847</v>
      </c>
    </row>
    <row r="4" spans="1:9" x14ac:dyDescent="0.3">
      <c r="A4" t="s">
        <v>10</v>
      </c>
      <c r="B4">
        <v>20.518564647708352</v>
      </c>
      <c r="C4">
        <v>32.376862596785237</v>
      </c>
      <c r="D4">
        <f t="shared" si="0"/>
        <v>30.634243544120086</v>
      </c>
      <c r="E4">
        <v>25</v>
      </c>
      <c r="F4">
        <f t="shared" si="1"/>
        <v>5.6342435441200855</v>
      </c>
    </row>
    <row r="5" spans="1:9" x14ac:dyDescent="0.3">
      <c r="A5" t="s">
        <v>11</v>
      </c>
      <c r="B5">
        <v>29</v>
      </c>
      <c r="C5">
        <v>25.843399238052395</v>
      </c>
      <c r="D5">
        <f t="shared" si="0"/>
        <v>30.820440447367019</v>
      </c>
      <c r="E5">
        <v>32</v>
      </c>
      <c r="F5">
        <f t="shared" si="1"/>
        <v>1.1795595526329805</v>
      </c>
      <c r="H5" t="s">
        <v>12</v>
      </c>
      <c r="I5" cm="1">
        <f t="array" ref="I5">(SUM(TableARS[PP]-TableARS[AP]))^2</f>
        <v>1.0223637331664313E-27</v>
      </c>
    </row>
    <row r="6" spans="1:9" x14ac:dyDescent="0.3">
      <c r="A6" t="s">
        <v>13</v>
      </c>
      <c r="B6">
        <v>12.097346732867361</v>
      </c>
      <c r="C6">
        <v>21.52057005767859</v>
      </c>
      <c r="D6">
        <f t="shared" si="0"/>
        <v>19.584738965738602</v>
      </c>
      <c r="E6">
        <v>25</v>
      </c>
      <c r="F6">
        <f t="shared" si="1"/>
        <v>5.4152610342613983</v>
      </c>
    </row>
    <row r="7" spans="1:9" x14ac:dyDescent="0.3">
      <c r="A7" t="s">
        <v>14</v>
      </c>
      <c r="B7">
        <v>20.413560687363766</v>
      </c>
      <c r="C7">
        <v>31.11538888364877</v>
      </c>
      <c r="D7">
        <f t="shared" si="0"/>
        <v>29.791025932171031</v>
      </c>
      <c r="E7">
        <v>36</v>
      </c>
      <c r="F7">
        <f t="shared" si="1"/>
        <v>6.2089740678289687</v>
      </c>
      <c r="H7" t="s">
        <v>15</v>
      </c>
      <c r="I7">
        <f>AVERAGE(TableARS[DIFF])/5</f>
        <v>1.136210577676726</v>
      </c>
    </row>
    <row r="8" spans="1:9" x14ac:dyDescent="0.3">
      <c r="A8" t="s">
        <v>16</v>
      </c>
      <c r="B8">
        <v>18.04</v>
      </c>
      <c r="C8">
        <v>22.224354921605823</v>
      </c>
      <c r="D8">
        <f t="shared" si="0"/>
        <v>23.02379662746845</v>
      </c>
      <c r="E8">
        <v>20</v>
      </c>
      <c r="F8">
        <f t="shared" si="1"/>
        <v>3.0237966274684496</v>
      </c>
    </row>
    <row r="9" spans="1:9" x14ac:dyDescent="0.3">
      <c r="A9" t="s">
        <v>17</v>
      </c>
      <c r="B9">
        <v>20.007439368997012</v>
      </c>
      <c r="C9">
        <v>25.902054074522979</v>
      </c>
      <c r="D9">
        <f t="shared" si="0"/>
        <v>26.320273958202016</v>
      </c>
      <c r="E9">
        <v>25</v>
      </c>
      <c r="F9">
        <f t="shared" si="1"/>
        <v>1.3202739582020158</v>
      </c>
    </row>
    <row r="10" spans="1:9" x14ac:dyDescent="0.3">
      <c r="A10" t="s">
        <v>18</v>
      </c>
      <c r="B10">
        <v>22.572846029641269</v>
      </c>
      <c r="C10">
        <v>29.788147147240693</v>
      </c>
      <c r="D10">
        <f t="shared" si="0"/>
        <v>30.048983546958922</v>
      </c>
      <c r="E10">
        <v>38</v>
      </c>
      <c r="F10">
        <f t="shared" si="1"/>
        <v>7.9510164530410776</v>
      </c>
    </row>
    <row r="11" spans="1:9" x14ac:dyDescent="0.3">
      <c r="A11" t="s">
        <v>19</v>
      </c>
      <c r="B11">
        <v>28.130557708284094</v>
      </c>
      <c r="C11">
        <v>24.514523404414145</v>
      </c>
      <c r="D11">
        <f t="shared" si="0"/>
        <v>29.549326216499296</v>
      </c>
      <c r="E11">
        <v>16</v>
      </c>
      <c r="F11">
        <f t="shared" si="1"/>
        <v>13.549326216499296</v>
      </c>
    </row>
    <row r="12" spans="1:9" x14ac:dyDescent="0.3">
      <c r="A12" t="s">
        <v>20</v>
      </c>
      <c r="B12">
        <v>19.311606467770449</v>
      </c>
      <c r="C12">
        <v>24.380725228693144</v>
      </c>
      <c r="D12">
        <f t="shared" si="0"/>
        <v>25.016188006495003</v>
      </c>
      <c r="E12">
        <v>32</v>
      </c>
      <c r="F12">
        <f t="shared" si="1"/>
        <v>6.9838119935049967</v>
      </c>
    </row>
    <row r="13" spans="1:9" x14ac:dyDescent="0.3">
      <c r="A13" t="s">
        <v>21</v>
      </c>
      <c r="B13">
        <v>17.18993635432814</v>
      </c>
      <c r="C13">
        <v>16.388252716714764</v>
      </c>
      <c r="D13">
        <f t="shared" si="0"/>
        <v>18.938939484815062</v>
      </c>
      <c r="E13">
        <v>10</v>
      </c>
      <c r="F13">
        <f t="shared" si="1"/>
        <v>8.9389394848150623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22</v>
      </c>
      <c r="B2">
        <v>14.761904739655343</v>
      </c>
      <c r="C2">
        <v>20.73870351077348</v>
      </c>
      <c r="D2">
        <f t="shared" ref="D2:D10" si="0">B2*$I$2+C2*$I$3</f>
        <v>24.914474954476553</v>
      </c>
      <c r="E2">
        <v>29</v>
      </c>
      <c r="F2">
        <f t="shared" ref="F2:F10" si="1">ABS(D2-E2)</f>
        <v>4.0855250455234469</v>
      </c>
      <c r="H2" t="s">
        <v>7</v>
      </c>
      <c r="I2">
        <v>0.63537025666955627</v>
      </c>
    </row>
    <row r="3" spans="1:9" x14ac:dyDescent="0.3">
      <c r="A3" t="s">
        <v>23</v>
      </c>
      <c r="B3">
        <v>14.593328899649986</v>
      </c>
      <c r="C3">
        <v>15.487143824110916</v>
      </c>
      <c r="D3">
        <f t="shared" si="0"/>
        <v>20.873464806511819</v>
      </c>
      <c r="E3">
        <v>21</v>
      </c>
      <c r="F3">
        <f t="shared" si="1"/>
        <v>0.12653519348818065</v>
      </c>
      <c r="H3" t="s">
        <v>9</v>
      </c>
      <c r="I3">
        <v>0.74909213794583973</v>
      </c>
    </row>
    <row r="4" spans="1:9" x14ac:dyDescent="0.3">
      <c r="A4" t="s">
        <v>24</v>
      </c>
      <c r="B4">
        <v>25.383697680708494</v>
      </c>
      <c r="C4">
        <v>24.068609725794197</v>
      </c>
      <c r="D4">
        <f t="shared" si="0"/>
        <v>34.157652827493379</v>
      </c>
      <c r="E4">
        <v>30</v>
      </c>
      <c r="F4">
        <f t="shared" si="1"/>
        <v>4.1576528274933793</v>
      </c>
    </row>
    <row r="5" spans="1:9" x14ac:dyDescent="0.3">
      <c r="A5" t="s">
        <v>25</v>
      </c>
      <c r="B5">
        <v>16.351851864830284</v>
      </c>
      <c r="C5">
        <v>17.547157344888316</v>
      </c>
      <c r="D5">
        <f t="shared" si="0"/>
        <v>23.533917926734212</v>
      </c>
      <c r="E5">
        <v>25</v>
      </c>
      <c r="F5">
        <f t="shared" si="1"/>
        <v>1.4660820732657882</v>
      </c>
      <c r="H5" t="s">
        <v>12</v>
      </c>
      <c r="I5" cm="1">
        <f t="array" ref="I5">(SUM(TableAVL[PP]-TableAVL[AP]))^2</f>
        <v>1.135959703518257E-28</v>
      </c>
    </row>
    <row r="6" spans="1:9" x14ac:dyDescent="0.3">
      <c r="A6" t="s">
        <v>26</v>
      </c>
      <c r="B6">
        <v>7.0561870800913082</v>
      </c>
      <c r="C6">
        <v>18.245905411091787</v>
      </c>
      <c r="D6">
        <f t="shared" si="0"/>
        <v>18.151155689338335</v>
      </c>
      <c r="E6">
        <v>29</v>
      </c>
      <c r="F6">
        <f t="shared" si="1"/>
        <v>10.848844310661665</v>
      </c>
    </row>
    <row r="7" spans="1:9" x14ac:dyDescent="0.3">
      <c r="A7" t="s">
        <v>27</v>
      </c>
      <c r="B7">
        <v>17.740986482275879</v>
      </c>
      <c r="C7">
        <v>14.378508589759019</v>
      </c>
      <c r="D7">
        <f t="shared" si="0"/>
        <v>22.042922874789959</v>
      </c>
      <c r="E7">
        <v>24</v>
      </c>
      <c r="F7">
        <f t="shared" si="1"/>
        <v>1.9570771252100414</v>
      </c>
      <c r="H7" t="s">
        <v>15</v>
      </c>
      <c r="I7">
        <f>AVERAGE(TableAVL[DIFF])/5</f>
        <v>0.82151394436218295</v>
      </c>
    </row>
    <row r="8" spans="1:9" x14ac:dyDescent="0.3">
      <c r="A8" t="s">
        <v>28</v>
      </c>
      <c r="B8">
        <v>17.875</v>
      </c>
      <c r="C8">
        <v>18.465085458773881</v>
      </c>
      <c r="D8">
        <f t="shared" si="0"/>
        <v>25.189293681633885</v>
      </c>
      <c r="E8">
        <v>14</v>
      </c>
      <c r="F8">
        <f t="shared" si="1"/>
        <v>11.189293681633885</v>
      </c>
    </row>
    <row r="9" spans="1:9" x14ac:dyDescent="0.3">
      <c r="A9" t="s">
        <v>29</v>
      </c>
      <c r="B9">
        <v>12.198995922523197</v>
      </c>
      <c r="C9">
        <v>17.34519935733897</v>
      </c>
      <c r="D9">
        <f t="shared" si="0"/>
        <v>20.744031640090288</v>
      </c>
      <c r="E9">
        <v>20</v>
      </c>
      <c r="F9">
        <f t="shared" si="1"/>
        <v>0.74403164009028799</v>
      </c>
    </row>
    <row r="10" spans="1:9" x14ac:dyDescent="0.3">
      <c r="A10" t="s">
        <v>30</v>
      </c>
      <c r="B10">
        <v>12.987401351362063</v>
      </c>
      <c r="C10">
        <v>17.542938182320416</v>
      </c>
      <c r="D10">
        <f t="shared" si="0"/>
        <v>21.39308559893156</v>
      </c>
      <c r="E10">
        <v>19</v>
      </c>
      <c r="F10">
        <f t="shared" si="1"/>
        <v>2.3930855989315596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31</v>
      </c>
      <c r="B2">
        <v>12.351561441655502</v>
      </c>
      <c r="C2">
        <v>16.719494492376853</v>
      </c>
      <c r="D2">
        <f>B2*$I$2+C2*$I$3</f>
        <v>18.280710226316788</v>
      </c>
      <c r="E2">
        <v>14</v>
      </c>
      <c r="F2">
        <f>ABS(D2-E2)</f>
        <v>4.2807102263167884</v>
      </c>
      <c r="H2" t="s">
        <v>7</v>
      </c>
      <c r="I2">
        <v>0.56469436821291408</v>
      </c>
    </row>
    <row r="3" spans="1:9" x14ac:dyDescent="0.3">
      <c r="A3" t="s">
        <v>32</v>
      </c>
      <c r="B3">
        <v>12.597714661200683</v>
      </c>
      <c r="C3">
        <v>15.087588279826107</v>
      </c>
      <c r="D3">
        <f>B3*$I$2+C3*$I$3</f>
        <v>17.316203809025364</v>
      </c>
      <c r="E3">
        <v>13</v>
      </c>
      <c r="F3">
        <f>ABS(D3-E3)</f>
        <v>4.3162038090253638</v>
      </c>
      <c r="H3" t="s">
        <v>9</v>
      </c>
      <c r="I3">
        <v>0.67620782714052607</v>
      </c>
    </row>
    <row r="4" spans="1:9" x14ac:dyDescent="0.3">
      <c r="A4" t="s">
        <v>33</v>
      </c>
      <c r="B4">
        <v>12.156827199090651</v>
      </c>
      <c r="C4">
        <v>12.626582786092793</v>
      </c>
      <c r="D4">
        <f>B4*$I$2+C4*$I$3</f>
        <v>15.403085964657844</v>
      </c>
      <c r="E4">
        <v>24</v>
      </c>
      <c r="F4">
        <f>ABS(D4-E4)</f>
        <v>8.5969140353421558</v>
      </c>
    </row>
    <row r="5" spans="1:9" x14ac:dyDescent="0.3">
      <c r="H5" t="s">
        <v>12</v>
      </c>
      <c r="I5" cm="1">
        <f t="array" ref="I5">(SUM(TableBOU[PP]-TableBOU[AP]))^2</f>
        <v>1.2621774483536189E-29</v>
      </c>
    </row>
    <row r="7" spans="1:9" x14ac:dyDescent="0.3">
      <c r="H7" t="s">
        <v>15</v>
      </c>
      <c r="I7">
        <f>AVERAGE(TableBOU[DIFF])/5</f>
        <v>1.1462552047122871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34</v>
      </c>
      <c r="B2">
        <v>22.163912926553241</v>
      </c>
      <c r="C2">
        <v>29.640044573275372</v>
      </c>
      <c r="D2">
        <f t="shared" ref="D2:D9" si="0">B2*$I$2+C2*$I$3</f>
        <v>18.231305975860018</v>
      </c>
      <c r="E2">
        <v>25</v>
      </c>
      <c r="F2">
        <f t="shared" ref="F2:F9" si="1">ABS(D2-E2)</f>
        <v>6.7686940241399824</v>
      </c>
      <c r="H2" t="s">
        <v>7</v>
      </c>
      <c r="I2">
        <v>0.38568399698216888</v>
      </c>
    </row>
    <row r="3" spans="1:9" x14ac:dyDescent="0.3">
      <c r="A3" t="s">
        <v>35</v>
      </c>
      <c r="B3">
        <v>66.999999999193946</v>
      </c>
      <c r="C3">
        <v>25.620512330674948</v>
      </c>
      <c r="D3">
        <f t="shared" si="0"/>
        <v>34.210735305667193</v>
      </c>
      <c r="E3">
        <v>15</v>
      </c>
      <c r="F3">
        <f t="shared" si="1"/>
        <v>19.210735305667193</v>
      </c>
      <c r="H3" t="s">
        <v>9</v>
      </c>
      <c r="I3">
        <v>0.32668774925908212</v>
      </c>
    </row>
    <row r="4" spans="1:9" x14ac:dyDescent="0.3">
      <c r="A4" t="s">
        <v>36</v>
      </c>
      <c r="B4">
        <v>16.32075473980661</v>
      </c>
      <c r="C4">
        <v>18.544749682467234</v>
      </c>
      <c r="D4">
        <f t="shared" si="0"/>
        <v>12.352996456152589</v>
      </c>
      <c r="E4">
        <v>13</v>
      </c>
      <c r="F4">
        <f t="shared" si="1"/>
        <v>0.64700354384741132</v>
      </c>
    </row>
    <row r="5" spans="1:9" x14ac:dyDescent="0.3">
      <c r="A5" t="s">
        <v>37</v>
      </c>
      <c r="B5">
        <v>18.529731279559769</v>
      </c>
      <c r="C5">
        <v>16.807939695465706</v>
      </c>
      <c r="D5">
        <f t="shared" si="0"/>
        <v>12.637568811700204</v>
      </c>
      <c r="E5">
        <v>12</v>
      </c>
      <c r="F5">
        <f t="shared" si="1"/>
        <v>0.63756881170020385</v>
      </c>
      <c r="H5" t="s">
        <v>12</v>
      </c>
      <c r="I5" cm="1">
        <f t="array" ref="I5">(SUM(TableBRE[PP]-TableBRE[AP]))^2</f>
        <v>2.8398992587956425E-29</v>
      </c>
    </row>
    <row r="6" spans="1:9" x14ac:dyDescent="0.3">
      <c r="A6" t="s">
        <v>38</v>
      </c>
      <c r="B6">
        <v>12.905306122200766</v>
      </c>
      <c r="C6">
        <v>17.522016193341059</v>
      </c>
      <c r="D6">
        <f t="shared" si="0"/>
        <v>10.701598080172626</v>
      </c>
      <c r="E6">
        <v>27</v>
      </c>
      <c r="F6">
        <f t="shared" si="1"/>
        <v>16.298401919827374</v>
      </c>
    </row>
    <row r="7" spans="1:9" x14ac:dyDescent="0.3">
      <c r="A7" t="s">
        <v>39</v>
      </c>
      <c r="B7">
        <v>32.089278373688856</v>
      </c>
      <c r="C7">
        <v>16.953275442090536</v>
      </c>
      <c r="D7">
        <f t="shared" si="0"/>
        <v>17.914748540183616</v>
      </c>
      <c r="E7">
        <v>14</v>
      </c>
      <c r="F7">
        <f t="shared" si="1"/>
        <v>3.9147485401836164</v>
      </c>
      <c r="H7" t="s">
        <v>15</v>
      </c>
      <c r="I7">
        <f>AVERAGE(TableBRE[DIFF])/5</f>
        <v>1.2417296321577538</v>
      </c>
    </row>
    <row r="8" spans="1:9" x14ac:dyDescent="0.3">
      <c r="A8" t="s">
        <v>40</v>
      </c>
      <c r="B8">
        <v>14.047634443393063</v>
      </c>
      <c r="C8">
        <v>19.77900628059086</v>
      </c>
      <c r="D8">
        <f t="shared" si="0"/>
        <v>11.879506844659698</v>
      </c>
      <c r="E8">
        <v>13</v>
      </c>
      <c r="F8">
        <f t="shared" si="1"/>
        <v>1.1204931553403021</v>
      </c>
    </row>
    <row r="9" spans="1:9" x14ac:dyDescent="0.3">
      <c r="A9" t="s">
        <v>41</v>
      </c>
      <c r="B9">
        <v>16.218788129535294</v>
      </c>
      <c r="C9">
        <v>23.925638385047705</v>
      </c>
      <c r="D9">
        <f t="shared" si="0"/>
        <v>14.071539985604062</v>
      </c>
      <c r="E9">
        <v>13</v>
      </c>
      <c r="F9">
        <f t="shared" si="1"/>
        <v>1.0715399856040619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42</v>
      </c>
      <c r="B2">
        <v>16.210677182489164</v>
      </c>
      <c r="C2">
        <v>23.361167913693489</v>
      </c>
      <c r="D2">
        <f t="shared" ref="D2:D8" si="0">B2*$I$2+C2*$I$3</f>
        <v>21.193896668671229</v>
      </c>
      <c r="E2">
        <v>19</v>
      </c>
      <c r="F2">
        <f t="shared" ref="F2:F8" si="1">ABS(D2-E2)</f>
        <v>2.1938966686712291</v>
      </c>
      <c r="H2" t="s">
        <v>7</v>
      </c>
      <c r="I2">
        <v>0.498483627474474</v>
      </c>
    </row>
    <row r="3" spans="1:9" x14ac:dyDescent="0.3">
      <c r="A3" t="s">
        <v>43</v>
      </c>
      <c r="B3">
        <v>18.335616377492244</v>
      </c>
      <c r="C3">
        <v>19.086909928050368</v>
      </c>
      <c r="D3">
        <f t="shared" si="0"/>
        <v>19.853908658482169</v>
      </c>
      <c r="E3">
        <v>23</v>
      </c>
      <c r="F3">
        <f t="shared" si="1"/>
        <v>3.1460913415178311</v>
      </c>
      <c r="H3" t="s">
        <v>9</v>
      </c>
      <c r="I3">
        <v>0.56132208592361887</v>
      </c>
    </row>
    <row r="4" spans="1:9" x14ac:dyDescent="0.3">
      <c r="A4" t="s">
        <v>44</v>
      </c>
      <c r="B4">
        <v>23.284250092552185</v>
      </c>
      <c r="C4">
        <v>31.29147713226433</v>
      </c>
      <c r="D4">
        <f t="shared" si="0"/>
        <v>29.171414664672099</v>
      </c>
      <c r="E4">
        <v>27</v>
      </c>
      <c r="F4">
        <f t="shared" si="1"/>
        <v>2.1714146646720991</v>
      </c>
    </row>
    <row r="5" spans="1:9" x14ac:dyDescent="0.3">
      <c r="A5" t="s">
        <v>45</v>
      </c>
      <c r="B5">
        <v>19.066954168213968</v>
      </c>
      <c r="C5">
        <v>18.547381110821224</v>
      </c>
      <c r="D5">
        <f t="shared" si="0"/>
        <v>19.91561913220734</v>
      </c>
      <c r="E5">
        <v>29</v>
      </c>
      <c r="F5">
        <f t="shared" si="1"/>
        <v>9.0843808677926603</v>
      </c>
      <c r="H5" t="s">
        <v>12</v>
      </c>
      <c r="I5" cm="1">
        <f t="array" ref="I5">(SUM(TableBHA[PP]-TableBHA[AP]))^2</f>
        <v>1.135959703518257E-28</v>
      </c>
    </row>
    <row r="6" spans="1:9" x14ac:dyDescent="0.3">
      <c r="A6" t="s">
        <v>46</v>
      </c>
      <c r="B6">
        <v>32.799999968607104</v>
      </c>
      <c r="C6">
        <v>18.961166062508525</v>
      </c>
      <c r="D6">
        <f t="shared" si="0"/>
        <v>26.993584251265318</v>
      </c>
      <c r="E6">
        <v>20</v>
      </c>
      <c r="F6">
        <f t="shared" si="1"/>
        <v>6.9935842512653181</v>
      </c>
    </row>
    <row r="7" spans="1:9" x14ac:dyDescent="0.3">
      <c r="A7" t="s">
        <v>47</v>
      </c>
      <c r="B7">
        <v>14.054054078192355</v>
      </c>
      <c r="C7">
        <v>19.500976418965067</v>
      </c>
      <c r="D7">
        <f t="shared" si="0"/>
        <v>17.952044618660523</v>
      </c>
      <c r="E7">
        <v>23</v>
      </c>
      <c r="F7">
        <f t="shared" si="1"/>
        <v>5.0479553813394773</v>
      </c>
      <c r="H7" t="s">
        <v>15</v>
      </c>
      <c r="I7">
        <f>AVERAGE(TableBHA[DIFF])/5</f>
        <v>0.98733871946571217</v>
      </c>
    </row>
    <row r="8" spans="1:9" x14ac:dyDescent="0.3">
      <c r="A8" t="s">
        <v>48</v>
      </c>
      <c r="B8">
        <v>11.578947352334572</v>
      </c>
      <c r="C8">
        <v>21.641080285528957</v>
      </c>
      <c r="D8">
        <f t="shared" si="0"/>
        <v>17.919532006041312</v>
      </c>
      <c r="E8">
        <v>12</v>
      </c>
      <c r="F8">
        <f t="shared" si="1"/>
        <v>5.9195320060413117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49</v>
      </c>
      <c r="B2">
        <v>14.603973447713789</v>
      </c>
      <c r="C2">
        <v>21.967636831106454</v>
      </c>
      <c r="D2">
        <f>B2*$I$2+C2*$I$3</f>
        <v>22.638883199031149</v>
      </c>
      <c r="E2">
        <v>21</v>
      </c>
      <c r="F2">
        <f>ABS(D2-E2)</f>
        <v>1.6388831990311488</v>
      </c>
      <c r="H2" t="s">
        <v>7</v>
      </c>
      <c r="I2">
        <v>0.54095836440201261</v>
      </c>
    </row>
    <row r="3" spans="1:9" x14ac:dyDescent="0.3">
      <c r="A3" t="s">
        <v>50</v>
      </c>
      <c r="B3">
        <v>16.712328747357848</v>
      </c>
      <c r="C3">
        <v>16.872768536002642</v>
      </c>
      <c r="D3">
        <f>B3*$I$2+C3*$I$3</f>
        <v>20.361116800968851</v>
      </c>
      <c r="E3">
        <v>22</v>
      </c>
      <c r="F3">
        <f>ABS(D3-E3)</f>
        <v>1.6388831990311488</v>
      </c>
      <c r="H3" t="s">
        <v>9</v>
      </c>
      <c r="I3">
        <v>0.67092977375314355</v>
      </c>
    </row>
    <row r="5" spans="1:9" x14ac:dyDescent="0.3">
      <c r="H5" t="s">
        <v>12</v>
      </c>
      <c r="I5" cm="1">
        <f t="array" ref="I5">(SUM(TableCHE[PP]-TableCHE[AP]))^2</f>
        <v>0</v>
      </c>
    </row>
    <row r="7" spans="1:9" x14ac:dyDescent="0.3">
      <c r="H7" t="s">
        <v>15</v>
      </c>
      <c r="I7">
        <f>AVERAGE(TableCHE[DIFF])/5</f>
        <v>0.32777663980622973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51</v>
      </c>
      <c r="B2">
        <v>18.44901491268396</v>
      </c>
      <c r="C2">
        <v>18.993142417800428</v>
      </c>
      <c r="D2">
        <f t="shared" ref="D2:D7" si="0">B2*$I$2+C2*$I$3</f>
        <v>14.949567388103343</v>
      </c>
      <c r="E2">
        <v>19</v>
      </c>
      <c r="F2">
        <f t="shared" ref="F2:F7" si="1">ABS(D2-E2)</f>
        <v>4.0504326118966567</v>
      </c>
      <c r="H2" t="s">
        <v>7</v>
      </c>
      <c r="I2">
        <v>0.4377422783910625</v>
      </c>
    </row>
    <row r="3" spans="1:9" x14ac:dyDescent="0.3">
      <c r="A3" t="s">
        <v>52</v>
      </c>
      <c r="B3">
        <v>23.228736572921516</v>
      </c>
      <c r="C3">
        <v>12.780282256029519</v>
      </c>
      <c r="D3">
        <f t="shared" si="0"/>
        <v>14.793407989950527</v>
      </c>
      <c r="E3">
        <v>10</v>
      </c>
      <c r="F3">
        <f t="shared" si="1"/>
        <v>4.7934079899505271</v>
      </c>
      <c r="H3" t="s">
        <v>9</v>
      </c>
      <c r="I3">
        <v>0.36190185988982893</v>
      </c>
    </row>
    <row r="4" spans="1:9" x14ac:dyDescent="0.3">
      <c r="A4" t="s">
        <v>53</v>
      </c>
      <c r="B4">
        <v>13.20011489499778</v>
      </c>
      <c r="C4">
        <v>12.138942235624445</v>
      </c>
      <c r="D4">
        <f t="shared" si="0"/>
        <v>10.171354141327814</v>
      </c>
      <c r="E4">
        <v>17</v>
      </c>
      <c r="F4">
        <f t="shared" si="1"/>
        <v>6.8286458586721857</v>
      </c>
    </row>
    <row r="5" spans="1:9" x14ac:dyDescent="0.3">
      <c r="A5" t="s">
        <v>54</v>
      </c>
      <c r="B5">
        <v>19.942371519371711</v>
      </c>
      <c r="C5">
        <v>16.306896476152421</v>
      </c>
      <c r="D5">
        <f t="shared" si="0"/>
        <v>14.631115309161267</v>
      </c>
      <c r="E5">
        <v>10</v>
      </c>
      <c r="F5">
        <f t="shared" si="1"/>
        <v>4.6311153091612667</v>
      </c>
      <c r="H5" t="s">
        <v>12</v>
      </c>
      <c r="I5" cm="1">
        <f t="array" ref="I5">(SUM(TableCRY[PP]-TableCRY[AP]))^2</f>
        <v>1.2621774483536189E-29</v>
      </c>
    </row>
    <row r="6" spans="1:9" x14ac:dyDescent="0.3">
      <c r="A6" t="s">
        <v>55</v>
      </c>
      <c r="B6">
        <v>14.531605169514048</v>
      </c>
      <c r="C6">
        <v>14.467851953816792</v>
      </c>
      <c r="D6">
        <f t="shared" si="0"/>
        <v>11.597040486279415</v>
      </c>
      <c r="E6">
        <v>11</v>
      </c>
      <c r="F6">
        <f t="shared" si="1"/>
        <v>0.59704048627941475</v>
      </c>
    </row>
    <row r="7" spans="1:9" x14ac:dyDescent="0.3">
      <c r="A7" t="s">
        <v>56</v>
      </c>
      <c r="B7">
        <v>17.847717546413737</v>
      </c>
      <c r="C7">
        <v>13.9397298037266</v>
      </c>
      <c r="D7">
        <f t="shared" si="0"/>
        <v>12.85751468517763</v>
      </c>
      <c r="E7">
        <v>12</v>
      </c>
      <c r="F7">
        <f t="shared" si="1"/>
        <v>0.8575146851776303</v>
      </c>
      <c r="H7" t="s">
        <v>15</v>
      </c>
      <c r="I7">
        <f>AVERAGE(TableCRY[DIFF])/5</f>
        <v>0.72527189803792269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57</v>
      </c>
      <c r="B2">
        <v>40.067365281617136</v>
      </c>
      <c r="C2">
        <v>17.424526884630165</v>
      </c>
      <c r="D2">
        <f>B2*$I$2+C2*$I$3</f>
        <v>22.121971955595527</v>
      </c>
      <c r="E2">
        <v>13</v>
      </c>
      <c r="F2">
        <f>ABS(D2-E2)</f>
        <v>9.1219719555955265</v>
      </c>
      <c r="H2" t="s">
        <v>7</v>
      </c>
      <c r="I2">
        <v>0.42687331625339059</v>
      </c>
    </row>
    <row r="3" spans="1:9" x14ac:dyDescent="0.3">
      <c r="A3" t="s">
        <v>58</v>
      </c>
      <c r="B3">
        <v>13.171809865834589</v>
      </c>
      <c r="C3">
        <v>16.019671661561013</v>
      </c>
      <c r="D3">
        <f>B3*$I$2+C3*$I$3</f>
        <v>10.236377176863943</v>
      </c>
      <c r="E3">
        <v>11</v>
      </c>
      <c r="F3">
        <f>ABS(D3-E3)</f>
        <v>0.76362282313605689</v>
      </c>
      <c r="H3" t="s">
        <v>9</v>
      </c>
      <c r="I3">
        <v>0.28800109739118274</v>
      </c>
    </row>
    <row r="4" spans="1:9" x14ac:dyDescent="0.3">
      <c r="A4" t="s">
        <v>59</v>
      </c>
      <c r="B4">
        <v>13.34476565820885</v>
      </c>
      <c r="C4">
        <v>15.463293813935806</v>
      </c>
      <c r="D4">
        <f>B4*$I$2+C4*$I$3</f>
        <v>10.149969958839772</v>
      </c>
      <c r="E4">
        <v>14</v>
      </c>
      <c r="F4">
        <f>ABS(D4-E4)</f>
        <v>3.8500300411602275</v>
      </c>
    </row>
    <row r="5" spans="1:9" x14ac:dyDescent="0.3">
      <c r="A5" t="s">
        <v>60</v>
      </c>
      <c r="B5">
        <v>33.053613321607983</v>
      </c>
      <c r="C5">
        <v>15.472990690657575</v>
      </c>
      <c r="D5">
        <f>B5*$I$2+C5*$I$3</f>
        <v>18.565943831584985</v>
      </c>
      <c r="E5">
        <v>13</v>
      </c>
      <c r="F5">
        <f>ABS(D5-E5)</f>
        <v>5.5659438315849847</v>
      </c>
      <c r="H5" t="s">
        <v>12</v>
      </c>
      <c r="I5" cm="1">
        <f t="array" ref="I5">(SUM(TableEVE[PP]-TableEVE[AP]))^2</f>
        <v>1.5461673742331831E-28</v>
      </c>
    </row>
    <row r="6" spans="1:9" x14ac:dyDescent="0.3">
      <c r="A6" t="s">
        <v>61</v>
      </c>
      <c r="B6">
        <v>14.660920794728495</v>
      </c>
      <c r="C6">
        <v>12.733913972419437</v>
      </c>
      <c r="D6">
        <f>B6*$I$2+C6*$I$3</f>
        <v>9.9257370771157607</v>
      </c>
      <c r="E6">
        <v>20</v>
      </c>
      <c r="F6">
        <f>ABS(D6-E6)</f>
        <v>10.074262922884239</v>
      </c>
    </row>
    <row r="7" spans="1:9" x14ac:dyDescent="0.3">
      <c r="H7" t="s">
        <v>15</v>
      </c>
      <c r="I7">
        <f>AVERAGE(TableEVE[DIFF])/5</f>
        <v>1.1750332629744416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62</v>
      </c>
      <c r="B2">
        <v>13.245582639237329</v>
      </c>
      <c r="C2">
        <v>15.62589348637705</v>
      </c>
      <c r="D2">
        <f t="shared" ref="D2:D7" si="0">B2*$I$2+C2*$I$3</f>
        <v>11.187439871291232</v>
      </c>
      <c r="E2">
        <v>11</v>
      </c>
      <c r="F2">
        <f t="shared" ref="F2:F7" si="1">ABS(D2-E2)</f>
        <v>0.18743987129123241</v>
      </c>
      <c r="H2" t="s">
        <v>7</v>
      </c>
      <c r="I2">
        <v>0.36174876674521717</v>
      </c>
    </row>
    <row r="3" spans="1:9" x14ac:dyDescent="0.3">
      <c r="A3" t="s">
        <v>63</v>
      </c>
      <c r="B3">
        <v>12.142857096838851</v>
      </c>
      <c r="C3">
        <v>15.260360647348351</v>
      </c>
      <c r="D3">
        <f t="shared" si="0"/>
        <v>10.638913266123167</v>
      </c>
      <c r="E3">
        <v>15</v>
      </c>
      <c r="F3">
        <f t="shared" si="1"/>
        <v>4.3610867338768333</v>
      </c>
      <c r="H3" t="s">
        <v>9</v>
      </c>
      <c r="I3">
        <v>0.40931206220631855</v>
      </c>
    </row>
    <row r="4" spans="1:9" x14ac:dyDescent="0.3">
      <c r="A4" t="s">
        <v>64</v>
      </c>
      <c r="B4">
        <v>12.351218636894748</v>
      </c>
      <c r="C4">
        <v>17.029607352291997</v>
      </c>
      <c r="D4">
        <f t="shared" si="0"/>
        <v>11.43846181362774</v>
      </c>
      <c r="E4">
        <v>10</v>
      </c>
      <c r="F4">
        <f t="shared" si="1"/>
        <v>1.4384618136277396</v>
      </c>
    </row>
    <row r="5" spans="1:9" x14ac:dyDescent="0.3">
      <c r="A5" t="s">
        <v>65</v>
      </c>
      <c r="B5">
        <v>5.5337332350324271</v>
      </c>
      <c r="C5">
        <v>14.617869037880038</v>
      </c>
      <c r="D5">
        <f t="shared" si="0"/>
        <v>7.9850912942265735</v>
      </c>
      <c r="E5">
        <v>14</v>
      </c>
      <c r="F5">
        <f t="shared" si="1"/>
        <v>6.0149087057734265</v>
      </c>
      <c r="H5" t="s">
        <v>12</v>
      </c>
      <c r="I5" cm="1">
        <f t="array" ref="I5">(SUM(TableFUL[PP]-TableFUL[AP]))^2</f>
        <v>3.1554436208840472E-30</v>
      </c>
    </row>
    <row r="6" spans="1:9" x14ac:dyDescent="0.3">
      <c r="A6" t="s">
        <v>66</v>
      </c>
      <c r="B6">
        <v>15.392480946696196</v>
      </c>
      <c r="C6">
        <v>23.007530595358379</v>
      </c>
      <c r="D6">
        <f t="shared" si="0"/>
        <v>14.985470793877708</v>
      </c>
      <c r="E6">
        <v>10</v>
      </c>
      <c r="F6">
        <f t="shared" si="1"/>
        <v>4.9854707938777079</v>
      </c>
    </row>
    <row r="7" spans="1:9" x14ac:dyDescent="0.3">
      <c r="A7" t="s">
        <v>67</v>
      </c>
      <c r="B7">
        <v>38.31818179889796</v>
      </c>
      <c r="C7">
        <v>24.194420017339873</v>
      </c>
      <c r="D7">
        <f t="shared" si="0"/>
        <v>23.764622960853579</v>
      </c>
      <c r="E7">
        <v>20</v>
      </c>
      <c r="F7">
        <f t="shared" si="1"/>
        <v>3.7646229608535791</v>
      </c>
      <c r="H7" t="s">
        <v>15</v>
      </c>
      <c r="I7">
        <f>AVERAGE(TableFUL[DIFF])/5</f>
        <v>0.69173302931001746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68</v>
      </c>
      <c r="B2">
        <v>17.125907079009199</v>
      </c>
      <c r="C2">
        <v>24.250265036846798</v>
      </c>
      <c r="D2">
        <f t="shared" ref="D2:D7" si="0">B2*$I$2+C2*$I$3</f>
        <v>18.62228181220874</v>
      </c>
      <c r="E2">
        <v>12</v>
      </c>
      <c r="F2">
        <f t="shared" ref="F2:F7" si="1">ABS(D2-E2)</f>
        <v>6.6222818122087403</v>
      </c>
      <c r="H2" t="s">
        <v>7</v>
      </c>
      <c r="I2">
        <v>0.42679966689987031</v>
      </c>
    </row>
    <row r="3" spans="1:9" x14ac:dyDescent="0.3">
      <c r="A3" t="s">
        <v>69</v>
      </c>
      <c r="B3">
        <v>22.791596902878304</v>
      </c>
      <c r="C3">
        <v>18.090696968934296</v>
      </c>
      <c r="D3">
        <f t="shared" si="0"/>
        <v>18.166906597203173</v>
      </c>
      <c r="E3">
        <v>36</v>
      </c>
      <c r="F3">
        <f t="shared" si="1"/>
        <v>17.833093402796827</v>
      </c>
      <c r="H3" t="s">
        <v>9</v>
      </c>
      <c r="I3">
        <v>0.46650831891280964</v>
      </c>
    </row>
    <row r="4" spans="1:9" x14ac:dyDescent="0.3">
      <c r="A4" t="s">
        <v>70</v>
      </c>
      <c r="B4">
        <v>11.28787878622866</v>
      </c>
      <c r="C4">
        <v>14.381969163480345</v>
      </c>
      <c r="D4">
        <f t="shared" si="0"/>
        <v>11.526971163079587</v>
      </c>
      <c r="E4">
        <v>11</v>
      </c>
      <c r="F4">
        <f t="shared" si="1"/>
        <v>0.5269711630795868</v>
      </c>
    </row>
    <row r="5" spans="1:9" x14ac:dyDescent="0.3">
      <c r="A5" t="s">
        <v>71</v>
      </c>
      <c r="B5">
        <v>20.666666666666664</v>
      </c>
      <c r="C5">
        <v>17.781052613763364</v>
      </c>
      <c r="D5">
        <f t="shared" si="0"/>
        <v>17.115535412610953</v>
      </c>
      <c r="E5">
        <v>13</v>
      </c>
      <c r="F5">
        <f t="shared" si="1"/>
        <v>4.1155354126109529</v>
      </c>
      <c r="H5" t="s">
        <v>12</v>
      </c>
      <c r="I5" cm="1">
        <f t="array" ref="I5">(SUM(TableLEE[PP]-TableLEE[AP]))^2</f>
        <v>1.2621774483536189E-29</v>
      </c>
    </row>
    <row r="6" spans="1:9" x14ac:dyDescent="0.3">
      <c r="A6" t="s">
        <v>72</v>
      </c>
      <c r="B6">
        <v>10.794776071561222</v>
      </c>
      <c r="C6">
        <v>20.374835844977056</v>
      </c>
      <c r="D6">
        <f t="shared" si="0"/>
        <v>14.112237249765723</v>
      </c>
      <c r="E6">
        <v>15</v>
      </c>
      <c r="F6">
        <f t="shared" si="1"/>
        <v>0.88776275023427687</v>
      </c>
    </row>
    <row r="7" spans="1:9" x14ac:dyDescent="0.3">
      <c r="A7" t="s">
        <v>73</v>
      </c>
      <c r="B7">
        <v>21.954545449131214</v>
      </c>
      <c r="C7">
        <v>19.476340961462473</v>
      </c>
      <c r="D7">
        <f t="shared" si="0"/>
        <v>18.45606776513182</v>
      </c>
      <c r="E7">
        <v>11</v>
      </c>
      <c r="F7">
        <f t="shared" si="1"/>
        <v>7.4560677651318201</v>
      </c>
      <c r="H7" t="s">
        <v>15</v>
      </c>
      <c r="I7">
        <f>AVERAGE(TableLEE[DIFF])/5</f>
        <v>1.24805707686874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74</v>
      </c>
      <c r="B2">
        <v>11.39944611974091</v>
      </c>
      <c r="C2">
        <v>16.680382818299705</v>
      </c>
      <c r="D2">
        <f>B2*$I$2+C2*$I$3</f>
        <v>10.591968870622772</v>
      </c>
      <c r="E2">
        <v>20</v>
      </c>
      <c r="F2">
        <f>ABS(D2-E2)</f>
        <v>9.4080311293772283</v>
      </c>
      <c r="H2" t="s">
        <v>7</v>
      </c>
      <c r="I2">
        <v>0.34003141787672031</v>
      </c>
    </row>
    <row r="3" spans="1:9" x14ac:dyDescent="0.3">
      <c r="A3" t="s">
        <v>75</v>
      </c>
      <c r="B3">
        <v>24.511240488366958</v>
      </c>
      <c r="C3">
        <v>29.675389377717352</v>
      </c>
      <c r="D3">
        <f>B3*$I$2+C3*$I$3</f>
        <v>20.282396279282452</v>
      </c>
      <c r="E3">
        <v>11</v>
      </c>
      <c r="F3">
        <f>ABS(D3-E3)</f>
        <v>9.2823962792824517</v>
      </c>
      <c r="H3" t="s">
        <v>9</v>
      </c>
      <c r="I3">
        <v>0.40261660158963658</v>
      </c>
    </row>
    <row r="4" spans="1:9" x14ac:dyDescent="0.3">
      <c r="A4" t="s">
        <v>76</v>
      </c>
      <c r="B4">
        <v>16.736842105025143</v>
      </c>
      <c r="C4">
        <v>15.981911011465629</v>
      </c>
      <c r="D4">
        <f>B4*$I$2+C4*$I$3</f>
        <v>12.125634850094775</v>
      </c>
      <c r="E4">
        <v>12</v>
      </c>
      <c r="F4">
        <f>ABS(D4-E4)</f>
        <v>0.12563485009477482</v>
      </c>
    </row>
    <row r="5" spans="1:9" x14ac:dyDescent="0.3">
      <c r="H5" t="s">
        <v>12</v>
      </c>
      <c r="I5" cm="1">
        <f t="array" ref="I5">(SUM(TableLEI[PP]-TableLEI[AP]))^2</f>
        <v>3.1554436208840472E-30</v>
      </c>
    </row>
    <row r="7" spans="1:9" x14ac:dyDescent="0.3">
      <c r="H7" t="s">
        <v>15</v>
      </c>
      <c r="I7">
        <f>AVERAGE(TableLEI[DIFF])/5</f>
        <v>1.2544041505836305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77</v>
      </c>
      <c r="B2">
        <v>27.056430453397869</v>
      </c>
      <c r="C2">
        <v>21.901366631306075</v>
      </c>
      <c r="D2">
        <f t="shared" ref="D2:D8" si="0">B2*$I$2+C2*$I$3</f>
        <v>26.265037390706617</v>
      </c>
      <c r="E2">
        <v>29</v>
      </c>
      <c r="F2">
        <f t="shared" ref="F2:F8" si="1">ABS(D2-E2)</f>
        <v>2.7349626092933832</v>
      </c>
      <c r="H2" t="s">
        <v>7</v>
      </c>
      <c r="I2">
        <v>0.5520714818762793</v>
      </c>
    </row>
    <row r="3" spans="1:9" x14ac:dyDescent="0.3">
      <c r="A3" t="s">
        <v>78</v>
      </c>
      <c r="B3">
        <v>22.315592219898765</v>
      </c>
      <c r="C3">
        <v>23.987370176025159</v>
      </c>
      <c r="D3">
        <f t="shared" si="0"/>
        <v>24.726690831088732</v>
      </c>
      <c r="E3">
        <v>28</v>
      </c>
      <c r="F3">
        <f t="shared" si="1"/>
        <v>3.2733091689112683</v>
      </c>
      <c r="H3" t="s">
        <v>9</v>
      </c>
      <c r="I3">
        <v>0.51722588488265619</v>
      </c>
    </row>
    <row r="4" spans="1:9" x14ac:dyDescent="0.3">
      <c r="A4" t="s">
        <v>79</v>
      </c>
      <c r="B4">
        <v>33.878205126847362</v>
      </c>
      <c r="C4">
        <v>36.224843311282036</v>
      </c>
      <c r="D4">
        <f t="shared" si="0"/>
        <v>37.439617544100606</v>
      </c>
      <c r="E4">
        <v>36</v>
      </c>
      <c r="F4">
        <f t="shared" si="1"/>
        <v>1.4396175441006065</v>
      </c>
    </row>
    <row r="5" spans="1:9" x14ac:dyDescent="0.3">
      <c r="A5" t="s">
        <v>80</v>
      </c>
      <c r="B5">
        <v>28.427631613355594</v>
      </c>
      <c r="C5">
        <v>22.655777908032025</v>
      </c>
      <c r="D5">
        <f t="shared" si="0"/>
        <v>27.412239487204985</v>
      </c>
      <c r="E5">
        <v>25</v>
      </c>
      <c r="F5">
        <f t="shared" si="1"/>
        <v>2.4122394872049853</v>
      </c>
      <c r="H5" t="s">
        <v>12</v>
      </c>
      <c r="I5" cm="1">
        <f t="array" ref="I5">(SUM(TableLIV[PP]-TableLIV[AP]))^2</f>
        <v>3.8180867812696971E-28</v>
      </c>
    </row>
    <row r="6" spans="1:9" x14ac:dyDescent="0.3">
      <c r="A6" t="s">
        <v>81</v>
      </c>
      <c r="B6">
        <v>26.660133415075144</v>
      </c>
      <c r="C6">
        <v>19.760064528606076</v>
      </c>
      <c r="D6">
        <f t="shared" si="0"/>
        <v>24.93871622262651</v>
      </c>
      <c r="E6">
        <v>27</v>
      </c>
      <c r="F6">
        <f t="shared" si="1"/>
        <v>2.0612837773734896</v>
      </c>
    </row>
    <row r="7" spans="1:9" x14ac:dyDescent="0.3">
      <c r="A7" t="s">
        <v>82</v>
      </c>
      <c r="B7">
        <v>10.512692622040996</v>
      </c>
      <c r="C7">
        <v>12.98370088090395</v>
      </c>
      <c r="D7">
        <f t="shared" si="0"/>
        <v>12.519263971537269</v>
      </c>
      <c r="E7">
        <v>13</v>
      </c>
      <c r="F7">
        <f t="shared" si="1"/>
        <v>0.48073602846273111</v>
      </c>
      <c r="H7" t="s">
        <v>15</v>
      </c>
      <c r="I7">
        <f>AVERAGE(TableLIV[DIFF])/5</f>
        <v>0.48858809051662178</v>
      </c>
    </row>
    <row r="8" spans="1:9" x14ac:dyDescent="0.3">
      <c r="A8" t="s">
        <v>83</v>
      </c>
      <c r="B8">
        <v>25.75</v>
      </c>
      <c r="C8">
        <v>26.0671290600236</v>
      </c>
      <c r="D8">
        <f t="shared" si="0"/>
        <v>27.6984345527353</v>
      </c>
      <c r="E8">
        <v>23</v>
      </c>
      <c r="F8">
        <f t="shared" si="1"/>
        <v>4.6984345527353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84</v>
      </c>
      <c r="B2">
        <v>20.059064690191796</v>
      </c>
      <c r="C2">
        <v>19.849986441036961</v>
      </c>
      <c r="D2">
        <f t="shared" ref="D2:D9" si="0">B2*$I$2+C2*$I$3</f>
        <v>16.367089305754337</v>
      </c>
      <c r="E2">
        <v>19</v>
      </c>
      <c r="F2">
        <f t="shared" ref="F2:F9" si="1">ABS(D2-E2)</f>
        <v>2.6329106942456626</v>
      </c>
      <c r="H2" t="s">
        <v>7</v>
      </c>
      <c r="I2">
        <v>0.42652198473247976</v>
      </c>
    </row>
    <row r="3" spans="1:9" x14ac:dyDescent="0.3">
      <c r="A3" t="s">
        <v>85</v>
      </c>
      <c r="B3">
        <v>28.331850961921575</v>
      </c>
      <c r="C3">
        <v>23.592706806067547</v>
      </c>
      <c r="D3">
        <f t="shared" si="0"/>
        <v>21.368466918411229</v>
      </c>
      <c r="E3">
        <v>32</v>
      </c>
      <c r="F3">
        <f t="shared" si="1"/>
        <v>10.631533081588771</v>
      </c>
      <c r="H3" t="s">
        <v>9</v>
      </c>
      <c r="I3">
        <v>0.39352456211594566</v>
      </c>
    </row>
    <row r="4" spans="1:9" x14ac:dyDescent="0.3">
      <c r="A4" t="s">
        <v>86</v>
      </c>
      <c r="B4">
        <v>20.349557136542895</v>
      </c>
      <c r="C4">
        <v>20.265857338344198</v>
      </c>
      <c r="D4">
        <f t="shared" si="0"/>
        <v>16.654646133281396</v>
      </c>
      <c r="E4">
        <v>19</v>
      </c>
      <c r="F4">
        <f t="shared" si="1"/>
        <v>2.3453538667186038</v>
      </c>
    </row>
    <row r="5" spans="1:9" x14ac:dyDescent="0.3">
      <c r="A5" t="s">
        <v>87</v>
      </c>
      <c r="B5">
        <v>20.421052631578945</v>
      </c>
      <c r="C5">
        <v>21.874344262691849</v>
      </c>
      <c r="D5">
        <f t="shared" si="0"/>
        <v>17.318119646296736</v>
      </c>
      <c r="E5">
        <v>21</v>
      </c>
      <c r="F5">
        <f t="shared" si="1"/>
        <v>3.6818803537032636</v>
      </c>
      <c r="H5" t="s">
        <v>12</v>
      </c>
      <c r="I5" cm="1">
        <f t="array" ref="I5">(SUM(TableMCI[PP]-TableMCI[AP]))^2</f>
        <v>1.2621774483536189E-29</v>
      </c>
    </row>
    <row r="6" spans="1:9" x14ac:dyDescent="0.3">
      <c r="A6" t="s">
        <v>88</v>
      </c>
      <c r="B6">
        <v>28.508919737874152</v>
      </c>
      <c r="C6">
        <v>23.055041721401292</v>
      </c>
      <c r="D6">
        <f t="shared" si="0"/>
        <v>21.23240622715635</v>
      </c>
      <c r="E6">
        <v>28</v>
      </c>
      <c r="F6">
        <f t="shared" si="1"/>
        <v>6.7675937728436502</v>
      </c>
    </row>
    <row r="7" spans="1:9" x14ac:dyDescent="0.3">
      <c r="A7" t="s">
        <v>89</v>
      </c>
      <c r="B7">
        <v>14.743589743589745</v>
      </c>
      <c r="C7">
        <v>18.856250793758456</v>
      </c>
      <c r="D7">
        <f t="shared" si="0"/>
        <v>13.70886299627958</v>
      </c>
      <c r="E7">
        <v>15</v>
      </c>
      <c r="F7">
        <f t="shared" si="1"/>
        <v>1.2911370037204204</v>
      </c>
      <c r="H7" t="s">
        <v>15</v>
      </c>
      <c r="I7">
        <f>AVERAGE(TableMCI[DIFF])/5</f>
        <v>1.7856298814126923</v>
      </c>
    </row>
    <row r="8" spans="1:9" x14ac:dyDescent="0.3">
      <c r="A8" t="s">
        <v>90</v>
      </c>
      <c r="B8">
        <v>89.473684210526315</v>
      </c>
      <c r="C8">
        <v>64.926326631487612</v>
      </c>
      <c r="D8">
        <f t="shared" si="0"/>
        <v>63.712597628253846</v>
      </c>
      <c r="E8">
        <v>28</v>
      </c>
      <c r="F8">
        <f t="shared" si="1"/>
        <v>35.712597628253846</v>
      </c>
    </row>
    <row r="9" spans="1:9" x14ac:dyDescent="0.3">
      <c r="A9" t="s">
        <v>91</v>
      </c>
      <c r="B9">
        <v>13.674020333870363</v>
      </c>
      <c r="C9">
        <v>24.917227020769324</v>
      </c>
      <c r="D9">
        <f t="shared" si="0"/>
        <v>15.63781114456653</v>
      </c>
      <c r="E9">
        <v>24</v>
      </c>
      <c r="F9">
        <f t="shared" si="1"/>
        <v>8.3621888554334696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92</v>
      </c>
      <c r="B2">
        <v>20.999999998039321</v>
      </c>
      <c r="C2">
        <v>25.05052582816144</v>
      </c>
      <c r="D2">
        <f>B2*$I$2+C2*$I$3</f>
        <v>29.052793120362388</v>
      </c>
      <c r="E2">
        <v>30</v>
      </c>
      <c r="F2">
        <f>ABS(D2-E2)</f>
        <v>0.94720687963761208</v>
      </c>
      <c r="H2" t="s">
        <v>7</v>
      </c>
      <c r="I2">
        <v>0.5336051426667856</v>
      </c>
    </row>
    <row r="3" spans="1:9" x14ac:dyDescent="0.3">
      <c r="A3" t="s">
        <v>93</v>
      </c>
      <c r="B3">
        <v>11.268510871621247</v>
      </c>
      <c r="C3">
        <v>18.7758625041911</v>
      </c>
      <c r="D3">
        <f>B3*$I$2+C3*$I$3</f>
        <v>19.389677169563662</v>
      </c>
      <c r="E3">
        <v>22</v>
      </c>
      <c r="F3">
        <f>ABS(D3-E3)</f>
        <v>2.6103228304363384</v>
      </c>
      <c r="H3" t="s">
        <v>9</v>
      </c>
      <c r="I3">
        <v>0.71244353303524999</v>
      </c>
    </row>
    <row r="4" spans="1:9" x14ac:dyDescent="0.3">
      <c r="A4" t="s">
        <v>94</v>
      </c>
      <c r="B4">
        <v>18.485846797399059</v>
      </c>
      <c r="C4">
        <v>28.03304806062885</v>
      </c>
      <c r="D4">
        <f>B4*$I$2+C4*$I$3</f>
        <v>29.836106719703849</v>
      </c>
      <c r="E4">
        <v>22</v>
      </c>
      <c r="F4">
        <f>ABS(D4-E4)</f>
        <v>7.8361067197038494</v>
      </c>
    </row>
    <row r="5" spans="1:9" x14ac:dyDescent="0.3">
      <c r="A5" t="s">
        <v>95</v>
      </c>
      <c r="B5">
        <v>23.376691540629</v>
      </c>
      <c r="C5">
        <v>24.057242782714329</v>
      </c>
      <c r="D5">
        <f>B5*$I$2+C5*$I$3</f>
        <v>29.613349867818545</v>
      </c>
      <c r="E5">
        <v>38</v>
      </c>
      <c r="F5">
        <f>ABS(D5-E5)</f>
        <v>8.3866501321814546</v>
      </c>
      <c r="H5" t="s">
        <v>12</v>
      </c>
      <c r="I5" cm="1">
        <f t="array" ref="I5">(SUM(TableMUN[PP]-TableMUN[AP]))^2</f>
        <v>4.543838814073028E-28</v>
      </c>
    </row>
    <row r="6" spans="1:9" x14ac:dyDescent="0.3">
      <c r="A6" t="s">
        <v>22</v>
      </c>
      <c r="B6">
        <v>14.768313531653597</v>
      </c>
      <c r="C6">
        <v>22.777419291618152</v>
      </c>
      <c r="D6">
        <f>B6*$I$2+C6*$I$3</f>
        <v>24.108073122551534</v>
      </c>
      <c r="E6">
        <v>20</v>
      </c>
      <c r="F6">
        <f>ABS(D6-E6)</f>
        <v>4.1080731225515343</v>
      </c>
    </row>
    <row r="7" spans="1:9" x14ac:dyDescent="0.3">
      <c r="H7" t="s">
        <v>15</v>
      </c>
      <c r="I7">
        <f>AVERAGE(TableMUN[DIFF])/5</f>
        <v>0.9555343873804315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96</v>
      </c>
      <c r="B2">
        <v>27.087934546180193</v>
      </c>
      <c r="C2">
        <v>31.586783421490285</v>
      </c>
      <c r="D2">
        <f t="shared" ref="D2:D8" si="0">B2*$I$2+C2*$I$3</f>
        <v>18.276949429505599</v>
      </c>
      <c r="E2">
        <v>11</v>
      </c>
      <c r="F2">
        <f t="shared" ref="F2:F8" si="1">ABS(D2-E2)</f>
        <v>7.2769494295055992</v>
      </c>
      <c r="H2" t="s">
        <v>7</v>
      </c>
      <c r="I2">
        <v>0.32701888919378419</v>
      </c>
    </row>
    <row r="3" spans="1:9" x14ac:dyDescent="0.3">
      <c r="A3" t="s">
        <v>97</v>
      </c>
      <c r="B3">
        <v>21.263245572491929</v>
      </c>
      <c r="C3">
        <v>21.533527958528328</v>
      </c>
      <c r="D3">
        <f t="shared" si="0"/>
        <v>13.37444308577604</v>
      </c>
      <c r="E3">
        <v>12</v>
      </c>
      <c r="F3">
        <f t="shared" si="1"/>
        <v>1.3744430857760399</v>
      </c>
      <c r="H3" t="s">
        <v>9</v>
      </c>
      <c r="I3">
        <v>0.29818430822721109</v>
      </c>
    </row>
    <row r="4" spans="1:9" x14ac:dyDescent="0.3">
      <c r="A4" t="s">
        <v>98</v>
      </c>
      <c r="B4">
        <v>41.999999998995499</v>
      </c>
      <c r="C4">
        <v>31.603073090824989</v>
      </c>
      <c r="D4">
        <f t="shared" si="0"/>
        <v>23.158333833252087</v>
      </c>
      <c r="E4">
        <v>24</v>
      </c>
      <c r="F4">
        <f t="shared" si="1"/>
        <v>0.84166616674791328</v>
      </c>
    </row>
    <row r="5" spans="1:9" x14ac:dyDescent="0.3">
      <c r="A5" t="s">
        <v>99</v>
      </c>
      <c r="B5">
        <v>11.358112617385643</v>
      </c>
      <c r="C5">
        <v>13.252741684012349</v>
      </c>
      <c r="D5">
        <f t="shared" si="0"/>
        <v>7.6660769826365049</v>
      </c>
      <c r="E5">
        <v>10</v>
      </c>
      <c r="F5">
        <f t="shared" si="1"/>
        <v>2.3339230173634951</v>
      </c>
      <c r="H5" t="s">
        <v>12</v>
      </c>
      <c r="I5" cm="1">
        <f t="array" ref="I5">(SUM(TableNEW[PP]-TableNEW[AP]))^2</f>
        <v>6.3897733322901956E-29</v>
      </c>
    </row>
    <row r="6" spans="1:9" x14ac:dyDescent="0.3">
      <c r="A6" t="s">
        <v>100</v>
      </c>
      <c r="B6">
        <v>23.157000314805689</v>
      </c>
      <c r="C6">
        <v>14.881709393764368</v>
      </c>
      <c r="D6">
        <f t="shared" si="0"/>
        <v>12.010268740825884</v>
      </c>
      <c r="E6">
        <v>18</v>
      </c>
      <c r="F6">
        <f t="shared" si="1"/>
        <v>5.9897312591741159</v>
      </c>
    </row>
    <row r="7" spans="1:9" x14ac:dyDescent="0.3">
      <c r="A7" t="s">
        <v>101</v>
      </c>
      <c r="B7">
        <v>26.142857142857146</v>
      </c>
      <c r="C7">
        <v>22.878266293306652</v>
      </c>
      <c r="D7">
        <f t="shared" si="0"/>
        <v>15.371148111316497</v>
      </c>
      <c r="E7">
        <v>16</v>
      </c>
      <c r="F7">
        <f t="shared" si="1"/>
        <v>0.62885188868350284</v>
      </c>
      <c r="H7" t="s">
        <v>15</v>
      </c>
      <c r="I7">
        <f>AVERAGE(TableNEW[DIFF])/5</f>
        <v>0.55966699039822998</v>
      </c>
    </row>
    <row r="8" spans="1:9" x14ac:dyDescent="0.3">
      <c r="A8" t="s">
        <v>102</v>
      </c>
      <c r="B8">
        <v>22.639336861351151</v>
      </c>
      <c r="C8">
        <v>22.601085430254152</v>
      </c>
      <c r="D8">
        <f t="shared" si="0"/>
        <v>14.14277981668738</v>
      </c>
      <c r="E8">
        <v>13</v>
      </c>
      <c r="F8">
        <f t="shared" si="1"/>
        <v>1.1427798166873799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103</v>
      </c>
      <c r="B2">
        <v>17.102130450943591</v>
      </c>
      <c r="C2">
        <v>13.762660618378778</v>
      </c>
      <c r="D2">
        <f>B2*$I$2+C2*$I$3</f>
        <v>12.852338067987677</v>
      </c>
      <c r="E2">
        <v>15</v>
      </c>
      <c r="F2">
        <f>ABS(D2-E2)</f>
        <v>2.1476619320123227</v>
      </c>
      <c r="H2" t="s">
        <v>7</v>
      </c>
      <c r="I2">
        <v>0.36813800524967244</v>
      </c>
    </row>
    <row r="3" spans="1:9" x14ac:dyDescent="0.3">
      <c r="A3" t="s">
        <v>104</v>
      </c>
      <c r="B3">
        <v>10.294117647058822</v>
      </c>
      <c r="C3">
        <v>20.735893538276603</v>
      </c>
      <c r="D3">
        <f>B3*$I$2+C3*$I$3</f>
        <v>13.668028238403814</v>
      </c>
      <c r="E3">
        <v>10</v>
      </c>
      <c r="F3">
        <f>ABS(D3-E3)</f>
        <v>3.6680282384038136</v>
      </c>
      <c r="H3" t="s">
        <v>9</v>
      </c>
      <c r="I3">
        <v>0.47638999900223916</v>
      </c>
    </row>
    <row r="4" spans="1:9" x14ac:dyDescent="0.3">
      <c r="A4" t="s">
        <v>105</v>
      </c>
      <c r="B4">
        <v>18.521739110253591</v>
      </c>
      <c r="C4">
        <v>22.388697332221344</v>
      </c>
      <c r="D4">
        <f>B4*$I$2+C4*$I$3</f>
        <v>17.484307589561961</v>
      </c>
      <c r="E4">
        <v>20</v>
      </c>
      <c r="F4">
        <f>ABS(D4-E4)</f>
        <v>2.5156924104380387</v>
      </c>
    </row>
    <row r="5" spans="1:9" x14ac:dyDescent="0.3">
      <c r="A5" t="s">
        <v>106</v>
      </c>
      <c r="B5">
        <v>10.957218410446693</v>
      </c>
      <c r="C5">
        <v>16.712268502727941</v>
      </c>
      <c r="D5">
        <f>B5*$I$2+C5*$I$3</f>
        <v>11.99532610404655</v>
      </c>
      <c r="E5">
        <v>11</v>
      </c>
      <c r="F5">
        <f>ABS(D5-E5)</f>
        <v>0.99532610404654953</v>
      </c>
      <c r="H5" t="s">
        <v>12</v>
      </c>
      <c r="I5" cm="1">
        <f t="array" ref="I5">(SUM(TableNFO[PP]-TableNFO[AP]))^2</f>
        <v>3.1554436208840472E-30</v>
      </c>
    </row>
    <row r="7" spans="1:9" x14ac:dyDescent="0.3">
      <c r="H7" t="s">
        <v>15</v>
      </c>
      <c r="I7">
        <f>AVERAGE(TableNFO[DIFF])/5</f>
        <v>0.46633543424503621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107</v>
      </c>
      <c r="B2">
        <v>20.13828647042644</v>
      </c>
      <c r="C2">
        <v>21.555810657352545</v>
      </c>
      <c r="D2">
        <f>B2*$I$2+C2*$I$3</f>
        <v>17.927596669403478</v>
      </c>
      <c r="E2">
        <v>16</v>
      </c>
      <c r="F2">
        <f>ABS(D2-E2)</f>
        <v>1.9275966694034778</v>
      </c>
      <c r="H2" t="s">
        <v>7</v>
      </c>
      <c r="I2">
        <v>0.40798070566191857</v>
      </c>
    </row>
    <row r="3" spans="1:9" x14ac:dyDescent="0.3">
      <c r="A3" t="s">
        <v>108</v>
      </c>
      <c r="B3">
        <v>13.749238826679983</v>
      </c>
      <c r="C3">
        <v>13.546789980733328</v>
      </c>
      <c r="D3">
        <f>B3*$I$2+C3*$I$3</f>
        <v>11.712675140607931</v>
      </c>
      <c r="E3">
        <v>11</v>
      </c>
      <c r="F3">
        <f>ABS(D3-E3)</f>
        <v>0.71267514060793147</v>
      </c>
      <c r="H3" t="s">
        <v>9</v>
      </c>
      <c r="I3">
        <v>0.45053115833824969</v>
      </c>
    </row>
    <row r="4" spans="1:9" x14ac:dyDescent="0.3">
      <c r="A4" t="s">
        <v>109</v>
      </c>
      <c r="B4">
        <v>18.256410256410255</v>
      </c>
      <c r="C4">
        <v>12.739832529317791</v>
      </c>
      <c r="D4">
        <f>B4*$I$2+C4*$I$3</f>
        <v>13.187954645732601</v>
      </c>
      <c r="E4">
        <v>15</v>
      </c>
      <c r="F4">
        <f>ABS(D4-E4)</f>
        <v>1.8120453542673989</v>
      </c>
    </row>
    <row r="5" spans="1:9" x14ac:dyDescent="0.3">
      <c r="A5" t="s">
        <v>110</v>
      </c>
      <c r="B5">
        <v>8.5959780700854616</v>
      </c>
      <c r="C5">
        <v>19.232366474557576</v>
      </c>
      <c r="D5">
        <f>B5*$I$2+C5*$I$3</f>
        <v>12.171773544255988</v>
      </c>
      <c r="E5">
        <v>13</v>
      </c>
      <c r="F5">
        <f>ABS(D5-E5)</f>
        <v>0.82822645574401221</v>
      </c>
      <c r="H5" t="s">
        <v>12</v>
      </c>
      <c r="I5" cm="1">
        <f t="array" ref="I5">(SUM(TableSOU[PP]-TableSOU[AP]))^2</f>
        <v>3.1554436208840472E-30</v>
      </c>
    </row>
    <row r="7" spans="1:9" x14ac:dyDescent="0.3">
      <c r="H7" t="s">
        <v>15</v>
      </c>
      <c r="I7">
        <f>AVERAGE(TableSOU[DIFF])/5</f>
        <v>0.26402718100114103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111</v>
      </c>
      <c r="B2">
        <v>21.123188405797102</v>
      </c>
      <c r="C2">
        <v>18.949823633756935</v>
      </c>
      <c r="D2">
        <f t="shared" ref="D2:D9" si="0">B2*$I$2+C2*$I$3</f>
        <v>19.48384200204066</v>
      </c>
      <c r="E2">
        <v>29</v>
      </c>
      <c r="F2">
        <f t="shared" ref="F2:F9" si="1">ABS(D2-E2)</f>
        <v>9.5161579979593398</v>
      </c>
      <c r="H2" t="s">
        <v>7</v>
      </c>
      <c r="I2">
        <v>0.44919110577984106</v>
      </c>
    </row>
    <row r="3" spans="1:9" x14ac:dyDescent="0.3">
      <c r="A3" t="s">
        <v>112</v>
      </c>
      <c r="B3">
        <v>31.85896941103838</v>
      </c>
      <c r="C3">
        <v>34.630367818738002</v>
      </c>
      <c r="D3">
        <f t="shared" si="0"/>
        <v>32.577300951371868</v>
      </c>
      <c r="E3">
        <v>34</v>
      </c>
      <c r="F3">
        <f t="shared" si="1"/>
        <v>1.4226990486281323</v>
      </c>
      <c r="H3" t="s">
        <v>9</v>
      </c>
      <c r="I3">
        <v>0.52747159222310214</v>
      </c>
    </row>
    <row r="4" spans="1:9" x14ac:dyDescent="0.3">
      <c r="A4" t="s">
        <v>113</v>
      </c>
      <c r="B4">
        <v>19.761904747708559</v>
      </c>
      <c r="C4">
        <v>26.347356915568152</v>
      </c>
      <c r="D4">
        <f t="shared" si="0"/>
        <v>22.774354149064195</v>
      </c>
      <c r="E4">
        <v>20</v>
      </c>
      <c r="F4">
        <f t="shared" si="1"/>
        <v>2.7743541490641945</v>
      </c>
    </row>
    <row r="5" spans="1:9" x14ac:dyDescent="0.3">
      <c r="A5" t="s">
        <v>114</v>
      </c>
      <c r="B5">
        <v>20.425753229800797</v>
      </c>
      <c r="C5">
        <v>19.509930097439614</v>
      </c>
      <c r="D5">
        <f t="shared" si="0"/>
        <v>19.466000572338274</v>
      </c>
      <c r="E5">
        <v>23</v>
      </c>
      <c r="F5">
        <f t="shared" si="1"/>
        <v>3.5339994276617261</v>
      </c>
      <c r="H5" t="s">
        <v>12</v>
      </c>
      <c r="I5" cm="1">
        <f t="array" ref="I5">(SUM(TableTOT[PP]-TableTOT[AP]))^2</f>
        <v>4.543838814073028E-28</v>
      </c>
    </row>
    <row r="6" spans="1:9" x14ac:dyDescent="0.3">
      <c r="A6" t="s">
        <v>115</v>
      </c>
      <c r="B6">
        <v>14.764410559833399</v>
      </c>
      <c r="C6">
        <v>20.742434317225232</v>
      </c>
      <c r="D6">
        <f t="shared" si="0"/>
        <v>17.573086761449034</v>
      </c>
      <c r="E6">
        <v>21</v>
      </c>
      <c r="F6">
        <f t="shared" si="1"/>
        <v>3.4269132385509664</v>
      </c>
    </row>
    <row r="7" spans="1:9" x14ac:dyDescent="0.3">
      <c r="A7" t="s">
        <v>116</v>
      </c>
      <c r="B7">
        <v>14.994114627534138</v>
      </c>
      <c r="C7">
        <v>21.116313268904982</v>
      </c>
      <c r="D7">
        <f t="shared" si="0"/>
        <v>17.873478311562877</v>
      </c>
      <c r="E7">
        <v>10</v>
      </c>
      <c r="F7">
        <f t="shared" si="1"/>
        <v>7.8734783115628773</v>
      </c>
      <c r="H7" t="s">
        <v>15</v>
      </c>
      <c r="I7">
        <f>AVERAGE(TableTOT[DIFF])/5</f>
        <v>0.99865783432355371</v>
      </c>
    </row>
    <row r="8" spans="1:9" x14ac:dyDescent="0.3">
      <c r="A8" t="s">
        <v>117</v>
      </c>
      <c r="B8">
        <v>22.110517930833439</v>
      </c>
      <c r="C8">
        <v>24.635952379624399</v>
      </c>
      <c r="D8">
        <f t="shared" si="0"/>
        <v>22.926613026329079</v>
      </c>
      <c r="E8">
        <v>25</v>
      </c>
      <c r="F8">
        <f t="shared" si="1"/>
        <v>2.073386973670921</v>
      </c>
    </row>
    <row r="9" spans="1:9" x14ac:dyDescent="0.3">
      <c r="A9" t="s">
        <v>118</v>
      </c>
      <c r="B9">
        <v>16.857457414826527</v>
      </c>
      <c r="C9">
        <v>24.177803083748564</v>
      </c>
      <c r="D9">
        <f t="shared" si="0"/>
        <v>20.325324225843993</v>
      </c>
      <c r="E9">
        <v>11</v>
      </c>
      <c r="F9">
        <f t="shared" si="1"/>
        <v>9.3253242258439926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119</v>
      </c>
      <c r="B2">
        <v>15.16361217696487</v>
      </c>
      <c r="C2">
        <v>16.623424869148057</v>
      </c>
      <c r="D2">
        <f t="shared" ref="D2:D8" si="0">B2*$I$2+C2*$I$3</f>
        <v>14.148826548871382</v>
      </c>
      <c r="E2">
        <v>19</v>
      </c>
      <c r="F2">
        <f t="shared" ref="F2:F8" si="1">ABS(D2-E2)</f>
        <v>4.8511734511286182</v>
      </c>
      <c r="H2" t="s">
        <v>7</v>
      </c>
      <c r="I2">
        <v>0.45317024313957194</v>
      </c>
    </row>
    <row r="3" spans="1:9" x14ac:dyDescent="0.3">
      <c r="A3" t="s">
        <v>120</v>
      </c>
      <c r="B3">
        <v>22.430429430696929</v>
      </c>
      <c r="C3">
        <v>18.615221544917539</v>
      </c>
      <c r="D3">
        <f t="shared" si="0"/>
        <v>18.313867784141664</v>
      </c>
      <c r="E3">
        <v>13</v>
      </c>
      <c r="F3">
        <f t="shared" si="1"/>
        <v>5.3138677841416637</v>
      </c>
      <c r="H3" t="s">
        <v>9</v>
      </c>
      <c r="I3">
        <v>0.43776350475574338</v>
      </c>
    </row>
    <row r="4" spans="1:9" x14ac:dyDescent="0.3">
      <c r="A4" t="s">
        <v>121</v>
      </c>
      <c r="B4">
        <v>17.474750395211132</v>
      </c>
      <c r="C4">
        <v>14.236070680057619</v>
      </c>
      <c r="D4">
        <f t="shared" si="0"/>
        <v>14.151069080253663</v>
      </c>
      <c r="E4">
        <v>12</v>
      </c>
      <c r="F4">
        <f t="shared" si="1"/>
        <v>2.1510690802536629</v>
      </c>
    </row>
    <row r="5" spans="1:9" x14ac:dyDescent="0.3">
      <c r="A5" t="s">
        <v>122</v>
      </c>
      <c r="B5">
        <v>16.187500040925407</v>
      </c>
      <c r="C5">
        <v>17.28191423163625</v>
      </c>
      <c r="D5">
        <f t="shared" si="0"/>
        <v>14.901084672297243</v>
      </c>
      <c r="E5">
        <v>22</v>
      </c>
      <c r="F5">
        <f t="shared" si="1"/>
        <v>7.0989153277027572</v>
      </c>
      <c r="H5" t="s">
        <v>12</v>
      </c>
      <c r="I5" cm="1">
        <f t="array" ref="I5">(SUM(TableWHU[PP]-TableWHU[AP]))^2</f>
        <v>5.0487097934144756E-29</v>
      </c>
    </row>
    <row r="6" spans="1:9" x14ac:dyDescent="0.3">
      <c r="A6" t="s">
        <v>123</v>
      </c>
      <c r="B6">
        <v>20.096177041513133</v>
      </c>
      <c r="C6">
        <v>24.022652177772343</v>
      </c>
      <c r="D6">
        <f t="shared" si="0"/>
        <v>19.623229846948202</v>
      </c>
      <c r="E6">
        <v>16</v>
      </c>
      <c r="F6">
        <f t="shared" si="1"/>
        <v>3.6232298469482025</v>
      </c>
    </row>
    <row r="7" spans="1:9" x14ac:dyDescent="0.3">
      <c r="A7" t="s">
        <v>124</v>
      </c>
      <c r="B7">
        <v>16.373088314761638</v>
      </c>
      <c r="C7">
        <v>14.561425483972574</v>
      </c>
      <c r="D7">
        <f t="shared" si="0"/>
        <v>13.794257066649646</v>
      </c>
      <c r="E7">
        <v>17</v>
      </c>
      <c r="F7">
        <f t="shared" si="1"/>
        <v>3.2057429333503542</v>
      </c>
      <c r="H7" t="s">
        <v>15</v>
      </c>
      <c r="I7">
        <f>AVERAGE(TableWHU[DIFF])/5</f>
        <v>0.86604752641038485</v>
      </c>
    </row>
    <row r="8" spans="1:9" x14ac:dyDescent="0.3">
      <c r="A8" t="s">
        <v>125</v>
      </c>
      <c r="B8">
        <v>16.696449790182811</v>
      </c>
      <c r="C8">
        <v>14.851239811507178</v>
      </c>
      <c r="D8">
        <f t="shared" si="0"/>
        <v>14.067665000838208</v>
      </c>
      <c r="E8">
        <v>10</v>
      </c>
      <c r="F8">
        <f t="shared" si="1"/>
        <v>4.0676650008382076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126</v>
      </c>
      <c r="B2">
        <v>21.11536891340505</v>
      </c>
      <c r="C2">
        <v>20.184108714574663</v>
      </c>
      <c r="D2">
        <f>B2*$I$2+C2*$I$3</f>
        <v>13.381272096660524</v>
      </c>
      <c r="E2">
        <v>22</v>
      </c>
      <c r="F2">
        <f>ABS(D2-E2)</f>
        <v>8.6187279033394759</v>
      </c>
      <c r="H2" t="s">
        <v>7</v>
      </c>
      <c r="I2">
        <v>0.39179442375148471</v>
      </c>
    </row>
    <row r="3" spans="1:9" x14ac:dyDescent="0.3">
      <c r="A3" t="s">
        <v>127</v>
      </c>
      <c r="B3">
        <v>28.679487179487182</v>
      </c>
      <c r="C3">
        <v>16.75074045222561</v>
      </c>
      <c r="D3">
        <f>B3*$I$2+C3*$I$3</f>
        <v>15.475901602706063</v>
      </c>
      <c r="E3">
        <v>13</v>
      </c>
      <c r="F3">
        <f>ABS(D3-E3)</f>
        <v>2.4759016027060632</v>
      </c>
      <c r="H3" t="s">
        <v>9</v>
      </c>
      <c r="I3">
        <v>0.25308961486341397</v>
      </c>
    </row>
    <row r="4" spans="1:9" x14ac:dyDescent="0.3">
      <c r="A4" t="s">
        <v>128</v>
      </c>
      <c r="B4">
        <v>33.045625284321424</v>
      </c>
      <c r="C4">
        <v>16.57805906860121</v>
      </c>
      <c r="D4">
        <f>B4*$I$2+C4*$I$3</f>
        <v>17.142826300633413</v>
      </c>
      <c r="E4">
        <v>11</v>
      </c>
      <c r="F4">
        <f>ABS(D4-E4)</f>
        <v>6.1428263006334127</v>
      </c>
    </row>
    <row r="5" spans="1:9" x14ac:dyDescent="0.3">
      <c r="H5" t="s">
        <v>12</v>
      </c>
      <c r="I5" cm="1">
        <f t="array" ref="I5">(SUM(TableWOL[PP]-TableWOL[AP]))^2</f>
        <v>0</v>
      </c>
    </row>
    <row r="7" spans="1:9" x14ac:dyDescent="0.3">
      <c r="H7" t="s">
        <v>15</v>
      </c>
      <c r="I7">
        <f>AVERAGE(TableWOL[DIFF])/5</f>
        <v>1.1491637204452636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2023-04-07T14:37:41Z</dcterms:created>
  <dcterms:modified xsi:type="dcterms:W3CDTF">2023-04-07T14:48:29Z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db28101f-9273-4c1d-a49c-4ded8eaa2f20</vt:lpwstr>
  </property>
</Properties>
</file>