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4465882B-D1BD-40B1-A1E5-18F3B77BE802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0" l="1"/>
  <c r="F4" i="20" s="1"/>
  <c r="D3" i="20"/>
  <c r="F3" i="20" s="1"/>
  <c r="D2" i="20"/>
  <c r="F2" i="20" s="1"/>
  <c r="D8" i="19"/>
  <c r="F8" i="19" s="1"/>
  <c r="D7" i="19"/>
  <c r="F7" i="19" s="1"/>
  <c r="D6" i="19"/>
  <c r="F6" i="19" s="1"/>
  <c r="D5" i="19"/>
  <c r="D4" i="19"/>
  <c r="F4" i="19" s="1"/>
  <c r="D3" i="19"/>
  <c r="F3" i="19" s="1"/>
  <c r="D2" i="19"/>
  <c r="F2" i="19" s="1"/>
  <c r="D9" i="18"/>
  <c r="F9" i="18" s="1"/>
  <c r="D8" i="18"/>
  <c r="F8" i="18" s="1"/>
  <c r="D7" i="18"/>
  <c r="F7" i="18" s="1"/>
  <c r="D6" i="18"/>
  <c r="F6" i="18" s="1"/>
  <c r="D5" i="18"/>
  <c r="D4" i="18"/>
  <c r="F4" i="18" s="1"/>
  <c r="D3" i="18"/>
  <c r="F3" i="18" s="1"/>
  <c r="D2" i="18"/>
  <c r="F2" i="18" s="1"/>
  <c r="D3" i="17"/>
  <c r="F3" i="17" s="1"/>
  <c r="D2" i="17"/>
  <c r="F2" i="17" s="1"/>
  <c r="D3" i="16"/>
  <c r="F3" i="16" s="1"/>
  <c r="D2" i="16"/>
  <c r="F2" i="16" s="1"/>
  <c r="I7" i="16" s="1"/>
  <c r="D9" i="15"/>
  <c r="F9" i="15" s="1"/>
  <c r="D8" i="15"/>
  <c r="F8" i="15" s="1"/>
  <c r="D7" i="15"/>
  <c r="F7" i="15" s="1"/>
  <c r="D6" i="15"/>
  <c r="F6" i="15" s="1"/>
  <c r="D5" i="15"/>
  <c r="D4" i="15"/>
  <c r="F4" i="15" s="1"/>
  <c r="D3" i="15"/>
  <c r="F3" i="15" s="1"/>
  <c r="D2" i="15"/>
  <c r="D5" i="14"/>
  <c r="F5" i="14" s="1"/>
  <c r="D4" i="14"/>
  <c r="F4" i="14" s="1"/>
  <c r="D3" i="14"/>
  <c r="F3" i="14" s="1"/>
  <c r="D2" i="14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9" i="12"/>
  <c r="F9" i="12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D5" i="11"/>
  <c r="F5" i="11" s="1"/>
  <c r="D4" i="11"/>
  <c r="F4" i="11" s="1"/>
  <c r="D3" i="11"/>
  <c r="F3" i="11" s="1"/>
  <c r="D2" i="11"/>
  <c r="F2" i="11" s="1"/>
  <c r="D5" i="10"/>
  <c r="F5" i="10" s="1"/>
  <c r="D4" i="10"/>
  <c r="F4" i="10" s="1"/>
  <c r="D3" i="10"/>
  <c r="F3" i="10" s="1"/>
  <c r="D2" i="10"/>
  <c r="F2" i="10" s="1"/>
  <c r="D3" i="9"/>
  <c r="F3" i="9" s="1"/>
  <c r="D2" i="9"/>
  <c r="F2" i="9" s="1"/>
  <c r="D6" i="8"/>
  <c r="F6" i="8" s="1"/>
  <c r="D5" i="8"/>
  <c r="D4" i="8"/>
  <c r="F4" i="8" s="1"/>
  <c r="D3" i="8"/>
  <c r="F3" i="8" s="1"/>
  <c r="D2" i="8"/>
  <c r="F2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3" i="6"/>
  <c r="F3" i="6" s="1"/>
  <c r="D2" i="6"/>
  <c r="F2" i="6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7" i="20" l="1"/>
  <c r="I5" i="20" a="1"/>
  <c r="I5" i="20" s="1"/>
  <c r="I5" i="19" a="1"/>
  <c r="I5" i="19" s="1"/>
  <c r="I5" i="18" a="1"/>
  <c r="I5" i="18" s="1"/>
  <c r="I5" i="17" a="1"/>
  <c r="I5" i="17" s="1"/>
  <c r="I7" i="17"/>
  <c r="I5" i="16" a="1"/>
  <c r="I5" i="16" s="1"/>
  <c r="I5" i="15" a="1"/>
  <c r="I5" i="15" s="1"/>
  <c r="F2" i="15"/>
  <c r="I5" i="14" a="1"/>
  <c r="I5" i="14" s="1"/>
  <c r="F2" i="14"/>
  <c r="I7" i="14" s="1"/>
  <c r="I5" i="13" a="1"/>
  <c r="I5" i="13" s="1"/>
  <c r="I5" i="12" a="1"/>
  <c r="I5" i="12" s="1"/>
  <c r="F2" i="12"/>
  <c r="I5" i="11" a="1"/>
  <c r="I5" i="11" s="1"/>
  <c r="I7" i="11"/>
  <c r="I7" i="10"/>
  <c r="I5" i="10" a="1"/>
  <c r="I5" i="10" s="1"/>
  <c r="I7" i="9"/>
  <c r="I5" i="9" a="1"/>
  <c r="I5" i="9" s="1"/>
  <c r="I5" i="8" a="1"/>
  <c r="I5" i="8" s="1"/>
  <c r="I5" i="7" a="1"/>
  <c r="I5" i="7" s="1"/>
  <c r="I7" i="7"/>
  <c r="I5" i="6" a="1"/>
  <c r="I5" i="6" s="1"/>
  <c r="I7" i="5"/>
  <c r="I5" i="5" a="1"/>
  <c r="I5" i="5" s="1"/>
  <c r="I5" i="4" a="1"/>
  <c r="I5" i="4" s="1"/>
  <c r="I5" i="3" a="1"/>
  <c r="I5" i="3" s="1"/>
  <c r="I5" i="2" a="1"/>
  <c r="I5" i="2" s="1"/>
  <c r="I5" i="1" a="1"/>
  <c r="I5" i="1" s="1"/>
  <c r="I7" i="2"/>
  <c r="I7" i="13"/>
  <c r="I7" i="6"/>
  <c r="F5" i="1"/>
  <c r="I7" i="1" s="1"/>
  <c r="F5" i="18"/>
  <c r="I7" i="18" s="1"/>
  <c r="F5" i="4"/>
  <c r="I7" i="4" s="1"/>
  <c r="F5" i="8"/>
  <c r="I7" i="8" s="1"/>
  <c r="F5" i="3"/>
  <c r="I7" i="3" s="1"/>
  <c r="F5" i="12"/>
  <c r="F5" i="15"/>
  <c r="F5" i="19"/>
  <c r="I7" i="19" s="1"/>
  <c r="I7" i="15" l="1"/>
  <c r="I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<sst xmlns="http://schemas.openxmlformats.org/spreadsheetml/2006/main" count="315" uniqueCount="124">
  <si>
    <t>Name</t>
  </si>
  <si>
    <t>ARIMAPP</t>
  </si>
  <si>
    <t>LSTMPP</t>
  </si>
  <si>
    <t>PP</t>
  </si>
  <si>
    <t>AP</t>
  </si>
  <si>
    <t>DIFF</t>
  </si>
  <si>
    <t>Xhaka</t>
  </si>
  <si>
    <t>ARIMA</t>
  </si>
  <si>
    <t>Ødegaard</t>
  </si>
  <si>
    <t>LSTM</t>
  </si>
  <si>
    <t>White</t>
  </si>
  <si>
    <t>Nketiah</t>
  </si>
  <si>
    <t>OFF</t>
  </si>
  <si>
    <t>Saka</t>
  </si>
  <si>
    <t>Ramsdale</t>
  </si>
  <si>
    <t>AVG</t>
  </si>
  <si>
    <t>Gabriel</t>
  </si>
  <si>
    <t>Martinelli</t>
  </si>
  <si>
    <t>Saliba</t>
  </si>
  <si>
    <t>Trossard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</si>
  <si>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</si>
  <si>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</si>
  <si>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</si>
  <si>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</si>
  <si>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</si>
  <si>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</si>
  <si>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</si>
  <si>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</si>
  <si>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</si>
  <si>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Smith</t>
  </si>
  <si>
    <t>Lerma</t>
  </si>
  <si>
    <t>Solanke</t>
  </si>
  <si>
    <t>Billing</t>
  </si>
  <si>
    <t>Toney</t>
  </si>
  <si>
    <t>Raya</t>
  </si>
  <si>
    <t>Henry</t>
  </si>
  <si>
    <t>Janelt</t>
  </si>
  <si>
    <t>Jensen</t>
  </si>
  <si>
    <t>Wissa</t>
  </si>
  <si>
    <t>Mee</t>
  </si>
  <si>
    <t>Groß</t>
  </si>
  <si>
    <t>Dunk</t>
  </si>
  <si>
    <t>March</t>
  </si>
  <si>
    <t>Webster</t>
  </si>
  <si>
    <t>Veltman</t>
  </si>
  <si>
    <t>Sánchez</t>
  </si>
  <si>
    <t>Mac Allister</t>
  </si>
  <si>
    <t>Caicedo</t>
  </si>
  <si>
    <t>Cucurella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</si>
  <si>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</si>
  <si>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</si>
  <si>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</si>
  <si>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</si>
  <si>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</si>
  <si>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</si>
  <si>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</si>
  <si>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</si>
  <si>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Mitchell</t>
  </si>
  <si>
    <t>C.Doucouré</t>
  </si>
  <si>
    <t>Pickford</t>
  </si>
  <si>
    <t>Iwobi</t>
  </si>
  <si>
    <t>Gray</t>
  </si>
  <si>
    <t>Tarkowski</t>
  </si>
  <si>
    <t>McNeil</t>
  </si>
  <si>
    <t>Reed</t>
  </si>
  <si>
    <t>Andreas</t>
  </si>
  <si>
    <t>Rodrigo</t>
  </si>
  <si>
    <t>Harrison</t>
  </si>
  <si>
    <t>Roca</t>
  </si>
  <si>
    <t>Aaronson</t>
  </si>
  <si>
    <t>Ward</t>
  </si>
  <si>
    <t>Tielemans</t>
  </si>
  <si>
    <t>Maddison</t>
  </si>
  <si>
    <t>Daka</t>
  </si>
  <si>
    <t>Henderson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</si>
  <si>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</si>
  <si>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</si>
  <si>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</si>
  <si>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</si>
  <si>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</si>
  <si>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</si>
  <si>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</si>
  <si>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</si>
  <si>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</si>
  <si>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Grealish</t>
  </si>
  <si>
    <t>Ederson</t>
  </si>
  <si>
    <t>Bernardo</t>
  </si>
  <si>
    <t>Foden</t>
  </si>
  <si>
    <t>Rodri</t>
  </si>
  <si>
    <t>Haaland</t>
  </si>
  <si>
    <t>Álvarez</t>
  </si>
  <si>
    <t>De Gea</t>
  </si>
  <si>
    <t>Fernandes</t>
  </si>
  <si>
    <t>Rashford</t>
  </si>
  <si>
    <t>Wilson</t>
  </si>
  <si>
    <t>Trippier</t>
  </si>
  <si>
    <t>Schär</t>
  </si>
  <si>
    <t>Almirón</t>
  </si>
  <si>
    <t>Joelinton</t>
  </si>
  <si>
    <t>Willock</t>
  </si>
  <si>
    <t>Bruno Guimarães</t>
  </si>
  <si>
    <t>Pope</t>
  </si>
  <si>
    <t>Wood</t>
  </si>
  <si>
    <t>Worrall</t>
  </si>
  <si>
    <t>Ward-Prowse</t>
  </si>
  <si>
    <t>Perraud</t>
  </si>
  <si>
    <t>Lloris</t>
  </si>
  <si>
    <t>Kane</t>
  </si>
  <si>
    <t>Son</t>
  </si>
  <si>
    <t>Davies</t>
  </si>
  <si>
    <t>Højbjerg</t>
  </si>
  <si>
    <t>Emerson Royal</t>
  </si>
  <si>
    <t>Kulusevski</t>
  </si>
  <si>
    <t>Perišić</t>
  </si>
  <si>
    <t>Ings</t>
  </si>
  <si>
    <t>Fabianski</t>
  </si>
  <si>
    <t>Cresswell</t>
  </si>
  <si>
    <t>Antonio</t>
  </si>
  <si>
    <t>Benrahma</t>
  </si>
  <si>
    <t>Bowen</t>
  </si>
  <si>
    <t>Soucek</t>
  </si>
  <si>
    <t>Sá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</si>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</sst>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1">
  <autoFilter ref="A1:F11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8">
  <autoFilter ref="A1:F8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9">
  <autoFilter ref="A1:F9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3">
  <autoFilter ref="A1:F3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3">
  <autoFilter ref="A1:F3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5">
  <autoFilter ref="A1:F5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5">
  <autoFilter ref="A1:F5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9">
  <autoFilter ref="A1:F9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0">
  <autoFilter ref="A1:F10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9">
  <autoFilter ref="A1:F9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3">
  <autoFilter ref="A1:F3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3">
  <autoFilter ref="A1:F3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9">
  <autoFilter ref="A1:F9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8">
  <autoFilter ref="A1:F8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4">
  <autoFilter ref="A1:F4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13.529411764705884</v>
      </c>
      <c r="C2">
        <v>17.197459573509082</v>
      </c>
      <c r="D2">
        <f t="shared" ref="D2:D11" si="0">B2*$I$2+C2*$I$3</f>
        <v>15.925620301520146</v>
      </c>
      <c r="E2">
        <v>24</v>
      </c>
      <c r="F2">
        <f t="shared" ref="F2:F11" si="1">ABS(D2-E2)</f>
        <v>8.0743796984798539</v>
      </c>
      <c r="H2" t="s">
        <v>7</v>
      </c>
      <c r="I2">
        <v>0.46203465335818039</v>
      </c>
    </row>
    <row r="3" spans="1:9" x14ac:dyDescent="0.3">
      <c r="A3" t="s">
        <v>8</v>
      </c>
      <c r="B3">
        <v>20.671649480918838</v>
      </c>
      <c r="C3">
        <v>28.298638054349482</v>
      </c>
      <c r="D3">
        <f t="shared" si="0"/>
        <v>25.470635012800855</v>
      </c>
      <c r="E3">
        <v>27</v>
      </c>
      <c r="F3">
        <f t="shared" si="1"/>
        <v>1.5293649871991448</v>
      </c>
      <c r="H3" t="s">
        <v>9</v>
      </c>
      <c r="I3">
        <v>0.56255769553177759</v>
      </c>
    </row>
    <row r="4" spans="1:9" x14ac:dyDescent="0.3">
      <c r="A4" t="s">
        <v>10</v>
      </c>
      <c r="B4">
        <v>22.464398702956245</v>
      </c>
      <c r="C4">
        <v>25.024915281189521</v>
      </c>
      <c r="D4">
        <f t="shared" si="0"/>
        <v>24.457289339084291</v>
      </c>
      <c r="E4">
        <v>25</v>
      </c>
      <c r="F4">
        <f t="shared" si="1"/>
        <v>0.5427106609157093</v>
      </c>
    </row>
    <row r="5" spans="1:9" x14ac:dyDescent="0.3">
      <c r="A5" t="s">
        <v>11</v>
      </c>
      <c r="B5">
        <v>9.5054775305497916</v>
      </c>
      <c r="C5">
        <v>19.937090490646213</v>
      </c>
      <c r="D5">
        <f t="shared" si="0"/>
        <v>15.607623697857996</v>
      </c>
      <c r="E5">
        <v>13</v>
      </c>
      <c r="F5">
        <f t="shared" si="1"/>
        <v>2.6076236978579956</v>
      </c>
      <c r="H5" t="s">
        <v>12</v>
      </c>
      <c r="I5" cm="1">
        <f t="array" ref="I5">(SUM(TableARS[PP]-TableARS[AP]))^2</f>
        <v>7.0997481469891062E-28</v>
      </c>
    </row>
    <row r="6" spans="1:9" x14ac:dyDescent="0.3">
      <c r="A6" t="s">
        <v>13</v>
      </c>
      <c r="B6">
        <v>20.649342546932601</v>
      </c>
      <c r="C6">
        <v>30.27713867407294</v>
      </c>
      <c r="D6">
        <f t="shared" si="0"/>
        <v>26.573349185528862</v>
      </c>
      <c r="E6">
        <v>23</v>
      </c>
      <c r="F6">
        <f t="shared" si="1"/>
        <v>3.5733491855288619</v>
      </c>
    </row>
    <row r="7" spans="1:9" x14ac:dyDescent="0.3">
      <c r="A7" t="s">
        <v>14</v>
      </c>
      <c r="B7">
        <v>20.07086616161536</v>
      </c>
      <c r="C7">
        <v>20.900842177383222</v>
      </c>
      <c r="D7">
        <f t="shared" si="0"/>
        <v>21.03136529956247</v>
      </c>
      <c r="E7">
        <v>14</v>
      </c>
      <c r="F7">
        <f t="shared" si="1"/>
        <v>7.03136529956247</v>
      </c>
      <c r="H7" t="s">
        <v>15</v>
      </c>
      <c r="I7">
        <f>AVERAGE(TableARS[DIFF])/5</f>
        <v>1.0262570219920282</v>
      </c>
    </row>
    <row r="8" spans="1:9" x14ac:dyDescent="0.3">
      <c r="A8" t="s">
        <v>16</v>
      </c>
      <c r="B8">
        <v>19.109412034831632</v>
      </c>
      <c r="C8">
        <v>22.857239422775983</v>
      </c>
      <c r="D8">
        <f t="shared" si="0"/>
        <v>21.687726501287031</v>
      </c>
      <c r="E8">
        <v>20</v>
      </c>
      <c r="F8">
        <f t="shared" si="1"/>
        <v>1.6877265012870311</v>
      </c>
    </row>
    <row r="9" spans="1:9" x14ac:dyDescent="0.3">
      <c r="A9" t="s">
        <v>17</v>
      </c>
      <c r="B9">
        <v>25.195816733253849</v>
      </c>
      <c r="C9">
        <v>29.425512459268063</v>
      </c>
      <c r="D9">
        <f t="shared" si="0"/>
        <v>28.194888929352633</v>
      </c>
      <c r="E9">
        <v>38</v>
      </c>
      <c r="F9">
        <f t="shared" si="1"/>
        <v>9.8051110706473672</v>
      </c>
    </row>
    <row r="10" spans="1:9" x14ac:dyDescent="0.3">
      <c r="A10" t="s">
        <v>18</v>
      </c>
      <c r="B10">
        <v>28.130557708284094</v>
      </c>
      <c r="C10">
        <v>24.458057360745464</v>
      </c>
      <c r="D10">
        <f t="shared" si="0"/>
        <v>26.756360865564329</v>
      </c>
      <c r="E10">
        <v>16</v>
      </c>
      <c r="F10">
        <f t="shared" si="1"/>
        <v>10.756360865564329</v>
      </c>
    </row>
    <row r="11" spans="1:9" x14ac:dyDescent="0.3">
      <c r="A11" t="s">
        <v>19</v>
      </c>
      <c r="B11">
        <v>18.583091174714724</v>
      </c>
      <c r="C11">
        <v>22.591653939059263</v>
      </c>
      <c r="D11">
        <f t="shared" si="0"/>
        <v>21.295140867441361</v>
      </c>
      <c r="E11">
        <v>27</v>
      </c>
      <c r="F11">
        <f t="shared" si="1"/>
        <v>5.7048591325586386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20</v>
      </c>
      <c r="B2">
        <v>20.956521720760094</v>
      </c>
      <c r="C2">
        <v>22.490782086293258</v>
      </c>
      <c r="D2">
        <f t="shared" ref="D2:D10" si="0">B2*$I$2+C2*$I$3</f>
        <v>32.015229825838162</v>
      </c>
      <c r="E2">
        <v>28</v>
      </c>
      <c r="F2">
        <f t="shared" ref="F2:F10" si="1">ABS(D2-E2)</f>
        <v>4.015229825838162</v>
      </c>
      <c r="H2" t="s">
        <v>7</v>
      </c>
      <c r="I2">
        <v>0.65883966426100882</v>
      </c>
    </row>
    <row r="3" spans="1:9" x14ac:dyDescent="0.3">
      <c r="A3" t="s">
        <v>21</v>
      </c>
      <c r="B3">
        <v>14.869174081853826</v>
      </c>
      <c r="C3">
        <v>16.690709080325135</v>
      </c>
      <c r="D3">
        <f t="shared" si="0"/>
        <v>23.308980744247378</v>
      </c>
      <c r="E3">
        <v>12</v>
      </c>
      <c r="F3">
        <f t="shared" si="1"/>
        <v>11.308980744247378</v>
      </c>
      <c r="H3" t="s">
        <v>9</v>
      </c>
      <c r="I3">
        <v>0.80958687969996579</v>
      </c>
    </row>
    <row r="4" spans="1:9" x14ac:dyDescent="0.3">
      <c r="A4" t="s">
        <v>22</v>
      </c>
      <c r="B4">
        <v>22.611111111111107</v>
      </c>
      <c r="C4">
        <v>23.518249634376392</v>
      </c>
      <c r="D4">
        <f t="shared" si="0"/>
        <v>33.93716319051245</v>
      </c>
      <c r="E4">
        <v>45</v>
      </c>
      <c r="F4">
        <f t="shared" si="1"/>
        <v>11.06283680948755</v>
      </c>
    </row>
    <row r="5" spans="1:9" x14ac:dyDescent="0.3">
      <c r="A5" t="s">
        <v>23</v>
      </c>
      <c r="B5">
        <v>14.642857142857142</v>
      </c>
      <c r="C5">
        <v>17.719165691622091</v>
      </c>
      <c r="D5">
        <f t="shared" si="0"/>
        <v>23.99249914698893</v>
      </c>
      <c r="E5">
        <v>22</v>
      </c>
      <c r="F5">
        <f t="shared" si="1"/>
        <v>1.9924991469889299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24</v>
      </c>
      <c r="B6">
        <v>7.0561870800913082</v>
      </c>
      <c r="C6">
        <v>18.076123893175065</v>
      </c>
      <c r="D6">
        <f t="shared" si="0"/>
        <v>19.283088666555823</v>
      </c>
      <c r="E6">
        <v>29</v>
      </c>
      <c r="F6">
        <f t="shared" si="1"/>
        <v>9.7169113334441768</v>
      </c>
    </row>
    <row r="7" spans="1:9" x14ac:dyDescent="0.3">
      <c r="A7" t="s">
        <v>25</v>
      </c>
      <c r="B7">
        <v>13.581173948315652</v>
      </c>
      <c r="C7">
        <v>15.754867422550497</v>
      </c>
      <c r="D7">
        <f t="shared" si="0"/>
        <v>21.702750041087945</v>
      </c>
      <c r="E7">
        <v>21</v>
      </c>
      <c r="F7">
        <f t="shared" si="1"/>
        <v>0.70275004108794548</v>
      </c>
      <c r="H7" t="s">
        <v>15</v>
      </c>
      <c r="I7">
        <f>AVERAGE(TableAVL[DIFF])/5</f>
        <v>1.3707023333364519</v>
      </c>
    </row>
    <row r="8" spans="1:9" x14ac:dyDescent="0.3">
      <c r="A8" t="s">
        <v>26</v>
      </c>
      <c r="B8">
        <v>15.11244931797021</v>
      </c>
      <c r="C8">
        <v>17.942965166361436</v>
      </c>
      <c r="D8">
        <f t="shared" si="0"/>
        <v>24.483070216412738</v>
      </c>
      <c r="E8">
        <v>12</v>
      </c>
      <c r="F8">
        <f t="shared" si="1"/>
        <v>12.483070216412738</v>
      </c>
    </row>
    <row r="9" spans="1:9" x14ac:dyDescent="0.3">
      <c r="A9" t="s">
        <v>27</v>
      </c>
      <c r="B9">
        <v>12.369527493104409</v>
      </c>
      <c r="C9">
        <v>16.290700251662376</v>
      </c>
      <c r="D9">
        <f t="shared" si="0"/>
        <v>21.338272525495015</v>
      </c>
      <c r="E9">
        <v>21</v>
      </c>
      <c r="F9">
        <f t="shared" si="1"/>
        <v>0.33827252549501452</v>
      </c>
    </row>
    <row r="10" spans="1:9" x14ac:dyDescent="0.3">
      <c r="A10" t="s">
        <v>28</v>
      </c>
      <c r="B10">
        <v>13.048194388252647</v>
      </c>
      <c r="C10">
        <v>16.480353088031119</v>
      </c>
      <c r="D10">
        <f t="shared" si="0"/>
        <v>21.938945642861562</v>
      </c>
      <c r="E10">
        <v>32</v>
      </c>
      <c r="F10">
        <f t="shared" si="1"/>
        <v>10.061054357138438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29</v>
      </c>
      <c r="B2">
        <v>11.606940209727066</v>
      </c>
      <c r="C2">
        <v>11.113196950099525</v>
      </c>
      <c r="D2">
        <f>B2*$I$2+C2*$I$3</f>
        <v>15.627919216755583</v>
      </c>
      <c r="E2">
        <v>15</v>
      </c>
      <c r="F2">
        <f>ABS(D2-E2)</f>
        <v>0.62791921675558271</v>
      </c>
      <c r="H2" t="s">
        <v>7</v>
      </c>
      <c r="I2">
        <v>0.62042521018188956</v>
      </c>
    </row>
    <row r="3" spans="1:9" x14ac:dyDescent="0.3">
      <c r="A3" t="s">
        <v>30</v>
      </c>
      <c r="B3">
        <v>10.120058483751999</v>
      </c>
      <c r="C3">
        <v>16.589138101104464</v>
      </c>
      <c r="D3">
        <f>B3*$I$2+C3*$I$3</f>
        <v>18.857601621455515</v>
      </c>
      <c r="E3">
        <v>11</v>
      </c>
      <c r="F3">
        <f>ABS(D3-E3)</f>
        <v>7.8576016214555153</v>
      </c>
      <c r="H3" t="s">
        <v>9</v>
      </c>
      <c r="I3">
        <v>0.75825893623630747</v>
      </c>
    </row>
    <row r="4" spans="1:9" x14ac:dyDescent="0.3">
      <c r="A4" t="s">
        <v>31</v>
      </c>
      <c r="B4">
        <v>12.74940478847865</v>
      </c>
      <c r="C4">
        <v>16.109648802497304</v>
      </c>
      <c r="D4">
        <f>B4*$I$2+C4*$I$3</f>
        <v>20.125337309707966</v>
      </c>
      <c r="E4">
        <v>23</v>
      </c>
      <c r="F4">
        <f>ABS(D4-E4)</f>
        <v>2.874662690292034</v>
      </c>
    </row>
    <row r="5" spans="1:9" x14ac:dyDescent="0.3">
      <c r="A5" t="s">
        <v>32</v>
      </c>
      <c r="B5">
        <v>14.000169375478555</v>
      </c>
      <c r="C5">
        <v>15.434152194508908</v>
      </c>
      <c r="D5">
        <f>B5*$I$2+C5*$I$3</f>
        <v>20.389141852080932</v>
      </c>
      <c r="E5">
        <v>26</v>
      </c>
      <c r="F5">
        <f>ABS(D5-E5)</f>
        <v>5.6108581479190676</v>
      </c>
      <c r="H5" t="s">
        <v>12</v>
      </c>
      <c r="I5" cm="1">
        <f t="array" ref="I5">(SUM(TableBOU[PP]-TableBOU[AP]))^2</f>
        <v>1.2621774483536189E-29</v>
      </c>
    </row>
    <row r="7" spans="1:9" x14ac:dyDescent="0.3">
      <c r="H7" t="s">
        <v>15</v>
      </c>
      <c r="I7">
        <f>AVERAGE(TableBOU[DIFF])/5</f>
        <v>0.84855208382111003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33</v>
      </c>
      <c r="B2">
        <v>24.482189412636103</v>
      </c>
      <c r="C2">
        <v>27.952754192584422</v>
      </c>
      <c r="D2">
        <f t="shared" ref="D2:D8" si="0">B2*$I$2+C2*$I$3</f>
        <v>19.631403525388585</v>
      </c>
      <c r="E2">
        <v>21</v>
      </c>
      <c r="F2">
        <f t="shared" ref="F2:F8" si="1">ABS(D2-E2)</f>
        <v>1.3685964746114152</v>
      </c>
      <c r="H2" t="s">
        <v>7</v>
      </c>
      <c r="I2">
        <v>0.3688261468882767</v>
      </c>
    </row>
    <row r="3" spans="1:9" x14ac:dyDescent="0.3">
      <c r="A3" t="s">
        <v>34</v>
      </c>
      <c r="B3">
        <v>32.109476859675297</v>
      </c>
      <c r="C3">
        <v>24.444893826396815</v>
      </c>
      <c r="D3">
        <f t="shared" si="0"/>
        <v>21.114108963072283</v>
      </c>
      <c r="E3">
        <v>15</v>
      </c>
      <c r="F3">
        <f t="shared" si="1"/>
        <v>6.1141089630722831</v>
      </c>
      <c r="H3" t="s">
        <v>9</v>
      </c>
      <c r="I3">
        <v>0.37927325028134729</v>
      </c>
    </row>
    <row r="4" spans="1:9" x14ac:dyDescent="0.3">
      <c r="A4" t="s">
        <v>35</v>
      </c>
      <c r="B4">
        <v>15.999999965075403</v>
      </c>
      <c r="C4">
        <v>17.601819427145703</v>
      </c>
      <c r="D4">
        <f t="shared" si="0"/>
        <v>12.577117602330237</v>
      </c>
      <c r="E4">
        <v>16</v>
      </c>
      <c r="F4">
        <f t="shared" si="1"/>
        <v>3.4228823976697633</v>
      </c>
    </row>
    <row r="5" spans="1:9" x14ac:dyDescent="0.3">
      <c r="A5" t="s">
        <v>36</v>
      </c>
      <c r="B5">
        <v>19.779932215045211</v>
      </c>
      <c r="C5">
        <v>16.091265573340575</v>
      </c>
      <c r="D5">
        <f t="shared" si="0"/>
        <v>13.398342779727649</v>
      </c>
      <c r="E5">
        <v>11</v>
      </c>
      <c r="F5">
        <f t="shared" si="1"/>
        <v>2.3983427797276491</v>
      </c>
      <c r="H5" t="s">
        <v>12</v>
      </c>
      <c r="I5" cm="1">
        <f t="array" ref="I5">(SUM(TableBRE[PP]-TableBRE[AP]))^2</f>
        <v>3.1554436208840472E-30</v>
      </c>
    </row>
    <row r="6" spans="1:9" x14ac:dyDescent="0.3">
      <c r="A6" t="s">
        <v>37</v>
      </c>
      <c r="B6">
        <v>13.523053777225531</v>
      </c>
      <c r="C6">
        <v>18.391654547531864</v>
      </c>
      <c r="D6">
        <f t="shared" si="0"/>
        <v>11.963118417111181</v>
      </c>
      <c r="E6">
        <v>18</v>
      </c>
      <c r="F6">
        <f t="shared" si="1"/>
        <v>6.0368815828888192</v>
      </c>
    </row>
    <row r="7" spans="1:9" x14ac:dyDescent="0.3">
      <c r="A7" t="s">
        <v>38</v>
      </c>
      <c r="B7">
        <v>16.411764681287323</v>
      </c>
      <c r="C7">
        <v>15.968059624725552</v>
      </c>
      <c r="D7">
        <f t="shared" si="0"/>
        <v>12.109345805592319</v>
      </c>
      <c r="E7">
        <v>11</v>
      </c>
      <c r="F7">
        <f t="shared" si="1"/>
        <v>1.1093458055923193</v>
      </c>
      <c r="H7" t="s">
        <v>15</v>
      </c>
      <c r="I7">
        <f>AVERAGE(TableBRE[DIFF])/5</f>
        <v>0.61876345458114268</v>
      </c>
    </row>
    <row r="8" spans="1:9" x14ac:dyDescent="0.3">
      <c r="A8" t="s">
        <v>39</v>
      </c>
      <c r="B8">
        <v>16.06223043762941</v>
      </c>
      <c r="C8">
        <v>21.837533593237488</v>
      </c>
      <c r="D8">
        <f t="shared" si="0"/>
        <v>14.206562906777744</v>
      </c>
      <c r="E8">
        <v>13</v>
      </c>
      <c r="F8">
        <f t="shared" si="1"/>
        <v>1.2065629067777444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40</v>
      </c>
      <c r="B2">
        <v>15.896036320095771</v>
      </c>
      <c r="C2">
        <v>19.708846322889961</v>
      </c>
      <c r="D2">
        <f t="shared" ref="D2:D9" si="0">B2*$I$2+C2*$I$3</f>
        <v>20.959215539180956</v>
      </c>
      <c r="E2">
        <v>21</v>
      </c>
      <c r="F2">
        <f t="shared" ref="F2:F9" si="1">ABS(D2-E2)</f>
        <v>4.0784460819043744E-2</v>
      </c>
      <c r="H2" t="s">
        <v>7</v>
      </c>
      <c r="I2">
        <v>0.56613495778147249</v>
      </c>
    </row>
    <row r="3" spans="1:9" x14ac:dyDescent="0.3">
      <c r="A3" t="s">
        <v>41</v>
      </c>
      <c r="B3">
        <v>17.313264400504579</v>
      </c>
      <c r="C3">
        <v>16.520001150367285</v>
      </c>
      <c r="D3">
        <f t="shared" si="0"/>
        <v>19.826471876687037</v>
      </c>
      <c r="E3">
        <v>29</v>
      </c>
      <c r="F3">
        <f t="shared" si="1"/>
        <v>9.1735281233129626</v>
      </c>
      <c r="H3" t="s">
        <v>9</v>
      </c>
      <c r="I3">
        <v>0.60682971962293264</v>
      </c>
    </row>
    <row r="4" spans="1:9" x14ac:dyDescent="0.3">
      <c r="A4" t="s">
        <v>42</v>
      </c>
      <c r="B4">
        <v>25.863636353165283</v>
      </c>
      <c r="C4">
        <v>30.294563986141206</v>
      </c>
      <c r="D4">
        <f t="shared" si="0"/>
        <v>33.025950444683644</v>
      </c>
      <c r="E4">
        <v>27</v>
      </c>
      <c r="F4">
        <f t="shared" si="1"/>
        <v>6.0259504446836445</v>
      </c>
    </row>
    <row r="5" spans="1:9" x14ac:dyDescent="0.3">
      <c r="A5" t="s">
        <v>43</v>
      </c>
      <c r="B5">
        <v>17.074045017144055</v>
      </c>
      <c r="C5">
        <v>14.288359647410061</v>
      </c>
      <c r="D5">
        <f t="shared" si="0"/>
        <v>18.336815033649284</v>
      </c>
      <c r="E5">
        <v>19</v>
      </c>
      <c r="F5">
        <f t="shared" si="1"/>
        <v>0.66318496635071611</v>
      </c>
      <c r="H5" t="s">
        <v>12</v>
      </c>
      <c r="I5" cm="1">
        <f t="array" ref="I5">(SUM(TableBHA[PP]-TableBHA[AP]))^2</f>
        <v>1.135959703518257E-28</v>
      </c>
    </row>
    <row r="6" spans="1:9" x14ac:dyDescent="0.3">
      <c r="A6" t="s">
        <v>44</v>
      </c>
      <c r="B6">
        <v>14.80519484293788</v>
      </c>
      <c r="C6">
        <v>15.693575504970873</v>
      </c>
      <c r="D6">
        <f t="shared" si="0"/>
        <v>17.905066380915912</v>
      </c>
      <c r="E6">
        <v>26</v>
      </c>
      <c r="F6">
        <f t="shared" si="1"/>
        <v>8.0949336190840881</v>
      </c>
    </row>
    <row r="7" spans="1:9" x14ac:dyDescent="0.3">
      <c r="A7" t="s">
        <v>45</v>
      </c>
      <c r="B7">
        <v>19.117064357155641</v>
      </c>
      <c r="C7">
        <v>19.699473926287553</v>
      </c>
      <c r="D7">
        <f t="shared" si="0"/>
        <v>22.777064662152348</v>
      </c>
      <c r="E7">
        <v>14</v>
      </c>
      <c r="F7">
        <f t="shared" si="1"/>
        <v>8.7770646621523483</v>
      </c>
      <c r="H7" t="s">
        <v>15</v>
      </c>
      <c r="I7">
        <f>AVERAGE(TableBHA[DIFF])/5</f>
        <v>1.0192046062961126</v>
      </c>
    </row>
    <row r="8" spans="1:9" x14ac:dyDescent="0.3">
      <c r="A8" t="s">
        <v>46</v>
      </c>
      <c r="B8">
        <v>19.881578934441769</v>
      </c>
      <c r="C8">
        <v>17.027317316274157</v>
      </c>
      <c r="D8">
        <f t="shared" si="0"/>
        <v>21.588339043644556</v>
      </c>
      <c r="E8">
        <v>24</v>
      </c>
      <c r="F8">
        <f t="shared" si="1"/>
        <v>2.4116609563554441</v>
      </c>
    </row>
    <row r="9" spans="1:9" x14ac:dyDescent="0.3">
      <c r="A9" t="s">
        <v>47</v>
      </c>
      <c r="B9">
        <v>11.428571392787838</v>
      </c>
      <c r="C9">
        <v>18.309853451198492</v>
      </c>
      <c r="D9">
        <f t="shared" si="0"/>
        <v>17.581077019086251</v>
      </c>
      <c r="E9">
        <v>12</v>
      </c>
      <c r="F9">
        <f t="shared" si="1"/>
        <v>5.5810770190862513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48</v>
      </c>
      <c r="B2">
        <v>11.897926371329671</v>
      </c>
      <c r="C2">
        <v>22.959910473880502</v>
      </c>
      <c r="D2">
        <f>B2*$I$2+C2*$I$3</f>
        <v>20.067572634340895</v>
      </c>
      <c r="E2">
        <v>16</v>
      </c>
      <c r="F2">
        <f>ABS(D2-E2)</f>
        <v>4.0675726343408947</v>
      </c>
      <c r="H2" t="s">
        <v>7</v>
      </c>
      <c r="I2">
        <v>0.44678685475819663</v>
      </c>
    </row>
    <row r="3" spans="1:9" x14ac:dyDescent="0.3">
      <c r="A3" t="s">
        <v>49</v>
      </c>
      <c r="B3">
        <v>16.554054052053413</v>
      </c>
      <c r="C3">
        <v>17.955329268146649</v>
      </c>
      <c r="D3">
        <f>B3*$I$2+C3*$I$3</f>
        <v>18.932427365659102</v>
      </c>
      <c r="E3">
        <v>23</v>
      </c>
      <c r="F3">
        <f>ABS(D3-E3)</f>
        <v>4.0675726343408982</v>
      </c>
      <c r="H3" t="s">
        <v>9</v>
      </c>
      <c r="I3">
        <v>0.64249969744140234</v>
      </c>
    </row>
    <row r="5" spans="1:9" x14ac:dyDescent="0.3">
      <c r="H5" t="s">
        <v>12</v>
      </c>
      <c r="I5" cm="1">
        <f t="array" ref="I5">(SUM(TableCHE[PP]-TableCHE[AP]))^2</f>
        <v>1.2621774483536189E-29</v>
      </c>
    </row>
    <row r="7" spans="1:9" x14ac:dyDescent="0.3">
      <c r="H7" t="s">
        <v>15</v>
      </c>
      <c r="I7">
        <f>AVERAGE(TableCHE[DIFF])/5</f>
        <v>0.81351452686817927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50</v>
      </c>
      <c r="B2">
        <v>18.44901491268396</v>
      </c>
      <c r="C2">
        <v>18.864932552557647</v>
      </c>
      <c r="D2">
        <f t="shared" ref="D2:D10" si="0">B2*$I$2+C2*$I$3</f>
        <v>15.109375519537316</v>
      </c>
      <c r="E2">
        <v>19</v>
      </c>
      <c r="F2">
        <f t="shared" ref="F2:F10" si="1">ABS(D2-E2)</f>
        <v>3.8906244804626837</v>
      </c>
      <c r="H2" t="s">
        <v>7</v>
      </c>
      <c r="I2">
        <v>0.49205657504504963</v>
      </c>
    </row>
    <row r="3" spans="1:9" x14ac:dyDescent="0.3">
      <c r="A3" t="s">
        <v>51</v>
      </c>
      <c r="B3">
        <v>26.297872424468082</v>
      </c>
      <c r="C3">
        <v>14.400517263817918</v>
      </c>
      <c r="D3">
        <f t="shared" si="0"/>
        <v>17.544113495149215</v>
      </c>
      <c r="E3">
        <v>22</v>
      </c>
      <c r="F3">
        <f t="shared" si="1"/>
        <v>4.4558865048507847</v>
      </c>
      <c r="H3" t="s">
        <v>9</v>
      </c>
      <c r="I3">
        <v>0.31971576955515174</v>
      </c>
    </row>
    <row r="4" spans="1:9" x14ac:dyDescent="0.3">
      <c r="A4" t="s">
        <v>52</v>
      </c>
      <c r="B4">
        <v>13.17819069386081</v>
      </c>
      <c r="C4">
        <v>13.992133040511153</v>
      </c>
      <c r="D4">
        <f t="shared" si="0"/>
        <v>10.957920960876784</v>
      </c>
      <c r="E4">
        <v>20</v>
      </c>
      <c r="F4">
        <f t="shared" si="1"/>
        <v>9.042079039123216</v>
      </c>
    </row>
    <row r="5" spans="1:9" x14ac:dyDescent="0.3">
      <c r="A5" t="s">
        <v>53</v>
      </c>
      <c r="B5">
        <v>93.512820510116711</v>
      </c>
      <c r="C5">
        <v>17.502729815225592</v>
      </c>
      <c r="D5">
        <f t="shared" si="0"/>
        <v>51.609496915201248</v>
      </c>
      <c r="E5">
        <v>11</v>
      </c>
      <c r="F5">
        <f t="shared" si="1"/>
        <v>40.609496915201248</v>
      </c>
      <c r="H5" t="s">
        <v>12</v>
      </c>
      <c r="I5" cm="1">
        <f t="array" ref="I5">(SUM(TableCRY[PP]-TableCRY[AP]))^2</f>
        <v>3.1554436208840472E-28</v>
      </c>
    </row>
    <row r="6" spans="1:9" x14ac:dyDescent="0.3">
      <c r="A6" t="s">
        <v>54</v>
      </c>
      <c r="B6">
        <v>14.10428926237325</v>
      </c>
      <c r="C6">
        <v>14.266143387847482</v>
      </c>
      <c r="D6">
        <f t="shared" si="0"/>
        <v>11.501219279717848</v>
      </c>
      <c r="E6">
        <v>14</v>
      </c>
      <c r="F6">
        <f t="shared" si="1"/>
        <v>2.4987807202821521</v>
      </c>
    </row>
    <row r="7" spans="1:9" x14ac:dyDescent="0.3">
      <c r="A7" t="s">
        <v>55</v>
      </c>
      <c r="B7">
        <v>14.4188625433673</v>
      </c>
      <c r="C7">
        <v>16.190556006838328</v>
      </c>
      <c r="D7">
        <f t="shared" si="0"/>
        <v>12.271272192386768</v>
      </c>
      <c r="E7">
        <v>18</v>
      </c>
      <c r="F7">
        <f t="shared" si="1"/>
        <v>5.7287278076132324</v>
      </c>
      <c r="H7" t="s">
        <v>15</v>
      </c>
      <c r="I7">
        <f>AVERAGE(TableCRY[DIFF])/5</f>
        <v>1.828241118174099</v>
      </c>
    </row>
    <row r="8" spans="1:9" x14ac:dyDescent="0.3">
      <c r="A8" t="s">
        <v>56</v>
      </c>
      <c r="B8">
        <v>18.716417889782591</v>
      </c>
      <c r="C8">
        <v>18.45147794714207</v>
      </c>
      <c r="D8">
        <f t="shared" si="0"/>
        <v>15.108764955258756</v>
      </c>
      <c r="E8">
        <v>30</v>
      </c>
      <c r="F8">
        <f t="shared" si="1"/>
        <v>14.891235044741244</v>
      </c>
    </row>
    <row r="9" spans="1:9" x14ac:dyDescent="0.3">
      <c r="A9" t="s">
        <v>57</v>
      </c>
      <c r="B9">
        <v>15.430149510751713</v>
      </c>
      <c r="C9">
        <v>15.430648697393725</v>
      </c>
      <c r="D9">
        <f t="shared" si="0"/>
        <v>12.52592824371597</v>
      </c>
      <c r="E9">
        <v>12</v>
      </c>
      <c r="F9">
        <f t="shared" si="1"/>
        <v>0.52592824371597047</v>
      </c>
    </row>
    <row r="10" spans="1:9" x14ac:dyDescent="0.3">
      <c r="A10" t="s">
        <v>58</v>
      </c>
      <c r="B10">
        <v>11.67338748285632</v>
      </c>
      <c r="C10">
        <v>17.602952090848333</v>
      </c>
      <c r="D10">
        <f t="shared" si="0"/>
        <v>11.371908438156076</v>
      </c>
      <c r="E10">
        <v>12</v>
      </c>
      <c r="F10">
        <f t="shared" si="1"/>
        <v>0.62809156184392378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41.34990296034124</v>
      </c>
      <c r="C2">
        <v>16.954912872575925</v>
      </c>
      <c r="D2">
        <f>B2*$I$2+C2*$I$3</f>
        <v>27.891299598439154</v>
      </c>
      <c r="E2">
        <v>18</v>
      </c>
      <c r="F2">
        <f>ABS(D2-E2)</f>
        <v>9.8912995984391543</v>
      </c>
      <c r="H2" t="s">
        <v>7</v>
      </c>
      <c r="I2">
        <v>0.5129039868519466</v>
      </c>
    </row>
    <row r="3" spans="1:9" x14ac:dyDescent="0.3">
      <c r="A3" t="s">
        <v>60</v>
      </c>
      <c r="B3">
        <v>13.126989206583666</v>
      </c>
      <c r="C3">
        <v>15.822369379317745</v>
      </c>
      <c r="D3">
        <f>B3*$I$2+C3*$I$3</f>
        <v>12.96926322322418</v>
      </c>
      <c r="E3">
        <v>11</v>
      </c>
      <c r="F3">
        <f>ABS(D3-E3)</f>
        <v>1.9692632232241802</v>
      </c>
      <c r="H3" t="s">
        <v>9</v>
      </c>
      <c r="I3">
        <v>0.39414944590769357</v>
      </c>
    </row>
    <row r="4" spans="1:9" x14ac:dyDescent="0.3">
      <c r="A4" t="s">
        <v>61</v>
      </c>
      <c r="B4">
        <v>14.322613635860851</v>
      </c>
      <c r="C4">
        <v>15.769482877869475</v>
      </c>
      <c r="D4">
        <f>B4*$I$2+C4*$I$3</f>
        <v>13.561658574536199</v>
      </c>
      <c r="E4">
        <v>10</v>
      </c>
      <c r="F4">
        <f>ABS(D4-E4)</f>
        <v>3.5616585745361995</v>
      </c>
    </row>
    <row r="5" spans="1:9" x14ac:dyDescent="0.3">
      <c r="A5" t="s">
        <v>62</v>
      </c>
      <c r="B5">
        <v>15.823810025296417</v>
      </c>
      <c r="C5">
        <v>14.42161034971793</v>
      </c>
      <c r="D5">
        <f>B5*$I$2+C5*$I$3</f>
        <v>13.800364977600317</v>
      </c>
      <c r="E5">
        <v>16</v>
      </c>
      <c r="F5">
        <f>ABS(D5-E5)</f>
        <v>2.1996350223996828</v>
      </c>
      <c r="H5" t="s">
        <v>12</v>
      </c>
      <c r="I5" cm="1">
        <f t="array" ref="I5">(SUM(TableEVE[PP]-TableEVE[AP]))^2</f>
        <v>7.8886090522101181E-29</v>
      </c>
    </row>
    <row r="6" spans="1:9" x14ac:dyDescent="0.3">
      <c r="A6" t="s">
        <v>63</v>
      </c>
      <c r="B6">
        <v>14.666391679837664</v>
      </c>
      <c r="C6">
        <v>13.33241214833485</v>
      </c>
      <c r="D6">
        <f>B6*$I$2+C6*$I$3</f>
        <v>12.77741362620014</v>
      </c>
      <c r="E6">
        <v>26</v>
      </c>
      <c r="F6">
        <f>ABS(D6-E6)</f>
        <v>13.22258637379986</v>
      </c>
    </row>
    <row r="7" spans="1:9" x14ac:dyDescent="0.3">
      <c r="H7" t="s">
        <v>15</v>
      </c>
      <c r="I7">
        <f>AVERAGE(TableEVE[DIFF])/5</f>
        <v>1.233777711695963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64</v>
      </c>
      <c r="B2">
        <v>29.738806568343058</v>
      </c>
      <c r="C2">
        <v>14.908822910554866</v>
      </c>
      <c r="D2">
        <f>B2*$I$2+C2*$I$3</f>
        <v>19.628972344286023</v>
      </c>
      <c r="E2">
        <v>18</v>
      </c>
      <c r="F2">
        <f>ABS(D2-E2)</f>
        <v>1.6289723442860229</v>
      </c>
      <c r="H2" t="s">
        <v>7</v>
      </c>
      <c r="I2">
        <v>0.47921104097559797</v>
      </c>
    </row>
    <row r="3" spans="1:9" x14ac:dyDescent="0.3">
      <c r="A3" t="s">
        <v>65</v>
      </c>
      <c r="B3">
        <v>20.8787259263616</v>
      </c>
      <c r="C3">
        <v>23.192147494715147</v>
      </c>
      <c r="D3">
        <f>B3*$I$2+C3*$I$3</f>
        <v>18.371027655713974</v>
      </c>
      <c r="E3">
        <v>20</v>
      </c>
      <c r="F3">
        <f>ABS(D3-E3)</f>
        <v>1.6289723442860264</v>
      </c>
      <c r="H3" t="s">
        <v>9</v>
      </c>
      <c r="I3">
        <v>0.36071311085807561</v>
      </c>
    </row>
    <row r="5" spans="1:9" x14ac:dyDescent="0.3">
      <c r="H5" t="s">
        <v>12</v>
      </c>
      <c r="I5" cm="1">
        <f t="array" ref="I5">(SUM(TableFUL[PP]-TableFUL[AP]))^2</f>
        <v>1.2621774483536189E-29</v>
      </c>
    </row>
    <row r="7" spans="1:9" x14ac:dyDescent="0.3">
      <c r="H7" t="s">
        <v>15</v>
      </c>
      <c r="I7">
        <f>AVERAGE(TableFUL[DIFF])/5</f>
        <v>0.32579446885720492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66</v>
      </c>
      <c r="B2">
        <v>16.987946762848864</v>
      </c>
      <c r="C2">
        <v>21.523906660951447</v>
      </c>
      <c r="D2">
        <f>B2*$I$2+C2*$I$3</f>
        <v>20.005719048918692</v>
      </c>
      <c r="E2">
        <v>11</v>
      </c>
      <c r="F2">
        <f>ABS(D2-E2)</f>
        <v>9.0057190489186922</v>
      </c>
      <c r="H2" t="s">
        <v>7</v>
      </c>
      <c r="I2">
        <v>0.46972244229659754</v>
      </c>
    </row>
    <row r="3" spans="1:9" x14ac:dyDescent="0.3">
      <c r="A3" t="s">
        <v>67</v>
      </c>
      <c r="B3">
        <v>21.711288643575418</v>
      </c>
      <c r="C3">
        <v>17.901971091979647</v>
      </c>
      <c r="D3">
        <f>B3*$I$2+C3*$I$3</f>
        <v>20.200686790954329</v>
      </c>
      <c r="E3">
        <v>32</v>
      </c>
      <c r="F3">
        <f>ABS(D3-E3)</f>
        <v>11.799313209045671</v>
      </c>
      <c r="H3" t="s">
        <v>9</v>
      </c>
      <c r="I3">
        <v>0.55873217605456482</v>
      </c>
    </row>
    <row r="4" spans="1:9" x14ac:dyDescent="0.3">
      <c r="A4" t="s">
        <v>68</v>
      </c>
      <c r="B4">
        <v>11.857619424745781</v>
      </c>
      <c r="C4">
        <v>17.82958610406757</v>
      </c>
      <c r="D4">
        <f>B4*$I$2+C4*$I$3</f>
        <v>15.531753398093068</v>
      </c>
      <c r="E4">
        <v>17</v>
      </c>
      <c r="F4">
        <f>ABS(D4-E4)</f>
        <v>1.468246601906932</v>
      </c>
    </row>
    <row r="5" spans="1:9" x14ac:dyDescent="0.3">
      <c r="A5" t="s">
        <v>69</v>
      </c>
      <c r="B5">
        <v>12.916666652246189</v>
      </c>
      <c r="C5">
        <v>18.245937844134865</v>
      </c>
      <c r="D5">
        <f>B5*$I$2+C5*$I$3</f>
        <v>16.261840762033906</v>
      </c>
      <c r="E5">
        <v>12</v>
      </c>
      <c r="F5">
        <f>ABS(D5-E5)</f>
        <v>4.2618407620339056</v>
      </c>
      <c r="H5" t="s">
        <v>12</v>
      </c>
      <c r="I5" cm="1">
        <f t="array" ref="I5">(SUM(TableLEE[PP]-TableLEE[AP]))^2</f>
        <v>2.8398992587956425E-29</v>
      </c>
    </row>
    <row r="7" spans="1:9" x14ac:dyDescent="0.3">
      <c r="H7" t="s">
        <v>15</v>
      </c>
      <c r="I7">
        <f>AVERAGE(TableLEE[DIFF])/5</f>
        <v>1.3267559810952601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70</v>
      </c>
      <c r="B2">
        <v>11.39944611974091</v>
      </c>
      <c r="C2">
        <v>16.457991902128462</v>
      </c>
      <c r="D2">
        <f>B2*$I$2+C2*$I$3</f>
        <v>10.596856123732895</v>
      </c>
      <c r="E2">
        <v>20</v>
      </c>
      <c r="F2">
        <f>ABS(D2-E2)</f>
        <v>9.4031438762671051</v>
      </c>
      <c r="H2" t="s">
        <v>7</v>
      </c>
      <c r="I2">
        <v>0.3607547178892978</v>
      </c>
    </row>
    <row r="3" spans="1:9" x14ac:dyDescent="0.3">
      <c r="A3" t="s">
        <v>71</v>
      </c>
      <c r="B3">
        <v>17.770944535589717</v>
      </c>
      <c r="C3">
        <v>15.677136991157422</v>
      </c>
      <c r="D3">
        <f>B3*$I$2+C3*$I$3</f>
        <v>12.587747243634361</v>
      </c>
      <c r="E3">
        <v>10</v>
      </c>
      <c r="F3">
        <f>ABS(D3-E3)</f>
        <v>2.5877472436343609</v>
      </c>
      <c r="H3" t="s">
        <v>9</v>
      </c>
      <c r="I3">
        <v>0.39400020326130414</v>
      </c>
    </row>
    <row r="4" spans="1:9" x14ac:dyDescent="0.3">
      <c r="A4" t="s">
        <v>72</v>
      </c>
      <c r="B4">
        <v>22.842085002115656</v>
      </c>
      <c r="C4">
        <v>27.016263915027658</v>
      </c>
      <c r="D4">
        <f>B4*$I$2+C4*$I$3</f>
        <v>18.884803404823529</v>
      </c>
      <c r="E4">
        <v>12</v>
      </c>
      <c r="F4">
        <f>ABS(D4-E4)</f>
        <v>6.8848034048235291</v>
      </c>
    </row>
    <row r="5" spans="1:9" x14ac:dyDescent="0.3">
      <c r="A5" t="s">
        <v>73</v>
      </c>
      <c r="B5">
        <v>16.250000024953916</v>
      </c>
      <c r="C5">
        <v>15.401842442911928</v>
      </c>
      <c r="D5">
        <f>B5*$I$2+C5*$I$3</f>
        <v>11.930593227809213</v>
      </c>
      <c r="E5">
        <v>12</v>
      </c>
      <c r="F5">
        <f>ABS(D5-E5)</f>
        <v>6.9406772190786725E-2</v>
      </c>
      <c r="H5" t="s">
        <v>12</v>
      </c>
      <c r="I5" cm="1">
        <f t="array" ref="I5">(SUM(TableLEI[PP]-TableLEI[AP]))^2</f>
        <v>3.1554436208840472E-30</v>
      </c>
    </row>
    <row r="7" spans="1:9" x14ac:dyDescent="0.3">
      <c r="H7" t="s">
        <v>15</v>
      </c>
      <c r="I7">
        <f>AVERAGE(TableLEI[DIFF])/5</f>
        <v>0.94725506484578903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10.771543650217222</v>
      </c>
      <c r="C2">
        <v>12.357746029997291</v>
      </c>
      <c r="D2">
        <f t="shared" ref="D2:D9" si="0">B2*$I$2+C2*$I$3</f>
        <v>10.582757388003403</v>
      </c>
      <c r="E2">
        <v>20</v>
      </c>
      <c r="F2">
        <f t="shared" ref="F2:F9" si="1">ABS(D2-E2)</f>
        <v>9.4172426119965973</v>
      </c>
      <c r="H2" t="s">
        <v>7</v>
      </c>
      <c r="I2">
        <v>0.45571835270820971</v>
      </c>
    </row>
    <row r="3" spans="1:9" x14ac:dyDescent="0.3">
      <c r="A3" t="s">
        <v>75</v>
      </c>
      <c r="B3">
        <v>27.038461571055386</v>
      </c>
      <c r="C3">
        <v>25.827420527972947</v>
      </c>
      <c r="D3">
        <f t="shared" si="0"/>
        <v>24.180391379491613</v>
      </c>
      <c r="E3">
        <v>10</v>
      </c>
      <c r="F3">
        <f t="shared" si="1"/>
        <v>14.180391379491613</v>
      </c>
      <c r="H3" t="s">
        <v>9</v>
      </c>
      <c r="I3">
        <v>0.4591425690274587</v>
      </c>
    </row>
    <row r="4" spans="1:9" x14ac:dyDescent="0.3">
      <c r="A4" t="s">
        <v>76</v>
      </c>
      <c r="B4">
        <v>22.348559143337766</v>
      </c>
      <c r="C4">
        <v>24.465648343811374</v>
      </c>
      <c r="D4">
        <f t="shared" si="0"/>
        <v>21.417869191703829</v>
      </c>
      <c r="E4">
        <v>19</v>
      </c>
      <c r="F4">
        <f t="shared" si="1"/>
        <v>2.4178691917038293</v>
      </c>
    </row>
    <row r="5" spans="1:9" x14ac:dyDescent="0.3">
      <c r="A5" t="s">
        <v>77</v>
      </c>
      <c r="B5">
        <v>33.647393286046167</v>
      </c>
      <c r="C5">
        <v>29.389146897503792</v>
      </c>
      <c r="D5">
        <f t="shared" si="0"/>
        <v>28.827543049287492</v>
      </c>
      <c r="E5">
        <v>41</v>
      </c>
      <c r="F5">
        <f t="shared" si="1"/>
        <v>12.172456950712508</v>
      </c>
      <c r="H5" t="s">
        <v>12</v>
      </c>
      <c r="I5" cm="1">
        <f t="array" ref="I5">(SUM(TableLIV[PP]-TableLIV[AP]))^2</f>
        <v>2.8398992587956425E-29</v>
      </c>
    </row>
    <row r="6" spans="1:9" x14ac:dyDescent="0.3">
      <c r="A6" t="s">
        <v>78</v>
      </c>
      <c r="B6">
        <v>25.519480517187031</v>
      </c>
      <c r="C6">
        <v>24.141805862415072</v>
      </c>
      <c r="D6">
        <f t="shared" si="0"/>
        <v>22.714226387893145</v>
      </c>
      <c r="E6">
        <v>14</v>
      </c>
      <c r="F6">
        <f t="shared" si="1"/>
        <v>8.7142263878931452</v>
      </c>
    </row>
    <row r="7" spans="1:9" x14ac:dyDescent="0.3">
      <c r="A7" t="s">
        <v>79</v>
      </c>
      <c r="B7">
        <v>26.871541486959938</v>
      </c>
      <c r="C7">
        <v>22.854945373353509</v>
      </c>
      <c r="D7">
        <f t="shared" si="0"/>
        <v>22.739532954871457</v>
      </c>
      <c r="E7">
        <v>22</v>
      </c>
      <c r="F7">
        <f t="shared" si="1"/>
        <v>0.73953295487145709</v>
      </c>
      <c r="H7" t="s">
        <v>15</v>
      </c>
      <c r="I7">
        <f>AVERAGE(TableLIV[DIFF])/5</f>
        <v>1.302600995698002</v>
      </c>
    </row>
    <row r="8" spans="1:9" x14ac:dyDescent="0.3">
      <c r="A8" t="s">
        <v>80</v>
      </c>
      <c r="B8">
        <v>10.512692622040996</v>
      </c>
      <c r="C8">
        <v>12.875123715181219</v>
      </c>
      <c r="D8">
        <f t="shared" si="0"/>
        <v>10.702344343378936</v>
      </c>
      <c r="E8">
        <v>13</v>
      </c>
      <c r="F8">
        <f t="shared" si="1"/>
        <v>2.297655656621064</v>
      </c>
    </row>
    <row r="9" spans="1:9" x14ac:dyDescent="0.3">
      <c r="A9" t="s">
        <v>81</v>
      </c>
      <c r="B9">
        <v>18.612222451880839</v>
      </c>
      <c r="C9">
        <v>24.727404329789458</v>
      </c>
      <c r="D9">
        <f t="shared" si="0"/>
        <v>19.83533530537013</v>
      </c>
      <c r="E9">
        <v>22</v>
      </c>
      <c r="F9">
        <f t="shared" si="1"/>
        <v>2.1646646946298702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82</v>
      </c>
      <c r="B2">
        <v>16.481190713614478</v>
      </c>
      <c r="C2">
        <v>19.430884740063377</v>
      </c>
      <c r="D2">
        <f t="shared" ref="D2:D10" si="0">B2*$I$2+C2*$I$3</f>
        <v>20.089860768313571</v>
      </c>
      <c r="E2">
        <v>19</v>
      </c>
      <c r="F2">
        <f t="shared" ref="F2:F10" si="1">ABS(D2-E2)</f>
        <v>1.0898607683135708</v>
      </c>
      <c r="H2" t="s">
        <v>7</v>
      </c>
      <c r="I2">
        <v>0.54326381249479738</v>
      </c>
    </row>
    <row r="3" spans="1:9" x14ac:dyDescent="0.3">
      <c r="A3" t="s">
        <v>83</v>
      </c>
      <c r="B3">
        <v>28.901389464639387</v>
      </c>
      <c r="C3">
        <v>16.5483012081149</v>
      </c>
      <c r="D3">
        <f t="shared" si="0"/>
        <v>25.185239375273689</v>
      </c>
      <c r="E3">
        <v>34</v>
      </c>
      <c r="F3">
        <f t="shared" si="1"/>
        <v>8.8147606247263113</v>
      </c>
      <c r="H3" t="s">
        <v>9</v>
      </c>
      <c r="I3">
        <v>0.57311987671978748</v>
      </c>
    </row>
    <row r="4" spans="1:9" x14ac:dyDescent="0.3">
      <c r="A4" t="s">
        <v>84</v>
      </c>
      <c r="B4">
        <v>22.992537010081826</v>
      </c>
      <c r="C4">
        <v>19.521896043159472</v>
      </c>
      <c r="D4">
        <f t="shared" si="0"/>
        <v>23.679399968616845</v>
      </c>
      <c r="E4">
        <v>37</v>
      </c>
      <c r="F4">
        <f t="shared" si="1"/>
        <v>13.320600031383155</v>
      </c>
    </row>
    <row r="5" spans="1:9" x14ac:dyDescent="0.3">
      <c r="A5" t="s">
        <v>85</v>
      </c>
      <c r="B5">
        <v>11.278965602187178</v>
      </c>
      <c r="C5">
        <v>18.701950418662669</v>
      </c>
      <c r="D5">
        <f t="shared" si="0"/>
        <v>16.845913372405413</v>
      </c>
      <c r="E5">
        <v>20</v>
      </c>
      <c r="F5">
        <f t="shared" si="1"/>
        <v>3.1540866275945874</v>
      </c>
      <c r="H5" t="s">
        <v>12</v>
      </c>
      <c r="I5" cm="1">
        <f t="array" ref="I5">(SUM(TableMCI[PP]-TableMCI[AP]))^2</f>
        <v>2.473867798773093E-27</v>
      </c>
    </row>
    <row r="6" spans="1:9" x14ac:dyDescent="0.3">
      <c r="A6" t="s">
        <v>86</v>
      </c>
      <c r="B6">
        <v>19.280812612122091</v>
      </c>
      <c r="C6">
        <v>23.564997792604167</v>
      </c>
      <c r="D6">
        <f t="shared" si="0"/>
        <v>23.980136397458587</v>
      </c>
      <c r="E6">
        <v>12</v>
      </c>
      <c r="F6">
        <f t="shared" si="1"/>
        <v>11.980136397458587</v>
      </c>
    </row>
    <row r="7" spans="1:9" x14ac:dyDescent="0.3">
      <c r="A7" t="s">
        <v>87</v>
      </c>
      <c r="B7">
        <v>28.508919737874152</v>
      </c>
      <c r="C7">
        <v>22.749624914125164</v>
      </c>
      <c r="D7">
        <f t="shared" si="0"/>
        <v>28.526126653110509</v>
      </c>
      <c r="E7">
        <v>28</v>
      </c>
      <c r="F7">
        <f t="shared" si="1"/>
        <v>0.52612665311050932</v>
      </c>
      <c r="H7" t="s">
        <v>15</v>
      </c>
      <c r="I7">
        <f>AVERAGE(TableMCI[DIFF])/5</f>
        <v>1.4252067820350098</v>
      </c>
    </row>
    <row r="8" spans="1:9" x14ac:dyDescent="0.3">
      <c r="A8" t="s">
        <v>88</v>
      </c>
      <c r="B8">
        <v>23.627642054029717</v>
      </c>
      <c r="C8">
        <v>16.349990184976889</v>
      </c>
      <c r="D8">
        <f t="shared" si="0"/>
        <v>22.206547261718278</v>
      </c>
      <c r="E8">
        <v>18</v>
      </c>
      <c r="F8">
        <f t="shared" si="1"/>
        <v>4.2065472617182778</v>
      </c>
    </row>
    <row r="9" spans="1:9" x14ac:dyDescent="0.3">
      <c r="A9" t="s">
        <v>89</v>
      </c>
      <c r="B9">
        <v>42.142857137957819</v>
      </c>
      <c r="C9">
        <v>61.714474953185693</v>
      </c>
      <c r="D9">
        <f t="shared" si="0"/>
        <v>58.264481515186745</v>
      </c>
      <c r="E9">
        <v>44</v>
      </c>
      <c r="F9">
        <f t="shared" si="1"/>
        <v>14.264481515186745</v>
      </c>
    </row>
    <row r="10" spans="1:9" x14ac:dyDescent="0.3">
      <c r="A10" t="s">
        <v>90</v>
      </c>
      <c r="B10">
        <v>15.866666294254948</v>
      </c>
      <c r="C10">
        <v>21.989307258799457</v>
      </c>
      <c r="D10">
        <f t="shared" si="0"/>
        <v>21.222294687916314</v>
      </c>
      <c r="E10">
        <v>28</v>
      </c>
      <c r="F10">
        <f t="shared" si="1"/>
        <v>6.7777053120836861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22.136363620008304</v>
      </c>
      <c r="C2">
        <v>27.105992314060085</v>
      </c>
      <c r="D2">
        <f>B2*$I$2+C2*$I$3</f>
        <v>26.399852874446079</v>
      </c>
      <c r="E2">
        <v>25</v>
      </c>
      <c r="F2">
        <f>ABS(D2-E2)</f>
        <v>1.3998528744460792</v>
      </c>
      <c r="H2" t="s">
        <v>7</v>
      </c>
      <c r="I2">
        <v>0.47565923827924533</v>
      </c>
    </row>
    <row r="3" spans="1:9" x14ac:dyDescent="0.3">
      <c r="A3" t="s">
        <v>92</v>
      </c>
      <c r="B3">
        <v>20.297489520084689</v>
      </c>
      <c r="C3">
        <v>29.347803535310561</v>
      </c>
      <c r="D3">
        <f>B3*$I$2+C3*$I$3</f>
        <v>26.837749978782234</v>
      </c>
      <c r="E3">
        <v>13</v>
      </c>
      <c r="F3">
        <f>ABS(D3-E3)</f>
        <v>13.837749978782234</v>
      </c>
      <c r="H3" t="s">
        <v>9</v>
      </c>
      <c r="I3">
        <v>0.58549736282660969</v>
      </c>
    </row>
    <row r="4" spans="1:9" x14ac:dyDescent="0.3">
      <c r="A4" t="s">
        <v>93</v>
      </c>
      <c r="B4">
        <v>24.913669077022142</v>
      </c>
      <c r="C4">
        <v>25.082639702315596</v>
      </c>
      <c r="D4">
        <f>B4*$I$2+C4*$I$3</f>
        <v>26.536236254353341</v>
      </c>
      <c r="E4">
        <v>36</v>
      </c>
      <c r="F4">
        <f>ABS(D4-E4)</f>
        <v>9.4637637456466592</v>
      </c>
    </row>
    <row r="5" spans="1:9" x14ac:dyDescent="0.3">
      <c r="A5" t="s">
        <v>20</v>
      </c>
      <c r="B5">
        <v>16.239475173761125</v>
      </c>
      <c r="C5">
        <v>21.352281487414132</v>
      </c>
      <c r="D5">
        <f>B5*$I$2+C5*$I$3</f>
        <v>20.226160892418346</v>
      </c>
      <c r="E5">
        <v>26</v>
      </c>
      <c r="F5">
        <f>ABS(D5-E5)</f>
        <v>5.7738391075816544</v>
      </c>
      <c r="H5" t="s">
        <v>12</v>
      </c>
      <c r="I5" cm="1">
        <f t="array" ref="I5">(SUM(TableMUN[PP]-TableMUN[AP]))^2</f>
        <v>0</v>
      </c>
    </row>
    <row r="7" spans="1:9" x14ac:dyDescent="0.3">
      <c r="H7" t="s">
        <v>15</v>
      </c>
      <c r="I7">
        <f>AVERAGE(TableMUN[DIFF])/5</f>
        <v>1.5237602853228314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94</v>
      </c>
      <c r="B2">
        <v>21.7800218088402</v>
      </c>
      <c r="C2">
        <v>20.337827892339149</v>
      </c>
      <c r="D2">
        <f t="shared" ref="D2:D9" si="0">B2*$I$2+C2*$I$3</f>
        <v>16.917389802952904</v>
      </c>
      <c r="E2">
        <v>21</v>
      </c>
      <c r="F2">
        <f t="shared" ref="F2:F9" si="1">ABS(D2-E2)</f>
        <v>4.0826101970470958</v>
      </c>
      <c r="H2" t="s">
        <v>7</v>
      </c>
      <c r="I2">
        <v>0.39237186399715451</v>
      </c>
    </row>
    <row r="3" spans="1:9" x14ac:dyDescent="0.3">
      <c r="A3" t="s">
        <v>95</v>
      </c>
      <c r="B3">
        <v>25.700836054017614</v>
      </c>
      <c r="C3">
        <v>29.675847087712782</v>
      </c>
      <c r="D3">
        <f t="shared" si="0"/>
        <v>22.299552454287195</v>
      </c>
      <c r="E3">
        <v>12</v>
      </c>
      <c r="F3">
        <f t="shared" si="1"/>
        <v>10.299552454287195</v>
      </c>
      <c r="H3" t="s">
        <v>9</v>
      </c>
      <c r="I3">
        <v>0.41162321228379467</v>
      </c>
    </row>
    <row r="4" spans="1:9" x14ac:dyDescent="0.3">
      <c r="A4" t="s">
        <v>96</v>
      </c>
      <c r="B4">
        <v>16.342592592592592</v>
      </c>
      <c r="C4">
        <v>21.834697751337039</v>
      </c>
      <c r="D4">
        <f t="shared" si="0"/>
        <v>15.400041945752744</v>
      </c>
      <c r="E4">
        <v>11</v>
      </c>
      <c r="F4">
        <f t="shared" si="1"/>
        <v>4.4000419457527435</v>
      </c>
    </row>
    <row r="5" spans="1:9" x14ac:dyDescent="0.3">
      <c r="A5" t="s">
        <v>97</v>
      </c>
      <c r="B5">
        <v>41.142857132471157</v>
      </c>
      <c r="C5">
        <v>29.604572358758666</v>
      </c>
      <c r="D5">
        <f t="shared" si="0"/>
        <v>28.32922871583661</v>
      </c>
      <c r="E5">
        <v>23</v>
      </c>
      <c r="F5">
        <f t="shared" si="1"/>
        <v>5.3292287158366101</v>
      </c>
      <c r="H5" t="s">
        <v>12</v>
      </c>
      <c r="I5" cm="1">
        <f t="array" ref="I5">(SUM(TableNEW[PP]-TableNEW[AP]))^2</f>
        <v>8.0779356694631609E-28</v>
      </c>
    </row>
    <row r="6" spans="1:9" x14ac:dyDescent="0.3">
      <c r="A6" t="s">
        <v>98</v>
      </c>
      <c r="B6">
        <v>4.252927346518895</v>
      </c>
      <c r="C6">
        <v>14.522793113513059</v>
      </c>
      <c r="D6">
        <f t="shared" si="0"/>
        <v>7.6466477831153083</v>
      </c>
      <c r="E6">
        <v>25</v>
      </c>
      <c r="F6">
        <f t="shared" si="1"/>
        <v>17.353352216884691</v>
      </c>
    </row>
    <row r="7" spans="1:9" x14ac:dyDescent="0.3">
      <c r="A7" t="s">
        <v>99</v>
      </c>
      <c r="B7">
        <v>20.086956498845893</v>
      </c>
      <c r="C7">
        <v>21.624276291032256</v>
      </c>
      <c r="D7">
        <f t="shared" si="0"/>
        <v>16.782610633708916</v>
      </c>
      <c r="E7">
        <v>18</v>
      </c>
      <c r="F7">
        <f t="shared" si="1"/>
        <v>1.2173893662910835</v>
      </c>
      <c r="H7" t="s">
        <v>15</v>
      </c>
      <c r="I7">
        <f>AVERAGE(TableNEW[DIFF])/5</f>
        <v>1.2637382856742894</v>
      </c>
    </row>
    <row r="8" spans="1:9" x14ac:dyDescent="0.3">
      <c r="A8" t="s">
        <v>100</v>
      </c>
      <c r="B8">
        <v>23.306495825803331</v>
      </c>
      <c r="C8">
        <v>22.110340514329579</v>
      </c>
      <c r="D8">
        <f t="shared" si="0"/>
        <v>18.245942597609222</v>
      </c>
      <c r="E8">
        <v>13</v>
      </c>
      <c r="F8">
        <f t="shared" si="1"/>
        <v>5.245942597609222</v>
      </c>
    </row>
    <row r="9" spans="1:9" x14ac:dyDescent="0.3">
      <c r="A9" t="s">
        <v>101</v>
      </c>
      <c r="B9">
        <v>20.890786924000221</v>
      </c>
      <c r="C9">
        <v>22.305906924095975</v>
      </c>
      <c r="D9">
        <f t="shared" si="0"/>
        <v>17.378586066737071</v>
      </c>
      <c r="E9">
        <v>20</v>
      </c>
      <c r="F9">
        <f t="shared" si="1"/>
        <v>2.6214139332629287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102</v>
      </c>
      <c r="B2">
        <v>17.102130450943591</v>
      </c>
      <c r="C2">
        <v>13.761545459170565</v>
      </c>
      <c r="D2">
        <f>B2*$I$2+C2*$I$3</f>
        <v>12.306221240672667</v>
      </c>
      <c r="E2">
        <v>15</v>
      </c>
      <c r="F2">
        <f>ABS(D2-E2)</f>
        <v>2.6937787593273335</v>
      </c>
      <c r="H2" t="s">
        <v>7</v>
      </c>
      <c r="I2">
        <v>0.36603445061305151</v>
      </c>
    </row>
    <row r="3" spans="1:9" x14ac:dyDescent="0.3">
      <c r="A3" t="s">
        <v>103</v>
      </c>
      <c r="B3">
        <v>12</v>
      </c>
      <c r="C3">
        <v>21.170330879001117</v>
      </c>
      <c r="D3">
        <f>B3*$I$2+C3*$I$3</f>
        <v>13.69377875932733</v>
      </c>
      <c r="E3">
        <v>11</v>
      </c>
      <c r="F3">
        <f>ABS(D3-E3)</f>
        <v>2.6937787593273299</v>
      </c>
      <c r="H3" t="s">
        <v>9</v>
      </c>
      <c r="I3">
        <v>0.43935852515166646</v>
      </c>
    </row>
    <row r="5" spans="1:9" x14ac:dyDescent="0.3">
      <c r="H5" t="s">
        <v>12</v>
      </c>
      <c r="I5" cm="1">
        <f t="array" ref="I5">(SUM(TableNFO[PP]-TableNFO[AP]))^2</f>
        <v>1.2621774483536189E-29</v>
      </c>
    </row>
    <row r="7" spans="1:9" x14ac:dyDescent="0.3">
      <c r="H7" t="s">
        <v>15</v>
      </c>
      <c r="I7">
        <f>AVERAGE(TableNFO[DIFF])/5</f>
        <v>0.53875575186546631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104</v>
      </c>
      <c r="B2">
        <v>18.370319488538314</v>
      </c>
      <c r="C2">
        <v>19.298888481897347</v>
      </c>
      <c r="D2">
        <f>B2*$I$2+C2*$I$3</f>
        <v>17.61406620206893</v>
      </c>
      <c r="E2">
        <v>18</v>
      </c>
      <c r="F2">
        <f>ABS(D2-E2)</f>
        <v>0.38593379793107019</v>
      </c>
      <c r="H2" t="s">
        <v>7</v>
      </c>
      <c r="I2">
        <v>0.45062778894918692</v>
      </c>
    </row>
    <row r="3" spans="1:9" x14ac:dyDescent="0.3">
      <c r="A3" t="s">
        <v>105</v>
      </c>
      <c r="B3">
        <v>11.528424613193771</v>
      </c>
      <c r="C3">
        <v>12.797665170495039</v>
      </c>
      <c r="D3">
        <f>B3*$I$2+C3*$I$3</f>
        <v>11.385933797931074</v>
      </c>
      <c r="E3">
        <v>11</v>
      </c>
      <c r="F3">
        <f>ABS(D3-E3)</f>
        <v>0.38593379793107374</v>
      </c>
      <c r="H3" t="s">
        <v>9</v>
      </c>
      <c r="I3">
        <v>0.48375271754204696</v>
      </c>
    </row>
    <row r="5" spans="1:9" x14ac:dyDescent="0.3">
      <c r="H5" t="s">
        <v>12</v>
      </c>
      <c r="I5" cm="1">
        <f t="array" ref="I5">(SUM(TableSOU[PP]-TableSOU[AP]))^2</f>
        <v>1.2621774483536189E-29</v>
      </c>
    </row>
    <row r="7" spans="1:9" x14ac:dyDescent="0.3">
      <c r="H7" t="s">
        <v>15</v>
      </c>
      <c r="I7">
        <f>AVERAGE(TableSOU[DIFF])/5</f>
        <v>7.718675958621439E-2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21.071428539145096</v>
      </c>
      <c r="C2">
        <v>19.771615169648314</v>
      </c>
      <c r="D2">
        <f t="shared" ref="D2:D9" si="0">B2*$I$2+C2*$I$3</f>
        <v>18.239045177237799</v>
      </c>
      <c r="E2">
        <v>27</v>
      </c>
      <c r="F2">
        <f t="shared" ref="F2:F9" si="1">ABS(D2-E2)</f>
        <v>8.7609548227622014</v>
      </c>
      <c r="H2" t="s">
        <v>7</v>
      </c>
      <c r="I2">
        <v>0.48000131310550498</v>
      </c>
    </row>
    <row r="3" spans="1:9" x14ac:dyDescent="0.3">
      <c r="A3" t="s">
        <v>107</v>
      </c>
      <c r="B3">
        <v>68.73569810800268</v>
      </c>
      <c r="C3">
        <v>33.192393187485948</v>
      </c>
      <c r="D3">
        <f t="shared" si="0"/>
        <v>46.632945242853467</v>
      </c>
      <c r="E3">
        <v>37</v>
      </c>
      <c r="F3">
        <f t="shared" si="1"/>
        <v>9.6329452428534665</v>
      </c>
      <c r="H3" t="s">
        <v>9</v>
      </c>
      <c r="I3">
        <v>0.41092908898569569</v>
      </c>
    </row>
    <row r="4" spans="1:9" x14ac:dyDescent="0.3">
      <c r="A4" t="s">
        <v>108</v>
      </c>
      <c r="B4">
        <v>18.69565214328691</v>
      </c>
      <c r="C4">
        <v>24.438937915905797</v>
      </c>
      <c r="D4">
        <f t="shared" si="0"/>
        <v>19.01660807170261</v>
      </c>
      <c r="E4">
        <v>33</v>
      </c>
      <c r="F4">
        <f t="shared" si="1"/>
        <v>13.98339192829739</v>
      </c>
    </row>
    <row r="5" spans="1:9" x14ac:dyDescent="0.3">
      <c r="A5" t="s">
        <v>109</v>
      </c>
      <c r="B5">
        <v>14.764410559833399</v>
      </c>
      <c r="C5">
        <v>20.2539429836661</v>
      </c>
      <c r="D5">
        <f t="shared" si="0"/>
        <v>15.409870794594948</v>
      </c>
      <c r="E5">
        <v>21</v>
      </c>
      <c r="F5">
        <f t="shared" si="1"/>
        <v>5.5901292054050522</v>
      </c>
      <c r="H5" t="s">
        <v>12</v>
      </c>
      <c r="I5" cm="1">
        <f t="array" ref="I5">(SUM(TableTOT[PP]-TableTOT[AP]))^2</f>
        <v>4.543838814073028E-28</v>
      </c>
    </row>
    <row r="6" spans="1:9" x14ac:dyDescent="0.3">
      <c r="A6" t="s">
        <v>110</v>
      </c>
      <c r="B6">
        <v>14.958718088145938</v>
      </c>
      <c r="C6">
        <v>19.785155994220659</v>
      </c>
      <c r="D6">
        <f t="shared" si="0"/>
        <v>15.310500452830091</v>
      </c>
      <c r="E6">
        <v>11</v>
      </c>
      <c r="F6">
        <f t="shared" si="1"/>
        <v>4.310500452830091</v>
      </c>
    </row>
    <row r="7" spans="1:9" x14ac:dyDescent="0.3">
      <c r="A7" t="s">
        <v>111</v>
      </c>
      <c r="B7">
        <v>22.110517930833439</v>
      </c>
      <c r="C7">
        <v>24.638890816739909</v>
      </c>
      <c r="D7">
        <f t="shared" si="0"/>
        <v>20.737914597183817</v>
      </c>
      <c r="E7">
        <v>25</v>
      </c>
      <c r="F7">
        <f t="shared" si="1"/>
        <v>4.262085402816183</v>
      </c>
      <c r="H7" t="s">
        <v>15</v>
      </c>
      <c r="I7">
        <f>AVERAGE(TableTOT[DIFF])/5</f>
        <v>1.6298280679640407</v>
      </c>
    </row>
    <row r="8" spans="1:9" x14ac:dyDescent="0.3">
      <c r="A8" t="s">
        <v>112</v>
      </c>
      <c r="B8">
        <v>21.451612903225804</v>
      </c>
      <c r="C8">
        <v>23.988642236553478</v>
      </c>
      <c r="D8">
        <f t="shared" si="0"/>
        <v>20.154433262050084</v>
      </c>
      <c r="E8">
        <v>12</v>
      </c>
      <c r="F8">
        <f t="shared" si="1"/>
        <v>8.1544332620500839</v>
      </c>
    </row>
    <row r="9" spans="1:9" x14ac:dyDescent="0.3">
      <c r="A9" t="s">
        <v>113</v>
      </c>
      <c r="B9">
        <v>38.217391283505592</v>
      </c>
      <c r="C9">
        <v>22.277041580563935</v>
      </c>
      <c r="D9">
        <f t="shared" si="0"/>
        <v>27.498682401547164</v>
      </c>
      <c r="E9">
        <v>17</v>
      </c>
      <c r="F9">
        <f t="shared" si="1"/>
        <v>10.498682401547164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114</v>
      </c>
      <c r="B2">
        <v>14.624170708404886</v>
      </c>
      <c r="C2">
        <v>17.312712738981009</v>
      </c>
      <c r="D2">
        <f t="shared" ref="D2:D8" si="0">B2*$I$2+C2*$I$3</f>
        <v>14.355091211028837</v>
      </c>
      <c r="E2">
        <v>20</v>
      </c>
      <c r="F2">
        <f t="shared" ref="F2:F8" si="1">ABS(D2-E2)</f>
        <v>5.6449087889711631</v>
      </c>
      <c r="H2" t="s">
        <v>7</v>
      </c>
      <c r="I2">
        <v>0.44923414886505331</v>
      </c>
    </row>
    <row r="3" spans="1:9" x14ac:dyDescent="0.3">
      <c r="A3" t="s">
        <v>115</v>
      </c>
      <c r="B3">
        <v>18.104575163398692</v>
      </c>
      <c r="C3">
        <v>18.763857424752501</v>
      </c>
      <c r="D3">
        <f t="shared" si="0"/>
        <v>16.57117807212235</v>
      </c>
      <c r="E3">
        <v>18</v>
      </c>
      <c r="F3">
        <f t="shared" si="1"/>
        <v>1.4288219278776495</v>
      </c>
      <c r="H3" t="s">
        <v>9</v>
      </c>
      <c r="I3">
        <v>0.44969349675928127</v>
      </c>
    </row>
    <row r="4" spans="1:9" x14ac:dyDescent="0.3">
      <c r="A4" t="s">
        <v>116</v>
      </c>
      <c r="B4">
        <v>15.842737575537896</v>
      </c>
      <c r="C4">
        <v>17.095831581291485</v>
      </c>
      <c r="D4">
        <f t="shared" si="0"/>
        <v>14.804983014237886</v>
      </c>
      <c r="E4">
        <v>12</v>
      </c>
      <c r="F4">
        <f t="shared" si="1"/>
        <v>2.8049830142378855</v>
      </c>
    </row>
    <row r="5" spans="1:9" x14ac:dyDescent="0.3">
      <c r="A5" t="s">
        <v>117</v>
      </c>
      <c r="B5">
        <v>16.810390523355551</v>
      </c>
      <c r="C5">
        <v>14.554446637340048</v>
      </c>
      <c r="D5">
        <f t="shared" si="0"/>
        <v>14.096841480590598</v>
      </c>
      <c r="E5">
        <v>12</v>
      </c>
      <c r="F5">
        <f t="shared" si="1"/>
        <v>2.0968414805905979</v>
      </c>
      <c r="H5" t="s">
        <v>12</v>
      </c>
      <c r="I5" cm="1">
        <f t="array" ref="I5">(SUM(TableWHU[PP]-TableWHU[AP]))^2</f>
        <v>0</v>
      </c>
    </row>
    <row r="6" spans="1:9" x14ac:dyDescent="0.3">
      <c r="A6" t="s">
        <v>118</v>
      </c>
      <c r="B6">
        <v>17.487608074820354</v>
      </c>
      <c r="C6">
        <v>18.56584125728271</v>
      </c>
      <c r="D6">
        <f t="shared" si="0"/>
        <v>16.20496880444275</v>
      </c>
      <c r="E6">
        <v>19</v>
      </c>
      <c r="F6">
        <f t="shared" si="1"/>
        <v>2.7950311955572502</v>
      </c>
    </row>
    <row r="7" spans="1:9" x14ac:dyDescent="0.3">
      <c r="A7" t="s">
        <v>119</v>
      </c>
      <c r="B7">
        <v>21.271424597689375</v>
      </c>
      <c r="C7">
        <v>23.585185825718149</v>
      </c>
      <c r="D7">
        <f t="shared" si="0"/>
        <v>20.161955009974776</v>
      </c>
      <c r="E7">
        <v>21</v>
      </c>
      <c r="F7">
        <f t="shared" si="1"/>
        <v>0.83804499002522448</v>
      </c>
      <c r="H7" t="s">
        <v>15</v>
      </c>
      <c r="I7">
        <f>AVERAGE(TableWHU[DIFF])/5</f>
        <v>0.61181753728178789</v>
      </c>
    </row>
    <row r="8" spans="1:9" x14ac:dyDescent="0.3">
      <c r="A8" t="s">
        <v>120</v>
      </c>
      <c r="B8">
        <v>20.388292544796091</v>
      </c>
      <c r="C8">
        <v>14.778655255908934</v>
      </c>
      <c r="D8">
        <f t="shared" si="0"/>
        <v>15.804982407602804</v>
      </c>
      <c r="E8">
        <v>10</v>
      </c>
      <c r="F8">
        <f t="shared" si="1"/>
        <v>5.8049824076028038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121</v>
      </c>
      <c r="B2">
        <v>18.902317280308466</v>
      </c>
      <c r="C2">
        <v>21.745128328846107</v>
      </c>
      <c r="D2">
        <f>B2*$I$2+C2*$I$3</f>
        <v>20.750893956605289</v>
      </c>
      <c r="E2">
        <v>22</v>
      </c>
      <c r="F2">
        <f>ABS(D2-E2)</f>
        <v>1.2491060433947112</v>
      </c>
      <c r="H2" t="s">
        <v>7</v>
      </c>
      <c r="I2">
        <v>0.47907988640796628</v>
      </c>
    </row>
    <row r="3" spans="1:9" x14ac:dyDescent="0.3">
      <c r="A3" t="s">
        <v>122</v>
      </c>
      <c r="B3">
        <v>14.556351097857368</v>
      </c>
      <c r="C3">
        <v>15.530471833549683</v>
      </c>
      <c r="D3">
        <f>B3*$I$2+C3*$I$3</f>
        <v>15.326402677400386</v>
      </c>
      <c r="E3">
        <v>15</v>
      </c>
      <c r="F3">
        <f>ABS(D3-E3)</f>
        <v>0.32640267740038631</v>
      </c>
      <c r="H3" t="s">
        <v>9</v>
      </c>
      <c r="I3">
        <v>0.5378296124191404</v>
      </c>
    </row>
    <row r="4" spans="1:9" x14ac:dyDescent="0.3">
      <c r="A4" t="s">
        <v>123</v>
      </c>
      <c r="B4">
        <v>15.485622632793607</v>
      </c>
      <c r="C4">
        <v>17.670750763184838</v>
      </c>
      <c r="D4">
        <f>B4*$I$2+C4*$I$3</f>
        <v>16.922703365994323</v>
      </c>
      <c r="E4">
        <v>16</v>
      </c>
      <c r="F4">
        <f>ABS(D4-E4)</f>
        <v>0.92270336599432312</v>
      </c>
    </row>
    <row r="5" spans="1:9" x14ac:dyDescent="0.3">
      <c r="H5" t="s">
        <v>12</v>
      </c>
      <c r="I5" cm="1">
        <f t="array" ref="I5">(SUM(TableWOL[PP]-TableWOL[AP]))^2</f>
        <v>3.1554436208840472E-30</v>
      </c>
    </row>
    <row r="7" spans="1:9" x14ac:dyDescent="0.3">
      <c r="H7" t="s">
        <v>15</v>
      </c>
      <c r="I7">
        <f>AVERAGE(TableWOL[DIFF])/5</f>
        <v>0.16654747245262805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2023-04-20T17:24:32Z</dcterms:created>
  <dcterms:modified xsi:type="dcterms:W3CDTF">2023-04-20T17:31:15Z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c1bb87cd-e53c-478b-966b-4f7ddce0f831</vt:lpwstr>
  </property>
</Properties>
</file>