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43BDA24B-AEA7-40A2-8C3D-C6F911B1B35F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0" l="1"/>
  <c r="F4" i="20" s="1"/>
  <c r="D3" i="20"/>
  <c r="F3" i="20" s="1"/>
  <c r="D2" i="20"/>
  <c r="F2" i="20" s="1"/>
  <c r="D9" i="19"/>
  <c r="F9" i="19" s="1"/>
  <c r="D8" i="19"/>
  <c r="F8" i="19" s="1"/>
  <c r="D7" i="19"/>
  <c r="F7" i="19" s="1"/>
  <c r="D6" i="19"/>
  <c r="F6" i="19" s="1"/>
  <c r="D5" i="19"/>
  <c r="F5" i="19" s="1"/>
  <c r="D4" i="19"/>
  <c r="D3" i="19"/>
  <c r="F3" i="19" s="1"/>
  <c r="D2" i="19"/>
  <c r="F2" i="19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2" i="17"/>
  <c r="I5" i="17" s="1"/>
  <c r="D4" i="16"/>
  <c r="F4" i="16" s="1"/>
  <c r="D3" i="16"/>
  <c r="F3" i="16" s="1"/>
  <c r="D2" i="16"/>
  <c r="F2" i="16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F2" i="15" s="1"/>
  <c r="D5" i="14"/>
  <c r="D4" i="14"/>
  <c r="F4" i="14" s="1"/>
  <c r="D3" i="14"/>
  <c r="F3" i="14" s="1"/>
  <c r="D2" i="14"/>
  <c r="F2" i="14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4" i="11"/>
  <c r="F4" i="11" s="1"/>
  <c r="D3" i="11"/>
  <c r="F3" i="11" s="1"/>
  <c r="D2" i="11"/>
  <c r="F2" i="11" s="1"/>
  <c r="D5" i="10"/>
  <c r="F5" i="10" s="1"/>
  <c r="D4" i="10"/>
  <c r="F4" i="10" s="1"/>
  <c r="D3" i="10"/>
  <c r="F3" i="10" s="1"/>
  <c r="D2" i="10"/>
  <c r="F2" i="10" s="1"/>
  <c r="D3" i="9"/>
  <c r="F3" i="9" s="1"/>
  <c r="D2" i="9"/>
  <c r="F2" i="9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F2" i="7" s="1"/>
  <c r="D2" i="6"/>
  <c r="I5" i="6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D6" i="4"/>
  <c r="F6" i="4" s="1"/>
  <c r="D5" i="4"/>
  <c r="F5" i="4" s="1"/>
  <c r="D4" i="4"/>
  <c r="F4" i="4" s="1"/>
  <c r="D3" i="4"/>
  <c r="F3" i="4" s="1"/>
  <c r="D2" i="4"/>
  <c r="D5" i="3"/>
  <c r="D4" i="3"/>
  <c r="F4" i="3" s="1"/>
  <c r="D3" i="3"/>
  <c r="F3" i="3" s="1"/>
  <c r="D2" i="3"/>
  <c r="F2" i="3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7" i="20" l="1"/>
  <c r="I5" i="20" a="1"/>
  <c r="I5" i="20" s="1"/>
  <c r="I5" i="19" a="1"/>
  <c r="I5" i="19" s="1"/>
  <c r="F4" i="19"/>
  <c r="I7" i="19" s="1"/>
  <c r="I5" i="18" a="1"/>
  <c r="I5" i="18" s="1"/>
  <c r="F2" i="17"/>
  <c r="I7" i="17" s="1"/>
  <c r="I5" i="16" a="1"/>
  <c r="I5" i="16" s="1"/>
  <c r="I7" i="16"/>
  <c r="I5" i="15" a="1"/>
  <c r="I5" i="15" s="1"/>
  <c r="I5" i="14" a="1"/>
  <c r="I5" i="14" s="1"/>
  <c r="I5" i="13" a="1"/>
  <c r="I5" i="13" s="1"/>
  <c r="I7" i="13"/>
  <c r="I5" i="12" a="1"/>
  <c r="I5" i="12" s="1"/>
  <c r="I5" i="11" a="1"/>
  <c r="I5" i="11" s="1"/>
  <c r="I7" i="10"/>
  <c r="I5" i="10" a="1"/>
  <c r="I5" i="10" s="1"/>
  <c r="I7" i="9"/>
  <c r="I5" i="9" a="1"/>
  <c r="I5" i="9" s="1"/>
  <c r="I5" i="8" a="1"/>
  <c r="I5" i="8" s="1"/>
  <c r="I5" i="7" a="1"/>
  <c r="I5" i="7" s="1"/>
  <c r="F2" i="6"/>
  <c r="I7" i="6" s="1"/>
  <c r="I5" i="5" a="1"/>
  <c r="I5" i="5" s="1"/>
  <c r="F2" i="5"/>
  <c r="I7" i="5" s="1"/>
  <c r="I5" i="4" a="1"/>
  <c r="I5" i="4" s="1"/>
  <c r="F2" i="4"/>
  <c r="I7" i="4" s="1"/>
  <c r="I5" i="3" a="1"/>
  <c r="I5" i="3" s="1"/>
  <c r="I5" i="2" a="1"/>
  <c r="I5" i="2" s="1"/>
  <c r="I5" i="1" a="1"/>
  <c r="I5" i="1" s="1"/>
  <c r="I7" i="2"/>
  <c r="I7" i="12"/>
  <c r="I7" i="18"/>
  <c r="I7" i="8"/>
  <c r="I7" i="1"/>
  <c r="I7" i="11"/>
  <c r="F5" i="7"/>
  <c r="I7" i="7" s="1"/>
  <c r="F5" i="15"/>
  <c r="I7" i="15" s="1"/>
  <c r="F5" i="3"/>
  <c r="I7" i="3" s="1"/>
  <c r="F5" i="14"/>
  <c r="I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<sst xmlns="http://schemas.openxmlformats.org/spreadsheetml/2006/main" count="308" uniqueCount="117">
  <si>
    <t>Name</t>
  </si>
  <si>
    <t>ARIMAPP</t>
  </si>
  <si>
    <t>LSTMPP</t>
  </si>
  <si>
    <t>PP</t>
  </si>
  <si>
    <t>AP</t>
  </si>
  <si>
    <t>DIFF</t>
  </si>
  <si>
    <t>Xhaka</t>
  </si>
  <si>
    <t>ARIMA</t>
  </si>
  <si>
    <t>Ødegaard</t>
  </si>
  <si>
    <t>LSTM</t>
  </si>
  <si>
    <t>White</t>
  </si>
  <si>
    <t>Nketiah</t>
  </si>
  <si>
    <t>OFF</t>
  </si>
  <si>
    <t>Saka</t>
  </si>
  <si>
    <t>Ramsdale</t>
  </si>
  <si>
    <t>AVG</t>
  </si>
  <si>
    <t>Martinelli</t>
  </si>
  <si>
    <t>Saliba</t>
  </si>
  <si>
    <t>Trossard</t>
  </si>
  <si>
    <t>Martínez</t>
  </si>
  <si>
    <t>McGinn</t>
  </si>
  <si>
    <t>Watkins</t>
  </si>
  <si>
    <t>Buendía</t>
  </si>
  <si>
    <t>Cash</t>
  </si>
  <si>
    <t>Konsa</t>
  </si>
  <si>
    <t>Bailey</t>
  </si>
  <si>
    <t>Douglas Luiz</t>
  </si>
  <si>
    <t>Ramsey</t>
  </si>
  <si>
    <t>Smith</t>
  </si>
  <si>
    <t>Lerma</t>
  </si>
  <si>
    <t>Solanke</t>
  </si>
  <si>
    <t>Billing</t>
  </si>
  <si>
    <t>Toney</t>
  </si>
  <si>
    <t>Raya</t>
  </si>
  <si>
    <t>Henry</t>
  </si>
  <si>
    <t>Jensen</t>
  </si>
  <si>
    <t>Mbeumo</t>
  </si>
  <si>
    <t>Groß</t>
  </si>
  <si>
    <t>Dunk</t>
  </si>
  <si>
    <t>March</t>
  </si>
  <si>
    <t>Veltman</t>
  </si>
  <si>
    <t>Sánchez</t>
  </si>
  <si>
    <t>Mac Allister</t>
  </si>
  <si>
    <t>Caicedo</t>
  </si>
  <si>
    <t>Havertz</t>
  </si>
  <si>
    <t>Guaita</t>
  </si>
  <si>
    <t>J.Ayew</t>
  </si>
  <si>
    <t>Schlupp</t>
  </si>
  <si>
    <t>Andersen</t>
  </si>
  <si>
    <t>Edouard</t>
  </si>
  <si>
    <t>Guéhi</t>
  </si>
  <si>
    <t>Eze</t>
  </si>
  <si>
    <t>Mitchell</t>
  </si>
  <si>
    <t>C.Doucouré</t>
  </si>
  <si>
    <t>Pickford</t>
  </si>
  <si>
    <t>Iwobi</t>
  </si>
  <si>
    <t>Gray</t>
  </si>
  <si>
    <t>Mykolenko</t>
  </si>
  <si>
    <t>Tarkowski</t>
  </si>
  <si>
    <t>McNeil</t>
  </si>
  <si>
    <t>Reed</t>
  </si>
  <si>
    <t>Andreas</t>
  </si>
  <si>
    <t>Rodrigo</t>
  </si>
  <si>
    <t>Harrison</t>
  </si>
  <si>
    <t>Roca</t>
  </si>
  <si>
    <t>Aaronson</t>
  </si>
  <si>
    <t>Ward</t>
  </si>
  <si>
    <t>Castagne</t>
  </si>
  <si>
    <t>Maddison</t>
  </si>
  <si>
    <t>Henderson</t>
  </si>
  <si>
    <t>Alisson</t>
  </si>
  <si>
    <t>Salah</t>
  </si>
  <si>
    <t>Alexander-Arnold</t>
  </si>
  <si>
    <t>Elliott</t>
  </si>
  <si>
    <t>Darwin</t>
  </si>
  <si>
    <t>Gündogan</t>
  </si>
  <si>
    <t>De Bruyne</t>
  </si>
  <si>
    <t>Ederson</t>
  </si>
  <si>
    <t>Bernardo</t>
  </si>
  <si>
    <t>Foden</t>
  </si>
  <si>
    <t>Rodri</t>
  </si>
  <si>
    <t>Haaland</t>
  </si>
  <si>
    <t>Álvarez</t>
  </si>
  <si>
    <t>De Gea</t>
  </si>
  <si>
    <t>Fernandes</t>
  </si>
  <si>
    <t>Rashford</t>
  </si>
  <si>
    <t>Wilson</t>
  </si>
  <si>
    <t>Murphy</t>
  </si>
  <si>
    <t>Schär</t>
  </si>
  <si>
    <t>Almirón</t>
  </si>
  <si>
    <t>S.Longstaff</t>
  </si>
  <si>
    <t>Joelinton</t>
  </si>
  <si>
    <t>Willock</t>
  </si>
  <si>
    <t>Bruno Guimarães</t>
  </si>
  <si>
    <t>Pope</t>
  </si>
  <si>
    <t>Wood</t>
  </si>
  <si>
    <t>Worrall</t>
  </si>
  <si>
    <t>Gibbs-White</t>
  </si>
  <si>
    <t>Ward-Prowse</t>
  </si>
  <si>
    <t>Lloris</t>
  </si>
  <si>
    <t>Kane</t>
  </si>
  <si>
    <t>Son</t>
  </si>
  <si>
    <t>Davies</t>
  </si>
  <si>
    <t>Højbjerg</t>
  </si>
  <si>
    <t>Kulusevski</t>
  </si>
  <si>
    <t>Perišić</t>
  </si>
  <si>
    <t>Fabianski</t>
  </si>
  <si>
    <t>Cresswell</t>
  </si>
  <si>
    <t>Antonio</t>
  </si>
  <si>
    <t>Benrahma</t>
  </si>
  <si>
    <t>Bowen</t>
  </si>
  <si>
    <t>Rice</t>
  </si>
  <si>
    <t>Soucek</t>
  </si>
  <si>
    <t>Fornals</t>
  </si>
  <si>
    <t>Sá</t>
  </si>
  <si>
    <t>Podence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</si>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</sst>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0">
  <autoFilter ref="A1:F10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0">
  <autoFilter ref="A1:F10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6">
  <autoFilter ref="A1:F6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>
  <autoFilter ref="A1:F8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2">
  <autoFilter ref="A1:F2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7">
  <autoFilter ref="A1:F7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3">
  <autoFilter ref="A1:F3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5">
  <autoFilter ref="A1:F5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4">
  <autoFilter ref="A1:F4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7">
  <autoFilter ref="A1:F7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9">
  <autoFilter ref="A1:F9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5">
  <autoFilter ref="A1:F5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0">
  <autoFilter ref="A1:F10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4">
  <autoFilter ref="A1:F4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2">
  <autoFilter ref="A1:F2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8">
  <autoFilter ref="A1:F8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9">
  <autoFilter ref="A1:F9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4">
  <autoFilter ref="A1:F4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13.529411764705884</v>
      </c>
      <c r="C2">
        <v>17.027561525627181</v>
      </c>
      <c r="D2">
        <f t="shared" ref="D2:D10" si="0">B2*$I$2+C2*$I$3</f>
        <v>14.754721600315168</v>
      </c>
      <c r="E2">
        <v>24</v>
      </c>
      <c r="F2">
        <f t="shared" ref="F2:F10" si="1">ABS(D2-E2)</f>
        <v>9.2452783996848318</v>
      </c>
      <c r="H2" t="s">
        <v>7</v>
      </c>
      <c r="I2">
        <v>0.42772212021511979</v>
      </c>
    </row>
    <row r="3" spans="1:9" x14ac:dyDescent="0.3">
      <c r="A3" t="s">
        <v>8</v>
      </c>
      <c r="B3">
        <v>20.843580952613774</v>
      </c>
      <c r="C3">
        <v>28.899364628924118</v>
      </c>
      <c r="D3">
        <f t="shared" si="0"/>
        <v>24.135667089853669</v>
      </c>
      <c r="E3">
        <v>27</v>
      </c>
      <c r="F3">
        <f t="shared" si="1"/>
        <v>2.8643329101463308</v>
      </c>
      <c r="H3" t="s">
        <v>9</v>
      </c>
      <c r="I3">
        <v>0.52666924160307582</v>
      </c>
    </row>
    <row r="4" spans="1:9" x14ac:dyDescent="0.3">
      <c r="A4" t="s">
        <v>10</v>
      </c>
      <c r="B4">
        <v>21.095433659247671</v>
      </c>
      <c r="C4">
        <v>25.030022083296778</v>
      </c>
      <c r="D4">
        <f t="shared" si="0"/>
        <v>22.205526359508973</v>
      </c>
      <c r="E4">
        <v>23</v>
      </c>
      <c r="F4">
        <f t="shared" si="1"/>
        <v>0.79447364049102731</v>
      </c>
    </row>
    <row r="5" spans="1:9" x14ac:dyDescent="0.3">
      <c r="A5" t="s">
        <v>11</v>
      </c>
      <c r="B5">
        <v>9.9266151655735086</v>
      </c>
      <c r="C5">
        <v>23.394120865555891</v>
      </c>
      <c r="D5">
        <f t="shared" si="0"/>
        <v>16.566796779411675</v>
      </c>
      <c r="E5">
        <v>12</v>
      </c>
      <c r="F5">
        <f t="shared" si="1"/>
        <v>4.5667967794116748</v>
      </c>
      <c r="H5" t="s">
        <v>12</v>
      </c>
      <c r="I5" cm="1">
        <f t="array" ref="I5">(SUM(TableARS[PP]-TableARS[AP]))^2</f>
        <v>2.0194839173657902E-28</v>
      </c>
    </row>
    <row r="6" spans="1:9" x14ac:dyDescent="0.3">
      <c r="A6" t="s">
        <v>13</v>
      </c>
      <c r="B6">
        <v>20.613544914512687</v>
      </c>
      <c r="C6">
        <v>28.85060725685733</v>
      </c>
      <c r="D6">
        <f t="shared" si="0"/>
        <v>24.011596579742211</v>
      </c>
      <c r="E6">
        <v>33</v>
      </c>
      <c r="F6">
        <f t="shared" si="1"/>
        <v>8.9884034202577894</v>
      </c>
    </row>
    <row r="7" spans="1:9" x14ac:dyDescent="0.3">
      <c r="A7" t="s">
        <v>14</v>
      </c>
      <c r="B7">
        <v>22.1640625</v>
      </c>
      <c r="C7">
        <v>20.545197641548242</v>
      </c>
      <c r="D7">
        <f t="shared" si="0"/>
        <v>20.300583465539944</v>
      </c>
      <c r="E7">
        <v>10</v>
      </c>
      <c r="F7">
        <f t="shared" si="1"/>
        <v>10.300583465539944</v>
      </c>
      <c r="H7" t="s">
        <v>15</v>
      </c>
      <c r="I7">
        <f>AVERAGE(TableARS[DIFF])/5</f>
        <v>1.5558651130168146</v>
      </c>
    </row>
    <row r="8" spans="1:9" x14ac:dyDescent="0.3">
      <c r="A8" t="s">
        <v>16</v>
      </c>
      <c r="B8">
        <v>23.59650111673681</v>
      </c>
      <c r="C8">
        <v>29.986140432888167</v>
      </c>
      <c r="D8">
        <f t="shared" si="0"/>
        <v>25.885523327701648</v>
      </c>
      <c r="E8">
        <v>39</v>
      </c>
      <c r="F8">
        <f t="shared" si="1"/>
        <v>13.114476672298352</v>
      </c>
    </row>
    <row r="9" spans="1:9" x14ac:dyDescent="0.3">
      <c r="A9" t="s">
        <v>17</v>
      </c>
      <c r="B9">
        <v>28.130557708284094</v>
      </c>
      <c r="C9">
        <v>27.319722683088074</v>
      </c>
      <c r="D9">
        <f t="shared" si="0"/>
        <v>26.420519412129394</v>
      </c>
      <c r="E9">
        <v>16</v>
      </c>
      <c r="F9">
        <f t="shared" si="1"/>
        <v>10.420519412129394</v>
      </c>
    </row>
    <row r="10" spans="1:9" x14ac:dyDescent="0.3">
      <c r="A10" t="s">
        <v>18</v>
      </c>
      <c r="B10">
        <v>23.146928642595796</v>
      </c>
      <c r="C10">
        <v>24.339017694105038</v>
      </c>
      <c r="D10">
        <f t="shared" si="0"/>
        <v>22.719065385797304</v>
      </c>
      <c r="E10">
        <v>13</v>
      </c>
      <c r="F10">
        <f t="shared" si="1"/>
        <v>9.7190653857973039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J3" sqref="J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19</v>
      </c>
      <c r="B2">
        <v>18.875</v>
      </c>
      <c r="C2">
        <v>21.739356444460981</v>
      </c>
      <c r="D2">
        <f t="shared" ref="D2:D10" si="0">B2*$I$2+C2*$I$3</f>
        <v>28.777894904455323</v>
      </c>
      <c r="E2">
        <v>26</v>
      </c>
      <c r="F2">
        <f t="shared" ref="F2:F10" si="1">ABS(D2-E2)</f>
        <v>2.7778949044553229</v>
      </c>
      <c r="H2" t="s">
        <v>7</v>
      </c>
      <c r="I2">
        <v>0.67694939717600811</v>
      </c>
    </row>
    <row r="3" spans="1:9" x14ac:dyDescent="0.3">
      <c r="A3" t="s">
        <v>20</v>
      </c>
      <c r="B3">
        <v>15.213245768627482</v>
      </c>
      <c r="C3">
        <v>15.851952086984543</v>
      </c>
      <c r="D3">
        <f t="shared" si="0"/>
        <v>21.9658593791752</v>
      </c>
      <c r="E3">
        <v>12</v>
      </c>
      <c r="F3">
        <f t="shared" si="1"/>
        <v>9.9658593791751997</v>
      </c>
      <c r="H3" t="s">
        <v>9</v>
      </c>
      <c r="I3">
        <v>0.73601419957557968</v>
      </c>
    </row>
    <row r="4" spans="1:9" x14ac:dyDescent="0.3">
      <c r="A4" t="s">
        <v>21</v>
      </c>
      <c r="B4">
        <v>29.153871369802683</v>
      </c>
      <c r="C4">
        <v>25.429142792919748</v>
      </c>
      <c r="D4">
        <f t="shared" si="0"/>
        <v>38.451905827758758</v>
      </c>
      <c r="E4">
        <v>39</v>
      </c>
      <c r="F4">
        <f t="shared" si="1"/>
        <v>0.54809417224124246</v>
      </c>
    </row>
    <row r="5" spans="1:9" x14ac:dyDescent="0.3">
      <c r="A5" t="s">
        <v>22</v>
      </c>
      <c r="B5">
        <v>18.950172187224336</v>
      </c>
      <c r="C5">
        <v>17.43050473333945</v>
      </c>
      <c r="D5">
        <f t="shared" si="0"/>
        <v>25.657406628030259</v>
      </c>
      <c r="E5">
        <v>25</v>
      </c>
      <c r="F5">
        <f t="shared" si="1"/>
        <v>0.65740662803025884</v>
      </c>
      <c r="H5" t="s">
        <v>12</v>
      </c>
      <c r="I5" cm="1">
        <f t="array" ref="I5">(SUM(TableAVL[PP]-TableAVL[AP]))^2</f>
        <v>1.2621774483536189E-29</v>
      </c>
    </row>
    <row r="6" spans="1:9" x14ac:dyDescent="0.3">
      <c r="A6" t="s">
        <v>23</v>
      </c>
      <c r="B6">
        <v>7.0561870800913082</v>
      </c>
      <c r="C6">
        <v>18.198566824237588</v>
      </c>
      <c r="D6">
        <f t="shared" si="0"/>
        <v>18.171085184792876</v>
      </c>
      <c r="E6">
        <v>29</v>
      </c>
      <c r="F6">
        <f t="shared" si="1"/>
        <v>10.828914815207124</v>
      </c>
    </row>
    <row r="7" spans="1:9" x14ac:dyDescent="0.3">
      <c r="A7" t="s">
        <v>24</v>
      </c>
      <c r="B7">
        <v>16.045454591695044</v>
      </c>
      <c r="C7">
        <v>15.375792751829088</v>
      </c>
      <c r="D7">
        <f t="shared" si="0"/>
        <v>22.178762608340456</v>
      </c>
      <c r="E7">
        <v>21</v>
      </c>
      <c r="F7">
        <f t="shared" si="1"/>
        <v>1.1787626083404561</v>
      </c>
      <c r="H7" t="s">
        <v>15</v>
      </c>
      <c r="I7">
        <f>AVERAGE(TableAVL[DIFF])/5</f>
        <v>1.3101619295373765</v>
      </c>
    </row>
    <row r="8" spans="1:9" x14ac:dyDescent="0.3">
      <c r="A8" t="s">
        <v>25</v>
      </c>
      <c r="B8">
        <v>19.902439049282378</v>
      </c>
      <c r="C8">
        <v>18.24119125091298</v>
      </c>
      <c r="D8">
        <f t="shared" si="0"/>
        <v>26.898719894589732</v>
      </c>
      <c r="E8">
        <v>12</v>
      </c>
      <c r="F8">
        <f t="shared" si="1"/>
        <v>14.898719894589732</v>
      </c>
    </row>
    <row r="9" spans="1:9" x14ac:dyDescent="0.3">
      <c r="A9" t="s">
        <v>26</v>
      </c>
      <c r="B9">
        <v>12.749787529788438</v>
      </c>
      <c r="C9">
        <v>15.950698234304895</v>
      </c>
      <c r="D9">
        <f t="shared" si="0"/>
        <v>20.370901376005996</v>
      </c>
      <c r="E9">
        <v>27</v>
      </c>
      <c r="F9">
        <f t="shared" si="1"/>
        <v>6.629098623994004</v>
      </c>
    </row>
    <row r="10" spans="1:9" x14ac:dyDescent="0.3">
      <c r="A10" t="s">
        <v>27</v>
      </c>
      <c r="B10">
        <v>13.016965269667574</v>
      </c>
      <c r="C10">
        <v>15.917678505719977</v>
      </c>
      <c r="D10">
        <f t="shared" si="0"/>
        <v>20.527464196851398</v>
      </c>
      <c r="E10">
        <v>32</v>
      </c>
      <c r="F10">
        <f t="shared" si="1"/>
        <v>11.472535803148602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28</v>
      </c>
      <c r="B2">
        <v>26.756756788440974</v>
      </c>
      <c r="C2">
        <v>12.990395187034007</v>
      </c>
      <c r="D2">
        <f>B2*$I$2+C2*$I$3</f>
        <v>18.508118402113109</v>
      </c>
      <c r="E2">
        <v>10</v>
      </c>
      <c r="F2">
        <f>ABS(D2-E2)</f>
        <v>8.5081184021131087</v>
      </c>
      <c r="H2" t="s">
        <v>7</v>
      </c>
      <c r="I2">
        <v>0.46097391793611653</v>
      </c>
    </row>
    <row r="3" spans="1:9" x14ac:dyDescent="0.3">
      <c r="A3" t="s">
        <v>29</v>
      </c>
      <c r="B3">
        <v>10.138659260289428</v>
      </c>
      <c r="C3">
        <v>17.831890860526698</v>
      </c>
      <c r="D3">
        <f>B3*$I$2+C3*$I$3</f>
        <v>13.148628862793954</v>
      </c>
      <c r="E3">
        <v>10</v>
      </c>
      <c r="F3">
        <f>ABS(D3-E3)</f>
        <v>3.148628862793954</v>
      </c>
      <c r="H3" t="s">
        <v>9</v>
      </c>
      <c r="I3">
        <v>0.47527048293681196</v>
      </c>
    </row>
    <row r="4" spans="1:9" x14ac:dyDescent="0.3">
      <c r="A4" t="s">
        <v>30</v>
      </c>
      <c r="B4">
        <v>12.715328079542068</v>
      </c>
      <c r="C4">
        <v>17.217430900546155</v>
      </c>
      <c r="D4">
        <f>B4*$I$2+C4*$I$3</f>
        <v>14.044371301703384</v>
      </c>
      <c r="E4">
        <v>23</v>
      </c>
      <c r="F4">
        <f>ABS(D4-E4)</f>
        <v>8.955628698296616</v>
      </c>
    </row>
    <row r="5" spans="1:9" x14ac:dyDescent="0.3">
      <c r="A5" t="s">
        <v>31</v>
      </c>
      <c r="B5">
        <v>14.533317162445943</v>
      </c>
      <c r="C5">
        <v>18.093699459875666</v>
      </c>
      <c r="D5">
        <f>B5*$I$2+C5*$I$3</f>
        <v>15.29888143338955</v>
      </c>
      <c r="E5">
        <v>18</v>
      </c>
      <c r="F5">
        <f>ABS(D5-E5)</f>
        <v>2.7011185666104502</v>
      </c>
      <c r="H5" t="s">
        <v>12</v>
      </c>
      <c r="I5" cm="1">
        <f t="array" ref="I5">(SUM(TableBOU[PP]-TableBOU[AP]))^2</f>
        <v>1.2621774483536189E-29</v>
      </c>
    </row>
    <row r="7" spans="1:9" x14ac:dyDescent="0.3">
      <c r="H7" t="s">
        <v>15</v>
      </c>
      <c r="I7">
        <f>AVERAGE(TableBOU[DIFF])/5</f>
        <v>1.1656747264907064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32</v>
      </c>
      <c r="B2">
        <v>23.524716699313348</v>
      </c>
      <c r="C2">
        <v>30.171320807983314</v>
      </c>
      <c r="D2">
        <f>B2*$I$2+C2*$I$3</f>
        <v>18.390737035739001</v>
      </c>
      <c r="E2">
        <v>19</v>
      </c>
      <c r="F2">
        <f>ABS(D2-E2)</f>
        <v>0.60926296426099924</v>
      </c>
      <c r="H2" t="s">
        <v>7</v>
      </c>
      <c r="I2">
        <v>0.33759644270285677</v>
      </c>
    </row>
    <row r="3" spans="1:9" x14ac:dyDescent="0.3">
      <c r="A3" t="s">
        <v>33</v>
      </c>
      <c r="B3">
        <v>21.770833333333336</v>
      </c>
      <c r="C3">
        <v>24.000545622796061</v>
      </c>
      <c r="D3">
        <f>B3*$I$2+C3*$I$3</f>
        <v>15.661580731216196</v>
      </c>
      <c r="E3">
        <v>11</v>
      </c>
      <c r="F3">
        <f>ABS(D3-E3)</f>
        <v>4.6615807312161959</v>
      </c>
      <c r="H3" t="s">
        <v>9</v>
      </c>
      <c r="I3">
        <v>0.34631816183842901</v>
      </c>
    </row>
    <row r="4" spans="1:9" x14ac:dyDescent="0.3">
      <c r="A4" t="s">
        <v>34</v>
      </c>
      <c r="B4">
        <v>30.919730406519058</v>
      </c>
      <c r="C4">
        <v>17.398214442979224</v>
      </c>
      <c r="D4">
        <f>B4*$I$2+C4*$I$3</f>
        <v>16.463708639735561</v>
      </c>
      <c r="E4">
        <v>12</v>
      </c>
      <c r="F4">
        <f>ABS(D4-E4)</f>
        <v>4.463708639735561</v>
      </c>
    </row>
    <row r="5" spans="1:9" x14ac:dyDescent="0.3">
      <c r="A5" t="s">
        <v>35</v>
      </c>
      <c r="B5">
        <v>13.550241441887206</v>
      </c>
      <c r="C5">
        <v>17.495177277967219</v>
      </c>
      <c r="D5">
        <f>B5*$I$2+C5*$I$3</f>
        <v>10.633410944489007</v>
      </c>
      <c r="E5">
        <v>17</v>
      </c>
      <c r="F5">
        <f>ABS(D5-E5)</f>
        <v>6.3665890555109925</v>
      </c>
      <c r="H5" t="s">
        <v>12</v>
      </c>
      <c r="I5" cm="1">
        <f t="array" ref="I5">(SUM(TableBRE[PP]-TableBRE[AP]))^2</f>
        <v>3.1554436208840472E-30</v>
      </c>
    </row>
    <row r="6" spans="1:9" x14ac:dyDescent="0.3">
      <c r="A6" t="s">
        <v>36</v>
      </c>
      <c r="B6">
        <v>15.594616991122301</v>
      </c>
      <c r="C6">
        <v>19.016835248670517</v>
      </c>
      <c r="D6">
        <f>B6*$I$2+C6*$I$3</f>
        <v>11.850562648820233</v>
      </c>
      <c r="E6">
        <v>14</v>
      </c>
      <c r="F6">
        <f>ABS(D6-E6)</f>
        <v>2.1494373511797669</v>
      </c>
    </row>
    <row r="7" spans="1:9" x14ac:dyDescent="0.3">
      <c r="H7" t="s">
        <v>15</v>
      </c>
      <c r="I7">
        <f>AVERAGE(TableBRE[DIFF])/5</f>
        <v>0.73002314967614057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37</v>
      </c>
      <c r="B2">
        <v>15.896036320095771</v>
      </c>
      <c r="C2">
        <v>20.129592718635955</v>
      </c>
      <c r="D2">
        <f t="shared" ref="D2:D8" si="0">B2*$I$2+C2*$I$3</f>
        <v>20.282170460519339</v>
      </c>
      <c r="E2">
        <v>21</v>
      </c>
      <c r="F2">
        <f t="shared" ref="F2:F8" si="1">ABS(D2-E2)</f>
        <v>0.71782953948066108</v>
      </c>
      <c r="H2" t="s">
        <v>7</v>
      </c>
      <c r="I2">
        <v>0.5570132985582863</v>
      </c>
    </row>
    <row r="3" spans="1:9" x14ac:dyDescent="0.3">
      <c r="A3" t="s">
        <v>38</v>
      </c>
      <c r="B3">
        <v>18.25</v>
      </c>
      <c r="C3">
        <v>16.791890612833743</v>
      </c>
      <c r="D3">
        <f t="shared" si="0"/>
        <v>19.698496795097633</v>
      </c>
      <c r="E3">
        <v>29</v>
      </c>
      <c r="F3">
        <f t="shared" si="1"/>
        <v>9.3015032049023674</v>
      </c>
      <c r="H3" t="s">
        <v>9</v>
      </c>
      <c r="I3">
        <v>0.56771475685549089</v>
      </c>
    </row>
    <row r="4" spans="1:9" x14ac:dyDescent="0.3">
      <c r="A4" t="s">
        <v>39</v>
      </c>
      <c r="B4">
        <v>28.636363623798342</v>
      </c>
      <c r="C4">
        <v>29.837371629687556</v>
      </c>
      <c r="D4">
        <f t="shared" si="0"/>
        <v>32.88995154076143</v>
      </c>
      <c r="E4">
        <v>27</v>
      </c>
      <c r="F4">
        <f t="shared" si="1"/>
        <v>5.8899515407614302</v>
      </c>
    </row>
    <row r="5" spans="1:9" x14ac:dyDescent="0.3">
      <c r="A5" t="s">
        <v>40</v>
      </c>
      <c r="B5">
        <v>28.607504191870628</v>
      </c>
      <c r="C5">
        <v>15.28722610636418</v>
      </c>
      <c r="D5">
        <f t="shared" si="0"/>
        <v>24.613544125403315</v>
      </c>
      <c r="E5">
        <v>26</v>
      </c>
      <c r="F5">
        <f t="shared" si="1"/>
        <v>1.3864558745966846</v>
      </c>
      <c r="H5" t="s">
        <v>12</v>
      </c>
      <c r="I5" cm="1">
        <f t="array" ref="I5">(SUM(TableBHA[PP]-TableBHA[AP]))^2</f>
        <v>1.2621774483536189E-29</v>
      </c>
    </row>
    <row r="6" spans="1:9" x14ac:dyDescent="0.3">
      <c r="A6" t="s">
        <v>41</v>
      </c>
      <c r="B6">
        <v>18.026315779140763</v>
      </c>
      <c r="C6">
        <v>20.301256373630782</v>
      </c>
      <c r="D6">
        <f t="shared" si="0"/>
        <v>21.566220439009264</v>
      </c>
      <c r="E6">
        <v>14</v>
      </c>
      <c r="F6">
        <f t="shared" si="1"/>
        <v>7.566220439009264</v>
      </c>
    </row>
    <row r="7" spans="1:9" x14ac:dyDescent="0.3">
      <c r="A7" t="s">
        <v>42</v>
      </c>
      <c r="B7">
        <v>13.881578934441771</v>
      </c>
      <c r="C7">
        <v>16.929878448789871</v>
      </c>
      <c r="D7">
        <f t="shared" si="0"/>
        <v>17.34356589861839</v>
      </c>
      <c r="E7">
        <v>24</v>
      </c>
      <c r="F7">
        <f t="shared" si="1"/>
        <v>6.6564341013816097</v>
      </c>
      <c r="H7" t="s">
        <v>15</v>
      </c>
      <c r="I7">
        <f>AVERAGE(TableBHA[DIFF])/5</f>
        <v>1.0321270125920758</v>
      </c>
    </row>
    <row r="8" spans="1:9" x14ac:dyDescent="0.3">
      <c r="A8" t="s">
        <v>43</v>
      </c>
      <c r="B8">
        <v>11.428571392787838</v>
      </c>
      <c r="C8">
        <v>18.037552076335405</v>
      </c>
      <c r="D8">
        <f t="shared" si="0"/>
        <v>16.606050740590632</v>
      </c>
      <c r="E8">
        <v>12</v>
      </c>
      <c r="F8">
        <f t="shared" si="1"/>
        <v>4.6060507405906321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44</v>
      </c>
      <c r="B2">
        <v>35.961192751082621</v>
      </c>
      <c r="C2">
        <v>17.206715005435452</v>
      </c>
      <c r="D2">
        <f>B2*$I$2+C2*$I$3</f>
        <v>23</v>
      </c>
      <c r="E2">
        <v>23</v>
      </c>
      <c r="F2">
        <f>ABS(D2-E2)</f>
        <v>0</v>
      </c>
      <c r="H2" t="s">
        <v>7</v>
      </c>
      <c r="I2">
        <v>0.52042949867712629</v>
      </c>
    </row>
    <row r="3" spans="1:9" x14ac:dyDescent="0.3">
      <c r="H3" t="s">
        <v>9</v>
      </c>
      <c r="I3">
        <v>0.24901525267135849</v>
      </c>
    </row>
    <row r="5" spans="1:9" x14ac:dyDescent="0.3">
      <c r="H5" t="s">
        <v>12</v>
      </c>
      <c r="I5">
        <f>(SUM(TableCHE[PP]-TableCHE[AP]))^2</f>
        <v>0</v>
      </c>
    </row>
    <row r="7" spans="1:9" x14ac:dyDescent="0.3">
      <c r="H7" t="s">
        <v>15</v>
      </c>
      <c r="I7">
        <f>AVERAGE(TableCHE[DIFF])/5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45</v>
      </c>
      <c r="B2">
        <v>18.44901491268396</v>
      </c>
      <c r="C2">
        <v>18.575629540568819</v>
      </c>
      <c r="D2">
        <f t="shared" ref="D2:D10" si="0">B2*$I$2+C2*$I$3</f>
        <v>22.507866446969231</v>
      </c>
      <c r="E2">
        <v>19</v>
      </c>
      <c r="F2">
        <f t="shared" ref="F2:F10" si="1">ABS(D2-E2)</f>
        <v>3.5078664469692313</v>
      </c>
      <c r="H2" t="s">
        <v>7</v>
      </c>
      <c r="I2">
        <v>0.61614874970968114</v>
      </c>
    </row>
    <row r="3" spans="1:9" x14ac:dyDescent="0.3">
      <c r="A3" t="s">
        <v>46</v>
      </c>
      <c r="B3">
        <v>15.058849814873287</v>
      </c>
      <c r="C3">
        <v>13.97187150444187</v>
      </c>
      <c r="D3">
        <f t="shared" si="0"/>
        <v>17.65796734618484</v>
      </c>
      <c r="E3">
        <v>25</v>
      </c>
      <c r="F3">
        <f t="shared" si="1"/>
        <v>7.3420326538151599</v>
      </c>
      <c r="H3" t="s">
        <v>9</v>
      </c>
      <c r="I3">
        <v>0.59973897255073072</v>
      </c>
    </row>
    <row r="4" spans="1:9" x14ac:dyDescent="0.3">
      <c r="A4" t="s">
        <v>47</v>
      </c>
      <c r="B4">
        <v>13.163439942989248</v>
      </c>
      <c r="C4">
        <v>14.279972502835919</v>
      </c>
      <c r="D4">
        <f t="shared" si="0"/>
        <v>16.674893099654803</v>
      </c>
      <c r="E4">
        <v>21</v>
      </c>
      <c r="F4">
        <f t="shared" si="1"/>
        <v>4.3251069003451974</v>
      </c>
    </row>
    <row r="5" spans="1:9" x14ac:dyDescent="0.3">
      <c r="A5" t="s">
        <v>48</v>
      </c>
      <c r="B5">
        <v>27.78653609215802</v>
      </c>
      <c r="C5">
        <v>16.940799627343409</v>
      </c>
      <c r="D5">
        <f t="shared" si="0"/>
        <v>27.280697234636829</v>
      </c>
      <c r="E5">
        <v>17</v>
      </c>
      <c r="F5">
        <f t="shared" si="1"/>
        <v>10.280697234636829</v>
      </c>
      <c r="H5" t="s">
        <v>12</v>
      </c>
      <c r="I5" cm="1">
        <f t="array" ref="I5">(SUM(TableCRY[PP]-TableCRY[AP]))^2</f>
        <v>5.0487097934144756E-29</v>
      </c>
    </row>
    <row r="6" spans="1:9" x14ac:dyDescent="0.3">
      <c r="A6" t="s">
        <v>49</v>
      </c>
      <c r="B6">
        <v>14.087044113493661</v>
      </c>
      <c r="C6">
        <v>14.548572466447068</v>
      </c>
      <c r="D6">
        <f t="shared" si="0"/>
        <v>17.40506052074106</v>
      </c>
      <c r="E6">
        <v>14</v>
      </c>
      <c r="F6">
        <f t="shared" si="1"/>
        <v>3.4050605207410598</v>
      </c>
    </row>
    <row r="7" spans="1:9" x14ac:dyDescent="0.3">
      <c r="A7" t="s">
        <v>50</v>
      </c>
      <c r="B7">
        <v>15.092002675575195</v>
      </c>
      <c r="C7">
        <v>15.867369750732221</v>
      </c>
      <c r="D7">
        <f t="shared" si="0"/>
        <v>18.815198610557506</v>
      </c>
      <c r="E7">
        <v>22</v>
      </c>
      <c r="F7">
        <f t="shared" si="1"/>
        <v>3.1848013894424945</v>
      </c>
      <c r="H7" t="s">
        <v>15</v>
      </c>
      <c r="I7">
        <f>AVERAGE(TableCRY[DIFF])/5</f>
        <v>1.0436003251902122</v>
      </c>
    </row>
    <row r="8" spans="1:9" x14ac:dyDescent="0.3">
      <c r="A8" t="s">
        <v>51</v>
      </c>
      <c r="B8">
        <v>20.125954955305819</v>
      </c>
      <c r="C8">
        <v>18.291877210747838</v>
      </c>
      <c r="D8">
        <f t="shared" si="0"/>
        <v>23.370933626823074</v>
      </c>
      <c r="E8">
        <v>32</v>
      </c>
      <c r="F8">
        <f t="shared" si="1"/>
        <v>8.6290663731769257</v>
      </c>
    </row>
    <row r="9" spans="1:9" x14ac:dyDescent="0.3">
      <c r="A9" t="s">
        <v>52</v>
      </c>
      <c r="B9">
        <v>16.31214830427627</v>
      </c>
      <c r="C9">
        <v>16.112684953066065</v>
      </c>
      <c r="D9">
        <f t="shared" si="0"/>
        <v>19.714114901544178</v>
      </c>
      <c r="E9">
        <v>15</v>
      </c>
      <c r="F9">
        <f t="shared" si="1"/>
        <v>4.7141149015441783</v>
      </c>
    </row>
    <row r="10" spans="1:9" x14ac:dyDescent="0.3">
      <c r="A10" t="s">
        <v>53</v>
      </c>
      <c r="B10">
        <v>9.9356409695949459</v>
      </c>
      <c r="C10">
        <v>17.426640472366831</v>
      </c>
      <c r="D10">
        <f t="shared" si="0"/>
        <v>16.573268212888472</v>
      </c>
      <c r="E10">
        <v>15</v>
      </c>
      <c r="F10">
        <f t="shared" si="1"/>
        <v>1.5732682128884719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54</v>
      </c>
      <c r="B2">
        <v>17.6875</v>
      </c>
      <c r="C2">
        <v>17.032507193839123</v>
      </c>
      <c r="D2">
        <f t="shared" ref="D2:D7" si="0">B2*$I$2+C2*$I$3</f>
        <v>15.172719985251565</v>
      </c>
      <c r="E2">
        <v>16</v>
      </c>
      <c r="F2">
        <f t="shared" ref="F2:F7" si="1">ABS(D2-E2)</f>
        <v>0.82728001474843538</v>
      </c>
      <c r="H2" t="s">
        <v>7</v>
      </c>
      <c r="I2">
        <v>0.42745815435539736</v>
      </c>
    </row>
    <row r="3" spans="1:9" x14ac:dyDescent="0.3">
      <c r="A3" t="s">
        <v>55</v>
      </c>
      <c r="B3">
        <v>13.136273684930661</v>
      </c>
      <c r="C3">
        <v>15.003354072085617</v>
      </c>
      <c r="D3">
        <f t="shared" si="0"/>
        <v>12.320405680670513</v>
      </c>
      <c r="E3">
        <v>11</v>
      </c>
      <c r="F3">
        <f t="shared" si="1"/>
        <v>1.3204056806705129</v>
      </c>
      <c r="H3" t="s">
        <v>9</v>
      </c>
      <c r="I3">
        <v>0.4469132931201022</v>
      </c>
    </row>
    <row r="4" spans="1:9" x14ac:dyDescent="0.3">
      <c r="A4" t="s">
        <v>56</v>
      </c>
      <c r="B4">
        <v>13.653265175967231</v>
      </c>
      <c r="C4">
        <v>16.394145182334068</v>
      </c>
      <c r="D4">
        <f t="shared" si="0"/>
        <v>13.162960944369749</v>
      </c>
      <c r="E4">
        <v>10</v>
      </c>
      <c r="F4">
        <f t="shared" si="1"/>
        <v>3.1629609443697486</v>
      </c>
    </row>
    <row r="5" spans="1:9" x14ac:dyDescent="0.3">
      <c r="A5" t="s">
        <v>57</v>
      </c>
      <c r="B5">
        <v>13.047251163576354</v>
      </c>
      <c r="C5">
        <v>15.245449734191359</v>
      </c>
      <c r="D5">
        <f t="shared" si="0"/>
        <v>12.390548047598106</v>
      </c>
      <c r="E5">
        <v>11</v>
      </c>
      <c r="F5">
        <f t="shared" si="1"/>
        <v>1.3905480475981058</v>
      </c>
      <c r="H5" t="s">
        <v>12</v>
      </c>
      <c r="I5" cm="1">
        <f t="array" ref="I5">(SUM(TableEVE[PP]-TableEVE[AP]))^2</f>
        <v>2.8398992587956425E-29</v>
      </c>
    </row>
    <row r="6" spans="1:9" x14ac:dyDescent="0.3">
      <c r="A6" t="s">
        <v>58</v>
      </c>
      <c r="B6">
        <v>14.94056836447694</v>
      </c>
      <c r="C6">
        <v>15.052440379246869</v>
      </c>
      <c r="D6">
        <f t="shared" si="0"/>
        <v>13.113603477483169</v>
      </c>
      <c r="E6">
        <v>14</v>
      </c>
      <c r="F6">
        <f t="shared" si="1"/>
        <v>0.8863965225168311</v>
      </c>
    </row>
    <row r="7" spans="1:9" x14ac:dyDescent="0.3">
      <c r="A7" t="s">
        <v>59</v>
      </c>
      <c r="B7">
        <v>16.949381731282333</v>
      </c>
      <c r="C7">
        <v>14.755905751354861</v>
      </c>
      <c r="D7">
        <f t="shared" si="0"/>
        <v>13.839761864626894</v>
      </c>
      <c r="E7">
        <v>18</v>
      </c>
      <c r="F7">
        <f t="shared" si="1"/>
        <v>4.1602381353731062</v>
      </c>
      <c r="H7" t="s">
        <v>15</v>
      </c>
      <c r="I7">
        <f>AVERAGE(TableEVE[DIFF])/5</f>
        <v>0.39159431150922469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15.556895237622932</v>
      </c>
      <c r="C2">
        <v>15.726993591335688</v>
      </c>
      <c r="D2">
        <f>B2*$I$2+C2*$I$3</f>
        <v>12.994232463574775</v>
      </c>
      <c r="E2">
        <v>18</v>
      </c>
      <c r="F2">
        <f>ABS(D2-E2)</f>
        <v>5.0057675364252248</v>
      </c>
      <c r="H2" t="s">
        <v>7</v>
      </c>
      <c r="I2">
        <v>0.47600157145469557</v>
      </c>
    </row>
    <row r="3" spans="1:9" x14ac:dyDescent="0.3">
      <c r="A3" t="s">
        <v>61</v>
      </c>
      <c r="B3">
        <v>38.399999961594943</v>
      </c>
      <c r="C3">
        <v>24.557382931655905</v>
      </c>
      <c r="D3">
        <f>B3*$I$2+C3*$I$3</f>
        <v>27.005767536425225</v>
      </c>
      <c r="E3">
        <v>22</v>
      </c>
      <c r="F3">
        <f>ABS(D3-E3)</f>
        <v>5.0057675364252248</v>
      </c>
      <c r="H3" t="s">
        <v>9</v>
      </c>
      <c r="I3">
        <v>0.35538425389766481</v>
      </c>
    </row>
    <row r="5" spans="1:9" x14ac:dyDescent="0.3">
      <c r="H5" t="s">
        <v>12</v>
      </c>
      <c r="I5" cm="1">
        <f t="array" ref="I5">(SUM(TableFUL[PP]-TableFUL[AP]))^2</f>
        <v>0</v>
      </c>
    </row>
    <row r="7" spans="1:9" x14ac:dyDescent="0.3">
      <c r="H7" t="s">
        <v>15</v>
      </c>
      <c r="I7">
        <f>AVERAGE(TableFUL[DIFF])/5</f>
        <v>1.001153507285045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62</v>
      </c>
      <c r="B2">
        <v>16.962871199051367</v>
      </c>
      <c r="C2">
        <v>22.6540863530821</v>
      </c>
      <c r="D2">
        <f>B2*$I$2+C2*$I$3</f>
        <v>14.139014846501027</v>
      </c>
      <c r="E2">
        <v>12</v>
      </c>
      <c r="F2">
        <f>ABS(D2-E2)</f>
        <v>2.139014846501027</v>
      </c>
      <c r="H2" t="s">
        <v>7</v>
      </c>
      <c r="I2">
        <v>0.3902109172892787</v>
      </c>
    </row>
    <row r="3" spans="1:9" x14ac:dyDescent="0.3">
      <c r="A3" t="s">
        <v>63</v>
      </c>
      <c r="B3">
        <v>47.416907838697007</v>
      </c>
      <c r="C3">
        <v>20.489320379853961</v>
      </c>
      <c r="D3">
        <f>B3*$I$2+C3*$I$3</f>
        <v>25.303928545093637</v>
      </c>
      <c r="E3">
        <v>23</v>
      </c>
      <c r="F3">
        <f>ABS(D3-E3)</f>
        <v>2.3039285450936369</v>
      </c>
      <c r="H3" t="s">
        <v>9</v>
      </c>
      <c r="I3">
        <v>0.33194529229099623</v>
      </c>
    </row>
    <row r="4" spans="1:9" x14ac:dyDescent="0.3">
      <c r="A4" t="s">
        <v>64</v>
      </c>
      <c r="B4">
        <v>10.487888907348712</v>
      </c>
      <c r="C4">
        <v>17.920486628723449</v>
      </c>
      <c r="D4">
        <f>B4*$I$2+C4*$I$3</f>
        <v>10.041109922933085</v>
      </c>
      <c r="E4">
        <v>16</v>
      </c>
      <c r="F4">
        <f>ABS(D4-E4)</f>
        <v>5.9588900770669149</v>
      </c>
    </row>
    <row r="5" spans="1:9" x14ac:dyDescent="0.3">
      <c r="A5" t="s">
        <v>65</v>
      </c>
      <c r="B5">
        <v>18.799999999911137</v>
      </c>
      <c r="C5">
        <v>18.617469757790317</v>
      </c>
      <c r="D5">
        <f>B5*$I$2+C5*$I$3</f>
        <v>13.515946685472255</v>
      </c>
      <c r="E5">
        <v>12</v>
      </c>
      <c r="F5">
        <f>ABS(D5-E5)</f>
        <v>1.5159466854722545</v>
      </c>
      <c r="H5" t="s">
        <v>12</v>
      </c>
      <c r="I5" cm="1">
        <f t="array" ref="I5">(SUM(TableLEE[PP]-TableLEE[AP]))^2</f>
        <v>1.2621774483536189E-29</v>
      </c>
    </row>
    <row r="7" spans="1:9" x14ac:dyDescent="0.3">
      <c r="H7" t="s">
        <v>15</v>
      </c>
      <c r="I7">
        <f>AVERAGE(TableLEE[DIFF])/5</f>
        <v>0.59588900770669162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66</v>
      </c>
      <c r="B2">
        <v>11.39944611974091</v>
      </c>
      <c r="C2">
        <v>16.592789976595697</v>
      </c>
      <c r="D2">
        <f>B2*$I$2+C2*$I$3</f>
        <v>12.020813533603052</v>
      </c>
      <c r="E2">
        <v>20</v>
      </c>
      <c r="F2">
        <f>ABS(D2-E2)</f>
        <v>7.9791864663969481</v>
      </c>
      <c r="H2" t="s">
        <v>7</v>
      </c>
      <c r="I2">
        <v>0.38082051388810589</v>
      </c>
    </row>
    <row r="3" spans="1:9" x14ac:dyDescent="0.3">
      <c r="A3" t="s">
        <v>67</v>
      </c>
      <c r="B3">
        <v>15.582223840601829</v>
      </c>
      <c r="C3">
        <v>16.987314408661842</v>
      </c>
      <c r="D3">
        <f>B3*$I$2+C3*$I$3</f>
        <v>13.79629954188993</v>
      </c>
      <c r="E3">
        <v>15</v>
      </c>
      <c r="F3">
        <f>ABS(D3-E3)</f>
        <v>1.2037004581100703</v>
      </c>
      <c r="H3" t="s">
        <v>9</v>
      </c>
      <c r="I3">
        <v>0.46283178507507172</v>
      </c>
    </row>
    <row r="4" spans="1:9" x14ac:dyDescent="0.3">
      <c r="A4" t="s">
        <v>68</v>
      </c>
      <c r="B4">
        <v>22.842085002115656</v>
      </c>
      <c r="C4">
        <v>26.973411892401902</v>
      </c>
      <c r="D4">
        <f>B4*$I$2+C4*$I$3</f>
        <v>21.182886924507024</v>
      </c>
      <c r="E4">
        <v>12</v>
      </c>
      <c r="F4">
        <f>ABS(D4-E4)</f>
        <v>9.1828869245070237</v>
      </c>
    </row>
    <row r="5" spans="1:9" x14ac:dyDescent="0.3">
      <c r="H5" t="s">
        <v>12</v>
      </c>
      <c r="I5" cm="1">
        <f t="array" ref="I5">(SUM(TableLEI[PP]-TableLEI[AP]))^2</f>
        <v>2.8398992587956425E-29</v>
      </c>
    </row>
    <row r="7" spans="1:9" x14ac:dyDescent="0.3">
      <c r="H7" t="s">
        <v>15</v>
      </c>
      <c r="I7">
        <f>AVERAGE(TableLEI[DIFF])/5</f>
        <v>1.2243849232676027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69</v>
      </c>
      <c r="B2">
        <v>18.19480521229212</v>
      </c>
      <c r="C2">
        <v>12.889168214850031</v>
      </c>
      <c r="D2">
        <f t="shared" ref="D2:D7" si="0">B2*$I$2+C2*$I$3</f>
        <v>12.315848016037648</v>
      </c>
      <c r="E2">
        <v>16</v>
      </c>
      <c r="F2">
        <f t="shared" ref="F2:F7" si="1">ABS(D2-E2)</f>
        <v>3.6841519839623516</v>
      </c>
      <c r="H2" t="s">
        <v>7</v>
      </c>
      <c r="I2">
        <v>0.40771568724233814</v>
      </c>
    </row>
    <row r="3" spans="1:9" x14ac:dyDescent="0.3">
      <c r="A3" t="s">
        <v>70</v>
      </c>
      <c r="B3">
        <v>22.605889225623564</v>
      </c>
      <c r="C3">
        <v>25.146054406048719</v>
      </c>
      <c r="D3">
        <f t="shared" si="0"/>
        <v>18.771606348119779</v>
      </c>
      <c r="E3">
        <v>14</v>
      </c>
      <c r="F3">
        <f t="shared" si="1"/>
        <v>4.7716063481197786</v>
      </c>
      <c r="H3" t="s">
        <v>9</v>
      </c>
      <c r="I3">
        <v>0.37997335615690658</v>
      </c>
    </row>
    <row r="4" spans="1:9" x14ac:dyDescent="0.3">
      <c r="A4" t="s">
        <v>71</v>
      </c>
      <c r="B4">
        <v>36.494974657856787</v>
      </c>
      <c r="C4">
        <v>23.651609545151437</v>
      </c>
      <c r="D4">
        <f t="shared" si="0"/>
        <v>23.866555130903713</v>
      </c>
      <c r="E4">
        <v>27</v>
      </c>
      <c r="F4">
        <f t="shared" si="1"/>
        <v>3.1334448690962873</v>
      </c>
    </row>
    <row r="5" spans="1:9" x14ac:dyDescent="0.3">
      <c r="A5" t="s">
        <v>72</v>
      </c>
      <c r="B5">
        <v>26.866744074056154</v>
      </c>
      <c r="C5">
        <v>23.259247990868744</v>
      </c>
      <c r="D5">
        <f t="shared" si="0"/>
        <v>19.791887544894003</v>
      </c>
      <c r="E5">
        <v>21</v>
      </c>
      <c r="F5">
        <f t="shared" si="1"/>
        <v>1.2081124551059972</v>
      </c>
      <c r="H5" t="s">
        <v>12</v>
      </c>
      <c r="I5" cm="1">
        <f t="array" ref="I5">(SUM(TableLIV[PP]-TableLIV[AP]))^2</f>
        <v>5.0487097934144756E-29</v>
      </c>
    </row>
    <row r="6" spans="1:9" x14ac:dyDescent="0.3">
      <c r="A6" t="s">
        <v>73</v>
      </c>
      <c r="B6">
        <v>10.512692622040996</v>
      </c>
      <c r="C6">
        <v>12.97234198742864</v>
      </c>
      <c r="D6">
        <f t="shared" si="0"/>
        <v>9.21533401934132</v>
      </c>
      <c r="E6">
        <v>13</v>
      </c>
      <c r="F6">
        <f t="shared" si="1"/>
        <v>3.78466598065868</v>
      </c>
    </row>
    <row r="7" spans="1:9" x14ac:dyDescent="0.3">
      <c r="A7" t="s">
        <v>74</v>
      </c>
      <c r="B7">
        <v>19.21226695396841</v>
      </c>
      <c r="C7">
        <v>26.858794572608709</v>
      </c>
      <c r="D7">
        <f t="shared" si="0"/>
        <v>18.03876894070353</v>
      </c>
      <c r="E7">
        <v>11</v>
      </c>
      <c r="F7">
        <f t="shared" si="1"/>
        <v>7.0387689407035303</v>
      </c>
      <c r="H7" t="s">
        <v>15</v>
      </c>
      <c r="I7">
        <f>AVERAGE(TableLIV[DIFF])/5</f>
        <v>0.78735835258822084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75</v>
      </c>
      <c r="B2">
        <v>16.481190713614478</v>
      </c>
      <c r="C2">
        <v>19.345688837572116</v>
      </c>
      <c r="D2">
        <f t="shared" ref="D2:D9" si="0">B2*$I$2+C2*$I$3</f>
        <v>16.084987444708887</v>
      </c>
      <c r="E2">
        <v>19</v>
      </c>
      <c r="F2">
        <f t="shared" ref="F2:F9" si="1">ABS(D2-E2)</f>
        <v>2.9150125552911135</v>
      </c>
      <c r="H2" t="s">
        <v>7</v>
      </c>
      <c r="I2">
        <v>0.48804181678268216</v>
      </c>
    </row>
    <row r="3" spans="1:9" x14ac:dyDescent="0.3">
      <c r="A3" t="s">
        <v>76</v>
      </c>
      <c r="B3">
        <v>28.901389464639387</v>
      </c>
      <c r="C3">
        <v>21.667088354636657</v>
      </c>
      <c r="D3">
        <f t="shared" si="0"/>
        <v>23.111506509821901</v>
      </c>
      <c r="E3">
        <v>34</v>
      </c>
      <c r="F3">
        <f t="shared" si="1"/>
        <v>10.888493490178099</v>
      </c>
      <c r="H3" t="s">
        <v>9</v>
      </c>
      <c r="I3">
        <v>0.41567282786420601</v>
      </c>
    </row>
    <row r="4" spans="1:9" x14ac:dyDescent="0.3">
      <c r="A4" t="s">
        <v>77</v>
      </c>
      <c r="B4">
        <v>15.26205535309677</v>
      </c>
      <c r="C4">
        <v>18.606859577312349</v>
      </c>
      <c r="D4">
        <f t="shared" si="0"/>
        <v>15.182887160536817</v>
      </c>
      <c r="E4">
        <v>20</v>
      </c>
      <c r="F4">
        <f t="shared" si="1"/>
        <v>4.8171128394631832</v>
      </c>
    </row>
    <row r="5" spans="1:9" x14ac:dyDescent="0.3">
      <c r="A5" t="s">
        <v>78</v>
      </c>
      <c r="B5">
        <v>34.285714285714292</v>
      </c>
      <c r="C5">
        <v>23.557000531191644</v>
      </c>
      <c r="D5">
        <f t="shared" si="0"/>
        <v>26.524867316490997</v>
      </c>
      <c r="E5">
        <v>12</v>
      </c>
      <c r="F5">
        <f t="shared" si="1"/>
        <v>14.524867316490997</v>
      </c>
      <c r="H5" t="s">
        <v>12</v>
      </c>
      <c r="I5" cm="1">
        <f t="array" ref="I5">(SUM(TableMCI[PP]-TableMCI[AP]))^2</f>
        <v>2.0194839173657902E-28</v>
      </c>
    </row>
    <row r="6" spans="1:9" x14ac:dyDescent="0.3">
      <c r="A6" t="s">
        <v>79</v>
      </c>
      <c r="B6">
        <v>28.508919737874152</v>
      </c>
      <c r="C6">
        <v>22.653425815685583</v>
      </c>
      <c r="D6">
        <f t="shared" si="0"/>
        <v>23.329958553001802</v>
      </c>
      <c r="E6">
        <v>28</v>
      </c>
      <c r="F6">
        <f t="shared" si="1"/>
        <v>4.6700414469981979</v>
      </c>
    </row>
    <row r="7" spans="1:9" x14ac:dyDescent="0.3">
      <c r="A7" t="s">
        <v>80</v>
      </c>
      <c r="B7">
        <v>14.621848764973358</v>
      </c>
      <c r="C7">
        <v>16.588762687275629</v>
      </c>
      <c r="D7">
        <f t="shared" si="0"/>
        <v>14.031571532967302</v>
      </c>
      <c r="E7">
        <v>18</v>
      </c>
      <c r="F7">
        <f t="shared" si="1"/>
        <v>3.9684284670326981</v>
      </c>
      <c r="H7" t="s">
        <v>15</v>
      </c>
      <c r="I7">
        <f>AVERAGE(TableMCI[DIFF])/5</f>
        <v>1.9252872777537628</v>
      </c>
    </row>
    <row r="8" spans="1:9" x14ac:dyDescent="0.3">
      <c r="A8" t="s">
        <v>81</v>
      </c>
      <c r="B8">
        <v>87.142857137957819</v>
      </c>
      <c r="C8">
        <v>61.229693680281265</v>
      </c>
      <c r="D8">
        <f t="shared" si="0"/>
        <v>67.980878238584268</v>
      </c>
      <c r="E8">
        <v>44</v>
      </c>
      <c r="F8">
        <f t="shared" si="1"/>
        <v>23.980878238584268</v>
      </c>
    </row>
    <row r="9" spans="1:9" x14ac:dyDescent="0.3">
      <c r="A9" t="s">
        <v>82</v>
      </c>
      <c r="B9">
        <v>15.866666294254948</v>
      </c>
      <c r="C9">
        <v>21.675091551326176</v>
      </c>
      <c r="D9">
        <f t="shared" si="0"/>
        <v>16.753343243888043</v>
      </c>
      <c r="E9">
        <v>28</v>
      </c>
      <c r="F9">
        <f t="shared" si="1"/>
        <v>11.246656756111957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35.136363620008304</v>
      </c>
      <c r="C2">
        <v>27.420919448481399</v>
      </c>
      <c r="D2">
        <f>B2*$I$2+C2*$I$3</f>
        <v>31.692556789024664</v>
      </c>
      <c r="E2">
        <v>25</v>
      </c>
      <c r="F2">
        <f>ABS(D2-E2)</f>
        <v>6.692556789024664</v>
      </c>
      <c r="H2" t="s">
        <v>7</v>
      </c>
      <c r="I2">
        <v>0.47170215859842912</v>
      </c>
    </row>
    <row r="3" spans="1:9" x14ac:dyDescent="0.3">
      <c r="A3" t="s">
        <v>84</v>
      </c>
      <c r="B3">
        <v>20.297489520084689</v>
      </c>
      <c r="C3">
        <v>29.480882629520263</v>
      </c>
      <c r="D3">
        <f>B3*$I$2+C3*$I$3</f>
        <v>25.828798632876946</v>
      </c>
      <c r="E3">
        <v>13</v>
      </c>
      <c r="F3">
        <f>ABS(D3-E3)</f>
        <v>12.828798632876946</v>
      </c>
      <c r="H3" t="s">
        <v>9</v>
      </c>
      <c r="I3">
        <v>0.55135489721898157</v>
      </c>
    </row>
    <row r="4" spans="1:9" x14ac:dyDescent="0.3">
      <c r="A4" t="s">
        <v>85</v>
      </c>
      <c r="B4">
        <v>17.91954493534611</v>
      </c>
      <c r="C4">
        <v>26.026156479531014</v>
      </c>
      <c r="D4">
        <f>B4*$I$2+C4*$I$3</f>
        <v>22.802336857881262</v>
      </c>
      <c r="E4">
        <v>36</v>
      </c>
      <c r="F4">
        <f>ABS(D4-E4)</f>
        <v>13.197663142118738</v>
      </c>
    </row>
    <row r="5" spans="1:9" x14ac:dyDescent="0.3">
      <c r="A5" t="s">
        <v>19</v>
      </c>
      <c r="B5">
        <v>16.239475173761125</v>
      </c>
      <c r="C5">
        <v>21.793788876923607</v>
      </c>
      <c r="D5">
        <f>B5*$I$2+C5*$I$3</f>
        <v>19.676307720217121</v>
      </c>
      <c r="E5">
        <v>26</v>
      </c>
      <c r="F5">
        <f>ABS(D5-E5)</f>
        <v>6.323692279782879</v>
      </c>
      <c r="H5" t="s">
        <v>12</v>
      </c>
      <c r="I5" cm="1">
        <f t="array" ref="I5">(SUM(TableMUN[PP]-TableMUN[AP]))^2</f>
        <v>5.0487097934144756E-29</v>
      </c>
    </row>
    <row r="7" spans="1:9" x14ac:dyDescent="0.3">
      <c r="H7" t="s">
        <v>15</v>
      </c>
      <c r="I7">
        <f>AVERAGE(TableMUN[DIFF])/5</f>
        <v>1.9521355421901609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86</v>
      </c>
      <c r="B2">
        <v>21.539433031849892</v>
      </c>
      <c r="C2">
        <v>21.345666077806381</v>
      </c>
      <c r="D2">
        <f t="shared" ref="D2:D10" si="0">B2*$I$2+C2*$I$3</f>
        <v>21.827108367611594</v>
      </c>
      <c r="E2">
        <v>24</v>
      </c>
      <c r="F2">
        <f t="shared" ref="F2:F10" si="1">ABS(D2-E2)</f>
        <v>2.1728916323884064</v>
      </c>
      <c r="H2" t="s">
        <v>7</v>
      </c>
      <c r="I2">
        <v>0.49754517852219704</v>
      </c>
    </row>
    <row r="3" spans="1:9" x14ac:dyDescent="0.3">
      <c r="A3" t="s">
        <v>87</v>
      </c>
      <c r="B3">
        <v>10</v>
      </c>
      <c r="C3">
        <v>10.701171505515235</v>
      </c>
      <c r="D3">
        <f t="shared" si="0"/>
        <v>10.545335412715747</v>
      </c>
      <c r="E3">
        <v>22</v>
      </c>
      <c r="F3">
        <f t="shared" si="1"/>
        <v>11.454664587284253</v>
      </c>
      <c r="H3" t="s">
        <v>9</v>
      </c>
      <c r="I3">
        <v>0.52049288478585132</v>
      </c>
    </row>
    <row r="4" spans="1:9" x14ac:dyDescent="0.3">
      <c r="A4" t="s">
        <v>88</v>
      </c>
      <c r="B4">
        <v>20.94426128437458</v>
      </c>
      <c r="C4">
        <v>20.868724203271373</v>
      </c>
      <c r="D4">
        <f t="shared" si="0"/>
        <v>21.282738682110725</v>
      </c>
      <c r="E4">
        <v>17</v>
      </c>
      <c r="F4">
        <f t="shared" si="1"/>
        <v>4.2827386821107254</v>
      </c>
    </row>
    <row r="5" spans="1:9" x14ac:dyDescent="0.3">
      <c r="A5" t="s">
        <v>89</v>
      </c>
      <c r="B5">
        <v>28.18181817188605</v>
      </c>
      <c r="C5">
        <v>29.93139865085481</v>
      </c>
      <c r="D5">
        <f t="shared" si="0"/>
        <v>29.6008077828699</v>
      </c>
      <c r="E5">
        <v>17</v>
      </c>
      <c r="F5">
        <f t="shared" si="1"/>
        <v>12.6008077828699</v>
      </c>
      <c r="H5" t="s">
        <v>12</v>
      </c>
      <c r="I5" cm="1">
        <f t="array" ref="I5">(SUM(TableNEW[PP]-TableNEW[AP]))^2</f>
        <v>2.8398992587956425E-29</v>
      </c>
    </row>
    <row r="6" spans="1:9" x14ac:dyDescent="0.3">
      <c r="A6" t="s">
        <v>90</v>
      </c>
      <c r="B6">
        <v>11.280467692246219</v>
      </c>
      <c r="C6">
        <v>14.925998724608935</v>
      </c>
      <c r="D6">
        <f t="shared" si="0"/>
        <v>13.381418446234163</v>
      </c>
      <c r="E6">
        <v>11</v>
      </c>
      <c r="F6">
        <f t="shared" si="1"/>
        <v>2.3814184462341625</v>
      </c>
    </row>
    <row r="7" spans="1:9" x14ac:dyDescent="0.3">
      <c r="A7" t="s">
        <v>91</v>
      </c>
      <c r="B7">
        <v>15.0472549148952</v>
      </c>
      <c r="C7">
        <v>13.846229266381631</v>
      </c>
      <c r="D7">
        <f t="shared" si="0"/>
        <v>14.693552947165795</v>
      </c>
      <c r="E7">
        <v>35</v>
      </c>
      <c r="F7">
        <f t="shared" si="1"/>
        <v>20.306447052834205</v>
      </c>
      <c r="H7" t="s">
        <v>15</v>
      </c>
      <c r="I7">
        <f>AVERAGE(TableNEW[DIFF])/5</f>
        <v>1.508177923222527</v>
      </c>
    </row>
    <row r="8" spans="1:9" x14ac:dyDescent="0.3">
      <c r="A8" t="s">
        <v>92</v>
      </c>
      <c r="B8">
        <v>17.672595157866944</v>
      </c>
      <c r="C8">
        <v>21.880318011620851</v>
      </c>
      <c r="D8">
        <f t="shared" si="0"/>
        <v>20.181464354671782</v>
      </c>
      <c r="E8">
        <v>17</v>
      </c>
      <c r="F8">
        <f t="shared" si="1"/>
        <v>3.1814643546717818</v>
      </c>
    </row>
    <row r="9" spans="1:9" x14ac:dyDescent="0.3">
      <c r="A9" t="s">
        <v>93</v>
      </c>
      <c r="B9">
        <v>22.235879550780325</v>
      </c>
      <c r="C9">
        <v>21.104889421541117</v>
      </c>
      <c r="D9">
        <f t="shared" si="0"/>
        <v>22.0482994387954</v>
      </c>
      <c r="E9">
        <v>13</v>
      </c>
      <c r="F9">
        <f t="shared" si="1"/>
        <v>9.0482994387954001</v>
      </c>
    </row>
    <row r="10" spans="1:9" x14ac:dyDescent="0.3">
      <c r="A10" t="s">
        <v>94</v>
      </c>
      <c r="B10">
        <v>21.037431312916659</v>
      </c>
      <c r="C10">
        <v>21.080407379835087</v>
      </c>
      <c r="D10">
        <f t="shared" si="0"/>
        <v>21.439274567824889</v>
      </c>
      <c r="E10">
        <v>19</v>
      </c>
      <c r="F10">
        <f t="shared" si="1"/>
        <v>2.4392745678248886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95</v>
      </c>
      <c r="B2">
        <v>17.102130450943591</v>
      </c>
      <c r="C2">
        <v>13.594356634050367</v>
      </c>
      <c r="D2">
        <f>B2*$I$2+C2*$I$3</f>
        <v>15.004974534738491</v>
      </c>
      <c r="E2">
        <v>15</v>
      </c>
      <c r="F2">
        <f>ABS(D2-E2)</f>
        <v>4.9745347384906324E-3</v>
      </c>
      <c r="H2" t="s">
        <v>7</v>
      </c>
      <c r="I2">
        <v>0.46955545934865078</v>
      </c>
    </row>
    <row r="3" spans="1:9" x14ac:dyDescent="0.3">
      <c r="A3" t="s">
        <v>96</v>
      </c>
      <c r="B3">
        <v>16.473684171203807</v>
      </c>
      <c r="C3">
        <v>19.19624469196361</v>
      </c>
      <c r="D3">
        <f>B3*$I$2+C3*$I$3</f>
        <v>17.583929171920815</v>
      </c>
      <c r="E3">
        <v>12</v>
      </c>
      <c r="F3">
        <f>ABS(D3-E3)</f>
        <v>5.5839291719208148</v>
      </c>
      <c r="H3" t="s">
        <v>9</v>
      </c>
      <c r="I3">
        <v>0.51304934854626416</v>
      </c>
    </row>
    <row r="4" spans="1:9" x14ac:dyDescent="0.3">
      <c r="A4" t="s">
        <v>97</v>
      </c>
      <c r="B4">
        <v>11.078852885425645</v>
      </c>
      <c r="C4">
        <v>16.000333030202228</v>
      </c>
      <c r="D4">
        <f>B4*$I$2+C4*$I$3</f>
        <v>13.411096293340691</v>
      </c>
      <c r="E4">
        <v>19</v>
      </c>
      <c r="F4">
        <f>ABS(D4-E4)</f>
        <v>5.588903706659309</v>
      </c>
    </row>
    <row r="5" spans="1:9" x14ac:dyDescent="0.3">
      <c r="H5" t="s">
        <v>12</v>
      </c>
      <c r="I5" cm="1">
        <f t="array" ref="I5">(SUM(TableNFO[PP]-TableNFO[AP]))^2</f>
        <v>1.2621774483536189E-29</v>
      </c>
    </row>
    <row r="7" spans="1:9" x14ac:dyDescent="0.3">
      <c r="H7" t="s">
        <v>15</v>
      </c>
      <c r="I7">
        <f>AVERAGE(TableNFO[DIFF])/5</f>
        <v>0.74518716088790771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18.640035883620794</v>
      </c>
      <c r="C2">
        <v>18.707823013437711</v>
      </c>
      <c r="D2">
        <f>B2*$I$2+C2*$I$3</f>
        <v>18</v>
      </c>
      <c r="E2">
        <v>18</v>
      </c>
      <c r="F2">
        <f>ABS(D2-E2)</f>
        <v>0</v>
      </c>
      <c r="H2" t="s">
        <v>7</v>
      </c>
      <c r="I2">
        <v>0.48107899758946021</v>
      </c>
    </row>
    <row r="3" spans="1:9" x14ac:dyDescent="0.3">
      <c r="H3" t="s">
        <v>9</v>
      </c>
      <c r="I3">
        <v>0.48282850525087989</v>
      </c>
    </row>
    <row r="5" spans="1:9" x14ac:dyDescent="0.3">
      <c r="H5" t="s">
        <v>12</v>
      </c>
      <c r="I5">
        <f>(SUM(TableSOU[PP]-TableSOU[AP]))^2</f>
        <v>0</v>
      </c>
    </row>
    <row r="7" spans="1:9" x14ac:dyDescent="0.3">
      <c r="H7" t="s">
        <v>15</v>
      </c>
      <c r="I7">
        <f>AVERAGE(TableSOU[DIFF])/5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99</v>
      </c>
      <c r="B2">
        <v>23.241134751932385</v>
      </c>
      <c r="C2">
        <v>19.412614886070472</v>
      </c>
      <c r="D2">
        <f t="shared" ref="D2:D8" si="0">B2*$I$2+C2*$I$3</f>
        <v>16.290197278034572</v>
      </c>
      <c r="E2">
        <v>17</v>
      </c>
      <c r="F2">
        <f t="shared" ref="F2:F8" si="1">ABS(D2-E2)</f>
        <v>0.70980272196542771</v>
      </c>
      <c r="H2" t="s">
        <v>7</v>
      </c>
      <c r="I2">
        <v>0.41907449310887745</v>
      </c>
    </row>
    <row r="3" spans="1:9" x14ac:dyDescent="0.3">
      <c r="A3" t="s">
        <v>100</v>
      </c>
      <c r="B3">
        <v>69.38633517248519</v>
      </c>
      <c r="C3">
        <v>33.316383237555208</v>
      </c>
      <c r="D3">
        <f t="shared" si="0"/>
        <v>40.320045135701811</v>
      </c>
      <c r="E3">
        <v>30</v>
      </c>
      <c r="F3">
        <f t="shared" si="1"/>
        <v>10.320045135701811</v>
      </c>
      <c r="H3" t="s">
        <v>9</v>
      </c>
      <c r="I3">
        <v>0.3374316417977084</v>
      </c>
    </row>
    <row r="4" spans="1:9" x14ac:dyDescent="0.3">
      <c r="A4" t="s">
        <v>101</v>
      </c>
      <c r="B4">
        <v>19.214348721828888</v>
      </c>
      <c r="C4">
        <v>24.129631196519593</v>
      </c>
      <c r="D4">
        <f t="shared" si="0"/>
        <v>16.194344521632459</v>
      </c>
      <c r="E4">
        <v>26</v>
      </c>
      <c r="F4">
        <f t="shared" si="1"/>
        <v>9.8056554783675409</v>
      </c>
    </row>
    <row r="5" spans="1:9" x14ac:dyDescent="0.3">
      <c r="A5" t="s">
        <v>102</v>
      </c>
      <c r="B5">
        <v>14.764410559833399</v>
      </c>
      <c r="C5">
        <v>20.018398727553617</v>
      </c>
      <c r="D5">
        <f t="shared" si="0"/>
        <v>12.942229020213112</v>
      </c>
      <c r="E5">
        <v>21</v>
      </c>
      <c r="F5">
        <f t="shared" si="1"/>
        <v>8.0577709797868877</v>
      </c>
      <c r="H5" t="s">
        <v>12</v>
      </c>
      <c r="I5" cm="1">
        <f t="array" ref="I5">(SUM(TableTOT[PP]-TableTOT[AP]))^2</f>
        <v>1.2621774483536189E-29</v>
      </c>
    </row>
    <row r="6" spans="1:9" x14ac:dyDescent="0.3">
      <c r="A6" t="s">
        <v>103</v>
      </c>
      <c r="B6">
        <v>14.890727114852925</v>
      </c>
      <c r="C6">
        <v>18.395183103278793</v>
      </c>
      <c r="D6">
        <f t="shared" si="0"/>
        <v>12.447440753388435</v>
      </c>
      <c r="E6">
        <v>15</v>
      </c>
      <c r="F6">
        <f t="shared" si="1"/>
        <v>2.5525592466115654</v>
      </c>
    </row>
    <row r="7" spans="1:9" x14ac:dyDescent="0.3">
      <c r="A7" t="s">
        <v>104</v>
      </c>
      <c r="B7">
        <v>38.9375</v>
      </c>
      <c r="C7">
        <v>21.912626360480495</v>
      </c>
      <c r="D7">
        <f t="shared" si="0"/>
        <v>23.711726564343593</v>
      </c>
      <c r="E7">
        <v>12</v>
      </c>
      <c r="F7">
        <f t="shared" si="1"/>
        <v>11.711726564343593</v>
      </c>
      <c r="H7" t="s">
        <v>15</v>
      </c>
      <c r="I7">
        <f>AVERAGE(TableTOT[DIFF])/5</f>
        <v>1.2589583828597375</v>
      </c>
    </row>
    <row r="8" spans="1:9" x14ac:dyDescent="0.3">
      <c r="A8" t="s">
        <v>105</v>
      </c>
      <c r="B8">
        <v>15</v>
      </c>
      <c r="C8">
        <v>20.175640001580568</v>
      </c>
      <c r="D8">
        <f t="shared" si="0"/>
        <v>13.094016726686014</v>
      </c>
      <c r="E8">
        <v>14</v>
      </c>
      <c r="F8">
        <f t="shared" si="1"/>
        <v>0.90598327331398565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106</v>
      </c>
      <c r="B2">
        <v>18.051948011251703</v>
      </c>
      <c r="C2">
        <v>19.379945728820061</v>
      </c>
      <c r="D2">
        <f t="shared" ref="D2:D9" si="0">B2*$I$2+C2*$I$3</f>
        <v>19.579998332409616</v>
      </c>
      <c r="E2">
        <v>22</v>
      </c>
      <c r="F2">
        <f t="shared" ref="F2:F9" si="1">ABS(D2-E2)</f>
        <v>2.4200016675903839</v>
      </c>
      <c r="H2" t="s">
        <v>7</v>
      </c>
      <c r="I2">
        <v>0.52437088005831656</v>
      </c>
    </row>
    <row r="3" spans="1:9" x14ac:dyDescent="0.3">
      <c r="A3" t="s">
        <v>107</v>
      </c>
      <c r="B3">
        <v>14.999049395865828</v>
      </c>
      <c r="C3">
        <v>16.810111511663248</v>
      </c>
      <c r="D3">
        <f t="shared" si="0"/>
        <v>16.637991987953125</v>
      </c>
      <c r="E3">
        <v>22</v>
      </c>
      <c r="F3">
        <f t="shared" si="1"/>
        <v>5.3620080120468749</v>
      </c>
      <c r="H3" t="s">
        <v>9</v>
      </c>
      <c r="I3">
        <v>0.52188394170484464</v>
      </c>
    </row>
    <row r="4" spans="1:9" x14ac:dyDescent="0.3">
      <c r="A4" t="s">
        <v>108</v>
      </c>
      <c r="B4">
        <v>16.118213903803792</v>
      </c>
      <c r="C4">
        <v>15.166889859088062</v>
      </c>
      <c r="D4">
        <f t="shared" si="0"/>
        <v>16.367278272769902</v>
      </c>
      <c r="E4">
        <v>17</v>
      </c>
      <c r="F4">
        <f t="shared" si="1"/>
        <v>0.63272172723009845</v>
      </c>
    </row>
    <row r="5" spans="1:9" x14ac:dyDescent="0.3">
      <c r="A5" t="s">
        <v>109</v>
      </c>
      <c r="B5">
        <v>17.349973989994748</v>
      </c>
      <c r="C5">
        <v>18.333193015423657</v>
      </c>
      <c r="D5">
        <f t="shared" si="0"/>
        <v>18.665620165047471</v>
      </c>
      <c r="E5">
        <v>21</v>
      </c>
      <c r="F5">
        <f t="shared" si="1"/>
        <v>2.3343798349525287</v>
      </c>
      <c r="H5" t="s">
        <v>12</v>
      </c>
      <c r="I5" cm="1">
        <f t="array" ref="I5">(SUM(TableWHU[PP]-TableWHU[AP]))^2</f>
        <v>2.0194839173657902E-28</v>
      </c>
    </row>
    <row r="6" spans="1:9" x14ac:dyDescent="0.3">
      <c r="A6" t="s">
        <v>110</v>
      </c>
      <c r="B6">
        <v>22.438778505378288</v>
      </c>
      <c r="C6">
        <v>23.969297605964229</v>
      </c>
      <c r="D6">
        <f t="shared" si="0"/>
        <v>24.275433546795959</v>
      </c>
      <c r="E6">
        <v>26</v>
      </c>
      <c r="F6">
        <f t="shared" si="1"/>
        <v>1.7245664532040408</v>
      </c>
    </row>
    <row r="7" spans="1:9" x14ac:dyDescent="0.3">
      <c r="A7" t="s">
        <v>111</v>
      </c>
      <c r="B7">
        <v>10.457187750748353</v>
      </c>
      <c r="C7">
        <v>15.771986924655627</v>
      </c>
      <c r="D7">
        <f t="shared" si="0"/>
        <v>13.714591448551511</v>
      </c>
      <c r="E7">
        <v>17</v>
      </c>
      <c r="F7">
        <f t="shared" si="1"/>
        <v>3.285408551448489</v>
      </c>
      <c r="H7" t="s">
        <v>15</v>
      </c>
      <c r="I7">
        <f>AVERAGE(TableWHU[DIFF])/5</f>
        <v>0.78795431232362034</v>
      </c>
    </row>
    <row r="8" spans="1:9" x14ac:dyDescent="0.3">
      <c r="A8" t="s">
        <v>112</v>
      </c>
      <c r="B8">
        <v>33.817145596150965</v>
      </c>
      <c r="C8">
        <v>15.064000753913533</v>
      </c>
      <c r="D8">
        <f t="shared" si="0"/>
        <v>25.59438648861105</v>
      </c>
      <c r="E8">
        <v>15</v>
      </c>
      <c r="F8">
        <f t="shared" si="1"/>
        <v>10.59438648861105</v>
      </c>
    </row>
    <row r="9" spans="1:9" x14ac:dyDescent="0.3">
      <c r="A9" t="s">
        <v>113</v>
      </c>
      <c r="B9">
        <v>10.476190476190476</v>
      </c>
      <c r="C9">
        <v>18.531496689876057</v>
      </c>
      <c r="D9">
        <f t="shared" si="0"/>
        <v>15.164699757861351</v>
      </c>
      <c r="E9">
        <v>10</v>
      </c>
      <c r="F9">
        <f t="shared" si="1"/>
        <v>5.1646997578613512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114</v>
      </c>
      <c r="B2">
        <v>20.534116527685448</v>
      </c>
      <c r="C2">
        <v>22.427160961000165</v>
      </c>
      <c r="D2">
        <f>B2*$I$2+C2*$I$3</f>
        <v>20.654730864035066</v>
      </c>
      <c r="E2">
        <v>20</v>
      </c>
      <c r="F2">
        <f>ABS(D2-E2)</f>
        <v>0.65473086403506642</v>
      </c>
      <c r="H2" t="s">
        <v>7</v>
      </c>
      <c r="I2">
        <v>0</v>
      </c>
    </row>
    <row r="3" spans="1:9" x14ac:dyDescent="0.3">
      <c r="A3" t="s">
        <v>115</v>
      </c>
      <c r="B3">
        <v>14.437499996129571</v>
      </c>
      <c r="C3">
        <v>15.180787388740272</v>
      </c>
      <c r="D3">
        <f>B3*$I$2+C3*$I$3</f>
        <v>13.981041932317083</v>
      </c>
      <c r="E3">
        <v>15</v>
      </c>
      <c r="F3">
        <f>ABS(D3-E3)</f>
        <v>1.0189580676829166</v>
      </c>
      <c r="H3" t="s">
        <v>9</v>
      </c>
      <c r="I3">
        <v>0.92096948427635239</v>
      </c>
    </row>
    <row r="4" spans="1:9" x14ac:dyDescent="0.3">
      <c r="A4" t="s">
        <v>116</v>
      </c>
      <c r="B4">
        <v>-66.593213937025737</v>
      </c>
      <c r="C4">
        <v>17.768479285180621</v>
      </c>
      <c r="D4">
        <f>B4*$I$2+C4*$I$3</f>
        <v>16.364227203647847</v>
      </c>
      <c r="E4">
        <v>16</v>
      </c>
      <c r="F4">
        <f>ABS(D4-E4)</f>
        <v>0.36422720364784666</v>
      </c>
    </row>
    <row r="5" spans="1:9" x14ac:dyDescent="0.3">
      <c r="H5" t="s">
        <v>12</v>
      </c>
      <c r="I5" cm="1">
        <f t="array" ref="I5">(SUM(TableWOL[PP]-TableWOL[AP]))^2</f>
        <v>1.2621774483536189E-29</v>
      </c>
    </row>
    <row r="7" spans="1:9" x14ac:dyDescent="0.3">
      <c r="H7" t="s">
        <v>15</v>
      </c>
      <c r="I7">
        <f>AVERAGE(TableWOL[DIFF])/5</f>
        <v>0.13586107569105532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2023-04-24T17:28:19Z</dcterms:created>
  <dcterms:modified xsi:type="dcterms:W3CDTF">2023-04-24T17:39:55Z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ee522661-77b2-4114-b49f-55ca678d7c5d</vt:lpwstr>
  </property>
</Properties>
</file>