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8E0536DE-82ED-463D-8B71-08D0B50F15E2}" xr6:coauthVersionLast="47" xr6:coauthVersionMax="47" xr10:uidLastSave="{00000000-0000-0000-0000-000000000000}"/>
  <bookViews>
    <workbookView xWindow="-108" yWindow="-108" windowWidth="23256" windowHeight="12576" firstSheet="6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BOU!$I$2:$I$4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0" l="1"/>
  <c r="F5" i="20" s="1"/>
  <c r="D4" i="20"/>
  <c r="F4" i="20" s="1"/>
  <c r="D3" i="20"/>
  <c r="F3" i="20" s="1"/>
  <c r="D2" i="20"/>
  <c r="D10" i="19"/>
  <c r="F10" i="19" s="1"/>
  <c r="D9" i="19"/>
  <c r="F9" i="19" s="1"/>
  <c r="D8" i="19"/>
  <c r="F8" i="19" s="1"/>
  <c r="D7" i="19"/>
  <c r="F7" i="19" s="1"/>
  <c r="D6" i="19"/>
  <c r="F6" i="19" s="1"/>
  <c r="D5" i="19"/>
  <c r="D4" i="19"/>
  <c r="F4" i="19" s="1"/>
  <c r="D3" i="19"/>
  <c r="F3" i="19" s="1"/>
  <c r="D2" i="19"/>
  <c r="F2" i="19" s="1"/>
  <c r="D9" i="18"/>
  <c r="F9" i="18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F2" i="18" s="1"/>
  <c r="D4" i="17"/>
  <c r="F4" i="17" s="1"/>
  <c r="D3" i="17"/>
  <c r="F3" i="17" s="1"/>
  <c r="D2" i="17"/>
  <c r="F2" i="17" s="1"/>
  <c r="D4" i="16"/>
  <c r="F4" i="16" s="1"/>
  <c r="D3" i="16"/>
  <c r="F3" i="16" s="1"/>
  <c r="D2" i="16"/>
  <c r="F2" i="16" s="1"/>
  <c r="D11" i="15"/>
  <c r="F11" i="15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F2" i="15" s="1"/>
  <c r="D5" i="14"/>
  <c r="F5" i="14" s="1"/>
  <c r="D4" i="14"/>
  <c r="F4" i="14" s="1"/>
  <c r="D3" i="14"/>
  <c r="F3" i="14" s="1"/>
  <c r="D2" i="14"/>
  <c r="F2" i="14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D4" i="13"/>
  <c r="F4" i="13" s="1"/>
  <c r="D3" i="13"/>
  <c r="F3" i="13" s="1"/>
  <c r="D2" i="13"/>
  <c r="D9" i="12"/>
  <c r="F9" i="12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5" i="11"/>
  <c r="F5" i="11" s="1"/>
  <c r="D4" i="11"/>
  <c r="F4" i="11" s="1"/>
  <c r="D3" i="11"/>
  <c r="F3" i="11" s="1"/>
  <c r="D2" i="11"/>
  <c r="F2" i="11" s="1"/>
  <c r="D5" i="10"/>
  <c r="D4" i="10"/>
  <c r="F4" i="10" s="1"/>
  <c r="D3" i="10"/>
  <c r="F3" i="10" s="1"/>
  <c r="D2" i="10"/>
  <c r="F2" i="10" s="1"/>
  <c r="D5" i="9"/>
  <c r="F5" i="9" s="1"/>
  <c r="D4" i="9"/>
  <c r="F4" i="9" s="1"/>
  <c r="D3" i="9"/>
  <c r="F3" i="9" s="1"/>
  <c r="D2" i="9"/>
  <c r="F2" i="9" s="1"/>
  <c r="D6" i="8"/>
  <c r="F6" i="8" s="1"/>
  <c r="D5" i="8"/>
  <c r="F5" i="8" s="1"/>
  <c r="D4" i="8"/>
  <c r="F4" i="8" s="1"/>
  <c r="D3" i="8"/>
  <c r="F3" i="8" s="1"/>
  <c r="D2" i="8"/>
  <c r="D10" i="7"/>
  <c r="F10" i="7" s="1"/>
  <c r="D9" i="7"/>
  <c r="F9" i="7" s="1"/>
  <c r="D8" i="7"/>
  <c r="F8" i="7" s="1"/>
  <c r="D7" i="7"/>
  <c r="F7" i="7" s="1"/>
  <c r="D6" i="7"/>
  <c r="F6" i="7" s="1"/>
  <c r="D5" i="7"/>
  <c r="D4" i="7"/>
  <c r="F4" i="7" s="1"/>
  <c r="D3" i="7"/>
  <c r="F3" i="7" s="1"/>
  <c r="D2" i="7"/>
  <c r="F2" i="7" s="1"/>
  <c r="D3" i="6"/>
  <c r="F3" i="6" s="1"/>
  <c r="D2" i="6"/>
  <c r="F2" i="6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10" i="4"/>
  <c r="F10" i="4" s="1"/>
  <c r="D9" i="4"/>
  <c r="F9" i="4" s="1"/>
  <c r="D8" i="4"/>
  <c r="F8" i="4" s="1"/>
  <c r="D7" i="4"/>
  <c r="F7" i="4" s="1"/>
  <c r="D6" i="4"/>
  <c r="F6" i="4" s="1"/>
  <c r="D5" i="4"/>
  <c r="D4" i="4"/>
  <c r="F4" i="4" s="1"/>
  <c r="D3" i="4"/>
  <c r="F3" i="4" s="1"/>
  <c r="D2" i="4"/>
  <c r="F2" i="4" s="1"/>
  <c r="D4" i="3"/>
  <c r="F4" i="3" s="1"/>
  <c r="D3" i="3"/>
  <c r="F3" i="3" s="1"/>
  <c r="D2" i="3"/>
  <c r="F2" i="3" s="1"/>
  <c r="D9" i="2"/>
  <c r="F9" i="2" s="1"/>
  <c r="D8" i="2"/>
  <c r="F8" i="2" s="1"/>
  <c r="D7" i="2"/>
  <c r="F7" i="2" s="1"/>
  <c r="D6" i="2"/>
  <c r="F6" i="2" s="1"/>
  <c r="D5" i="2"/>
  <c r="D4" i="2"/>
  <c r="F4" i="2" s="1"/>
  <c r="D3" i="2"/>
  <c r="F3" i="2" s="1"/>
  <c r="D2" i="2"/>
  <c r="F2" i="2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5" i="20" l="1" a="1"/>
  <c r="I5" i="20" s="1"/>
  <c r="F2" i="20"/>
  <c r="I7" i="20" s="1"/>
  <c r="I5" i="19" a="1"/>
  <c r="I5" i="19" s="1"/>
  <c r="I7" i="18"/>
  <c r="I5" i="18" a="1"/>
  <c r="I5" i="18" s="1"/>
  <c r="I5" i="17" a="1"/>
  <c r="I5" i="17" s="1"/>
  <c r="I7" i="16"/>
  <c r="I5" i="16" a="1"/>
  <c r="I5" i="16" s="1"/>
  <c r="I5" i="15" a="1"/>
  <c r="I5" i="15" s="1"/>
  <c r="I5" i="14" a="1"/>
  <c r="I5" i="14" s="1"/>
  <c r="I5" i="13" a="1"/>
  <c r="I5" i="13" s="1"/>
  <c r="F2" i="13"/>
  <c r="I7" i="12"/>
  <c r="I5" i="12" a="1"/>
  <c r="I5" i="12" s="1"/>
  <c r="I7" i="11"/>
  <c r="I5" i="11" a="1"/>
  <c r="I5" i="11" s="1"/>
  <c r="I5" i="10" a="1"/>
  <c r="I5" i="10" s="1"/>
  <c r="I5" i="9" a="1"/>
  <c r="I5" i="9" s="1"/>
  <c r="I5" i="8" a="1"/>
  <c r="I5" i="8" s="1"/>
  <c r="F2" i="8"/>
  <c r="I7" i="8" s="1"/>
  <c r="I5" i="7" a="1"/>
  <c r="I5" i="7" s="1"/>
  <c r="I5" i="6" a="1"/>
  <c r="I5" i="6" s="1"/>
  <c r="I7" i="6"/>
  <c r="I5" i="5" a="1"/>
  <c r="I5" i="5" s="1"/>
  <c r="I7" i="5"/>
  <c r="I5" i="4" a="1"/>
  <c r="I5" i="4" s="1"/>
  <c r="I5" i="3" a="1"/>
  <c r="I5" i="3" s="1"/>
  <c r="I5" i="2" a="1"/>
  <c r="I5" i="2" s="1"/>
  <c r="I5" i="1" a="1"/>
  <c r="I5" i="1" s="1"/>
  <c r="I7" i="17"/>
  <c r="I7" i="14"/>
  <c r="I7" i="15"/>
  <c r="I7" i="1"/>
  <c r="I7" i="3"/>
  <c r="I7" i="9"/>
  <c r="F5" i="2"/>
  <c r="I7" i="2" s="1"/>
  <c r="F5" i="4"/>
  <c r="I7" i="4" s="1"/>
  <c r="F5" i="19"/>
  <c r="I7" i="19" s="1"/>
  <c r="F5" i="10"/>
  <c r="I7" i="10" s="1"/>
  <c r="F5" i="7"/>
  <c r="I7" i="7" s="1"/>
  <c r="F5" i="13"/>
  <c r="I7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<sst xmlns="http://schemas.openxmlformats.org/spreadsheetml/2006/main" count="324" uniqueCount="133">
  <si>
    <t>Name</t>
  </si>
  <si>
    <t>ARIMAPP</t>
  </si>
  <si>
    <t>LSTMPP</t>
  </si>
  <si>
    <t>PP</t>
  </si>
  <si>
    <t>AP</t>
  </si>
  <si>
    <t>DIFF</t>
  </si>
  <si>
    <t>Xhaka</t>
  </si>
  <si>
    <t>ARIMA</t>
  </si>
  <si>
    <t>Partey</t>
  </si>
  <si>
    <t>LSTM</t>
  </si>
  <si>
    <t>Ødegaard</t>
  </si>
  <si>
    <t>White</t>
  </si>
  <si>
    <t>OFF</t>
  </si>
  <si>
    <t>Nketiah</t>
  </si>
  <si>
    <t>Saka</t>
  </si>
  <si>
    <t>AVG</t>
  </si>
  <si>
    <t>Ramsdale</t>
  </si>
  <si>
    <t>Gabriel</t>
  </si>
  <si>
    <t>Martinelli</t>
  </si>
  <si>
    <t>Saliba</t>
  </si>
  <si>
    <t>Trossard</t>
  </si>
  <si>
    <t>Zinchenko</t>
  </si>
  <si>
    <t>Martínez</t>
  </si>
  <si>
    <t>McGinn</t>
  </si>
  <si>
    <t>Watkins</t>
  </si>
  <si>
    <t>Buendía</t>
  </si>
  <si>
    <t>Konsa</t>
  </si>
  <si>
    <t>Bailey</t>
  </si>
  <si>
    <t>Douglas Luiz</t>
  </si>
  <si>
    <t>Ramsey</t>
  </si>
  <si>
    <t>Lerma</t>
  </si>
  <si>
    <t>Solanke</t>
  </si>
  <si>
    <t>Billing</t>
  </si>
  <si>
    <t>Toney</t>
  </si>
  <si>
    <t>Raya</t>
  </si>
  <si>
    <t>Dasilva</t>
  </si>
  <si>
    <t>Henry</t>
  </si>
  <si>
    <t>Janelt</t>
  </si>
  <si>
    <t>Jensen</t>
  </si>
  <si>
    <t>Wissa</t>
  </si>
  <si>
    <t>Mbeumo</t>
  </si>
  <si>
    <t>Mee</t>
  </si>
  <si>
    <t>Groß</t>
  </si>
  <si>
    <t>Dunk</t>
  </si>
  <si>
    <t>March</t>
  </si>
  <si>
    <t>Veltman</t>
  </si>
  <si>
    <t>Mac Allister</t>
  </si>
  <si>
    <t>Caicedo</t>
  </si>
  <si>
    <t>Mount</t>
  </si>
  <si>
    <t>Havertz</t>
  </si>
  <si>
    <t>Guaita</t>
  </si>
  <si>
    <t>J.Ayew</t>
  </si>
  <si>
    <t>Schlupp</t>
  </si>
  <si>
    <t>Andersen</t>
  </si>
  <si>
    <t>Edouard</t>
  </si>
  <si>
    <t>Guéhi</t>
  </si>
  <si>
    <t>Eze</t>
  </si>
  <si>
    <t>Mitchell</t>
  </si>
  <si>
    <t>C.Doucouré</t>
  </si>
  <si>
    <t>Pickford</t>
  </si>
  <si>
    <t>Iwobi</t>
  </si>
  <si>
    <t>Gray</t>
  </si>
  <si>
    <t>Tarkowski</t>
  </si>
  <si>
    <t>McNeil</t>
  </si>
  <si>
    <t>Ream</t>
  </si>
  <si>
    <t>Reed</t>
  </si>
  <si>
    <t>Robinson</t>
  </si>
  <si>
    <t>Andreas</t>
  </si>
  <si>
    <t>Rodrigo</t>
  </si>
  <si>
    <t>Harrison</t>
  </si>
  <si>
    <t>Roca</t>
  </si>
  <si>
    <t>Aaronson</t>
  </si>
  <si>
    <t>Ward</t>
  </si>
  <si>
    <t>Vardy</t>
  </si>
  <si>
    <t>Castagne</t>
  </si>
  <si>
    <t>Maddison</t>
  </si>
  <si>
    <t>Henderson</t>
  </si>
  <si>
    <t>Van Dijk</t>
  </si>
  <si>
    <t>Alisson</t>
  </si>
  <si>
    <t>Salah</t>
  </si>
  <si>
    <t>Robertson</t>
  </si>
  <si>
    <t>Alexander-Arnold</t>
  </si>
  <si>
    <t>Elliott</t>
  </si>
  <si>
    <t>Darwin</t>
  </si>
  <si>
    <t>Gündogan</t>
  </si>
  <si>
    <t>De Bruyne</t>
  </si>
  <si>
    <t>Grealish</t>
  </si>
  <si>
    <t>Ederson</t>
  </si>
  <si>
    <t>Bernardo</t>
  </si>
  <si>
    <t>Foden</t>
  </si>
  <si>
    <t>Rodri</t>
  </si>
  <si>
    <t>Haaland</t>
  </si>
  <si>
    <t>Álvarez</t>
  </si>
  <si>
    <t>De Gea</t>
  </si>
  <si>
    <t>Fernandes</t>
  </si>
  <si>
    <t>Rashford</t>
  </si>
  <si>
    <t>Wilson</t>
  </si>
  <si>
    <t>Trippier</t>
  </si>
  <si>
    <t>Murphy</t>
  </si>
  <si>
    <t>Schär</t>
  </si>
  <si>
    <t>Almirón</t>
  </si>
  <si>
    <t>S.Longstaff</t>
  </si>
  <si>
    <t>Joelinton</t>
  </si>
  <si>
    <t>Willock</t>
  </si>
  <si>
    <t>Bruno Guimarães</t>
  </si>
  <si>
    <t>Pope</t>
  </si>
  <si>
    <t>Wood</t>
  </si>
  <si>
    <t>Johnson</t>
  </si>
  <si>
    <t>Gibbs-White</t>
  </si>
  <si>
    <t>Ward-Prowse</t>
  </si>
  <si>
    <t>Perraud</t>
  </si>
  <si>
    <t>Bazunu</t>
  </si>
  <si>
    <t>Lloris</t>
  </si>
  <si>
    <t>Kane</t>
  </si>
  <si>
    <t>Son</t>
  </si>
  <si>
    <t>Dier</t>
  </si>
  <si>
    <t>Davies</t>
  </si>
  <si>
    <t>Højbjerg</t>
  </si>
  <si>
    <t>Kulusevski</t>
  </si>
  <si>
    <t>Perišić</t>
  </si>
  <si>
    <t>Ings</t>
  </si>
  <si>
    <t>Fabianski</t>
  </si>
  <si>
    <t>Cresswell</t>
  </si>
  <si>
    <t>Antonio</t>
  </si>
  <si>
    <t>Coufal</t>
  </si>
  <si>
    <t>Benrahma</t>
  </si>
  <si>
    <t>Bowen</t>
  </si>
  <si>
    <t>Rice</t>
  </si>
  <si>
    <t>Soucek</t>
  </si>
  <si>
    <t>Sá</t>
  </si>
  <si>
    <t>Neves</t>
  </si>
  <si>
    <t>Podence</t>
  </si>
  <si>
    <t>Kilman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</si>
</sst>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3">
  <autoFilter ref="A1:F13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9">
  <autoFilter ref="A1:F9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4">
  <autoFilter ref="A1:F4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0">
  <autoFilter ref="A1:F10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7">
  <autoFilter ref="A1:F7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3">
  <autoFilter ref="A1:F3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0">
  <autoFilter ref="A1:F10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6">
  <autoFilter ref="A1:F6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5">
  <autoFilter ref="A1:F5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5">
  <autoFilter ref="A1:F5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5">
  <autoFilter ref="A1:F5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9">
  <autoFilter ref="A1:F9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0">
  <autoFilter ref="A1:F10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5">
  <autoFilter ref="A1:F5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1">
  <autoFilter ref="A1:F11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4">
  <autoFilter ref="A1:F4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4">
  <autoFilter ref="A1:F4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9">
  <autoFilter ref="A1:F9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10">
  <autoFilter ref="A1:F10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5">
  <autoFilter ref="A1:F5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48.218045058034598</v>
      </c>
      <c r="C2">
        <v>32.897143675045015</v>
      </c>
      <c r="D2">
        <f t="shared" ref="D2:D13" si="0">B2*$I$2+C2*$I$3</f>
        <v>37.235055997465466</v>
      </c>
      <c r="E2">
        <v>44</v>
      </c>
      <c r="F2">
        <f t="shared" ref="F2:F13" si="1">ABS(D2-E2)</f>
        <v>6.7649440025345342</v>
      </c>
      <c r="H2" t="s">
        <v>7</v>
      </c>
      <c r="I2">
        <v>0.45761188457605378</v>
      </c>
    </row>
    <row r="3" spans="1:9" x14ac:dyDescent="0.3">
      <c r="A3" t="s">
        <v>8</v>
      </c>
      <c r="B3">
        <v>35.603174603174608</v>
      </c>
      <c r="C3">
        <v>28.894090908400564</v>
      </c>
      <c r="D3">
        <f t="shared" si="0"/>
        <v>29.616408075954702</v>
      </c>
      <c r="E3">
        <v>22</v>
      </c>
      <c r="F3">
        <f t="shared" si="1"/>
        <v>7.6164080759547019</v>
      </c>
      <c r="H3" t="s">
        <v>9</v>
      </c>
      <c r="I3">
        <v>0.46113138811478949</v>
      </c>
    </row>
    <row r="4" spans="1:9" x14ac:dyDescent="0.3">
      <c r="A4" t="s">
        <v>10</v>
      </c>
      <c r="B4">
        <v>41.674849476449275</v>
      </c>
      <c r="C4">
        <v>57.686811101403762</v>
      </c>
      <c r="D4">
        <f t="shared" si="0"/>
        <v>45.672105687447285</v>
      </c>
      <c r="E4">
        <v>61</v>
      </c>
      <c r="F4">
        <f t="shared" si="1"/>
        <v>15.327894312552715</v>
      </c>
    </row>
    <row r="5" spans="1:9" x14ac:dyDescent="0.3">
      <c r="A5" t="s">
        <v>11</v>
      </c>
      <c r="B5">
        <v>62</v>
      </c>
      <c r="C5">
        <v>47.566873746999327</v>
      </c>
      <c r="D5">
        <f t="shared" si="0"/>
        <v>50.306515362950073</v>
      </c>
      <c r="E5">
        <v>44</v>
      </c>
      <c r="F5">
        <f t="shared" si="1"/>
        <v>6.3065153629500728</v>
      </c>
      <c r="H5" t="s">
        <v>12</v>
      </c>
      <c r="I5" cm="1">
        <f t="array" ref="I5">(SUM(TableARS[PP]-TableARS[AP]))^2</f>
        <v>6.1089388500315154E-27</v>
      </c>
    </row>
    <row r="6" spans="1:9" x14ac:dyDescent="0.3">
      <c r="A6" t="s">
        <v>13</v>
      </c>
      <c r="B6">
        <v>21.392861178042587</v>
      </c>
      <c r="C6">
        <v>34.765170592130382</v>
      </c>
      <c r="D6">
        <f t="shared" si="0"/>
        <v>25.820938893354509</v>
      </c>
      <c r="E6">
        <v>31</v>
      </c>
      <c r="F6">
        <f t="shared" si="1"/>
        <v>5.1790611066454915</v>
      </c>
    </row>
    <row r="7" spans="1:9" x14ac:dyDescent="0.3">
      <c r="A7" t="s">
        <v>14</v>
      </c>
      <c r="B7">
        <v>40.646794973884063</v>
      </c>
      <c r="C7">
        <v>57.444312299978158</v>
      </c>
      <c r="D7">
        <f t="shared" si="0"/>
        <v>45.089831920163959</v>
      </c>
      <c r="E7">
        <v>54</v>
      </c>
      <c r="F7">
        <f t="shared" si="1"/>
        <v>8.9101680798360405</v>
      </c>
      <c r="H7" t="s">
        <v>15</v>
      </c>
      <c r="I7">
        <f>AVERAGE(TableARS[DIFF])/10</f>
        <v>0.99080318545046908</v>
      </c>
    </row>
    <row r="8" spans="1:9" x14ac:dyDescent="0.3">
      <c r="A8" t="s">
        <v>16</v>
      </c>
      <c r="B8">
        <v>56.080000000000013</v>
      </c>
      <c r="C8">
        <v>40.772105500698729</v>
      </c>
      <c r="D8">
        <f t="shared" si="0"/>
        <v>44.464172092924954</v>
      </c>
      <c r="E8">
        <v>28</v>
      </c>
      <c r="F8">
        <f t="shared" si="1"/>
        <v>16.464172092924954</v>
      </c>
    </row>
    <row r="9" spans="1:9" x14ac:dyDescent="0.3">
      <c r="A9" t="s">
        <v>17</v>
      </c>
      <c r="B9">
        <v>40.630249388636358</v>
      </c>
      <c r="C9">
        <v>47.096947920446169</v>
      </c>
      <c r="D9">
        <f t="shared" si="0"/>
        <v>40.310765964054227</v>
      </c>
      <c r="E9">
        <v>30</v>
      </c>
      <c r="F9">
        <f t="shared" si="1"/>
        <v>10.310765964054227</v>
      </c>
    </row>
    <row r="10" spans="1:9" x14ac:dyDescent="0.3">
      <c r="A10" t="s">
        <v>18</v>
      </c>
      <c r="B10">
        <v>44.965956885226475</v>
      </c>
      <c r="C10">
        <v>54.099423776884592</v>
      </c>
      <c r="D10">
        <f t="shared" si="0"/>
        <v>45.52389865445911</v>
      </c>
      <c r="E10">
        <v>67</v>
      </c>
      <c r="F10">
        <f t="shared" si="1"/>
        <v>21.47610134554089</v>
      </c>
    </row>
    <row r="11" spans="1:9" x14ac:dyDescent="0.3">
      <c r="A11" t="s">
        <v>19</v>
      </c>
      <c r="B11">
        <v>50.330873302812641</v>
      </c>
      <c r="C11">
        <v>49.351207703475239</v>
      </c>
      <c r="D11">
        <f t="shared" si="0"/>
        <v>45.789396697903513</v>
      </c>
      <c r="E11">
        <v>33</v>
      </c>
      <c r="F11">
        <f t="shared" si="1"/>
        <v>12.789396697903513</v>
      </c>
    </row>
    <row r="12" spans="1:9" x14ac:dyDescent="0.3">
      <c r="A12" t="s">
        <v>20</v>
      </c>
      <c r="B12">
        <v>38.998223913693948</v>
      </c>
      <c r="C12">
        <v>44.160791272677088</v>
      </c>
      <c r="D12">
        <f t="shared" si="0"/>
        <v>38.209977720081483</v>
      </c>
      <c r="E12">
        <v>40</v>
      </c>
      <c r="F12">
        <f t="shared" si="1"/>
        <v>1.7900222799185173</v>
      </c>
    </row>
    <row r="13" spans="1:9" x14ac:dyDescent="0.3">
      <c r="A13" t="s">
        <v>21</v>
      </c>
      <c r="B13">
        <v>46.4082935503206</v>
      </c>
      <c r="C13">
        <v>36.267204299605424</v>
      </c>
      <c r="D13">
        <f t="shared" si="0"/>
        <v>37.960932933240642</v>
      </c>
      <c r="E13">
        <v>32</v>
      </c>
      <c r="F13">
        <f t="shared" si="1"/>
        <v>5.9609329332406418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22</v>
      </c>
      <c r="B2">
        <v>52.523809479310685</v>
      </c>
      <c r="C2">
        <v>40.466317852318717</v>
      </c>
      <c r="D2">
        <f t="shared" ref="D2:D9" si="0">B2*$I$2+C2*$I$3</f>
        <v>51.800907932369533</v>
      </c>
      <c r="E2">
        <v>53</v>
      </c>
      <c r="F2">
        <f t="shared" ref="F2:F9" si="1">ABS(D2-E2)</f>
        <v>1.1990920676304668</v>
      </c>
      <c r="H2" t="s">
        <v>7</v>
      </c>
      <c r="I2">
        <v>0.60460157088195066</v>
      </c>
    </row>
    <row r="3" spans="1:9" x14ac:dyDescent="0.3">
      <c r="A3" t="s">
        <v>23</v>
      </c>
      <c r="B3">
        <v>29.297005581012833</v>
      </c>
      <c r="C3">
        <v>29.981856645974972</v>
      </c>
      <c r="D3">
        <f t="shared" si="0"/>
        <v>32.564483582762527</v>
      </c>
      <c r="E3">
        <v>37</v>
      </c>
      <c r="F3">
        <f t="shared" si="1"/>
        <v>4.4355164172374728</v>
      </c>
      <c r="H3" t="s">
        <v>9</v>
      </c>
      <c r="I3">
        <v>0.49534850899030913</v>
      </c>
    </row>
    <row r="4" spans="1:9" x14ac:dyDescent="0.3">
      <c r="A4" t="s">
        <v>24</v>
      </c>
      <c r="B4">
        <v>69.620973659858365</v>
      </c>
      <c r="C4">
        <v>45.602791533463844</v>
      </c>
      <c r="D4">
        <f t="shared" si="0"/>
        <v>64.682224832978477</v>
      </c>
      <c r="E4">
        <v>59</v>
      </c>
      <c r="F4">
        <f t="shared" si="1"/>
        <v>5.682224832978477</v>
      </c>
    </row>
    <row r="5" spans="1:9" x14ac:dyDescent="0.3">
      <c r="A5" t="s">
        <v>25</v>
      </c>
      <c r="B5">
        <v>58.703703729660575</v>
      </c>
      <c r="C5">
        <v>33.525192835076972</v>
      </c>
      <c r="D5">
        <f t="shared" si="0"/>
        <v>52.099005776009378</v>
      </c>
      <c r="E5">
        <v>41</v>
      </c>
      <c r="F5">
        <f t="shared" si="1"/>
        <v>11.099005776009378</v>
      </c>
      <c r="H5" t="s">
        <v>12</v>
      </c>
      <c r="I5" cm="1">
        <f t="array" ref="I5">(SUM(TableAVL[PP]-TableAVL[AP]))^2</f>
        <v>1.2621774483536189E-27</v>
      </c>
    </row>
    <row r="6" spans="1:9" x14ac:dyDescent="0.3">
      <c r="A6" t="s">
        <v>26</v>
      </c>
      <c r="B6">
        <v>49.12697115831925</v>
      </c>
      <c r="C6">
        <v>26.858941934595631</v>
      </c>
      <c r="D6">
        <f t="shared" si="0"/>
        <v>43.006780775351338</v>
      </c>
      <c r="E6">
        <v>47</v>
      </c>
      <c r="F6">
        <f t="shared" si="1"/>
        <v>3.9932192246486622</v>
      </c>
    </row>
    <row r="7" spans="1:9" x14ac:dyDescent="0.3">
      <c r="A7" t="s">
        <v>27</v>
      </c>
      <c r="B7">
        <v>29.028819862400379</v>
      </c>
      <c r="C7">
        <v>36.698552109077134</v>
      </c>
      <c r="D7">
        <f t="shared" si="0"/>
        <v>35.729443158990961</v>
      </c>
      <c r="E7">
        <v>22</v>
      </c>
      <c r="F7">
        <f t="shared" si="1"/>
        <v>13.729443158990961</v>
      </c>
      <c r="H7" t="s">
        <v>15</v>
      </c>
      <c r="I7">
        <f>AVERAGE(TableAVL[DIFF])/10</f>
        <v>0.76276684419947083</v>
      </c>
    </row>
    <row r="8" spans="1:9" x14ac:dyDescent="0.3">
      <c r="A8" t="s">
        <v>28</v>
      </c>
      <c r="B8">
        <v>25.212713947566392</v>
      </c>
      <c r="C8">
        <v>33.022449159762964</v>
      </c>
      <c r="D8">
        <f t="shared" si="0"/>
        <v>31.601267413392776</v>
      </c>
      <c r="E8">
        <v>39</v>
      </c>
      <c r="F8">
        <f t="shared" si="1"/>
        <v>7.398732586607224</v>
      </c>
    </row>
    <row r="9" spans="1:9" x14ac:dyDescent="0.3">
      <c r="A9" t="s">
        <v>29</v>
      </c>
      <c r="B9">
        <v>25.942321890648877</v>
      </c>
      <c r="C9">
        <v>31.959555087796101</v>
      </c>
      <c r="D9">
        <f t="shared" si="0"/>
        <v>31.515886528144975</v>
      </c>
      <c r="E9">
        <v>45</v>
      </c>
      <c r="F9">
        <f t="shared" si="1"/>
        <v>13.484113471855025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30</v>
      </c>
      <c r="B2">
        <v>24.624691970890456</v>
      </c>
      <c r="C2">
        <v>33.565425564403441</v>
      </c>
      <c r="D2">
        <f>B2*$I$2+C2*$I$3</f>
        <v>45.693177065255142</v>
      </c>
      <c r="E2">
        <v>38</v>
      </c>
      <c r="F2">
        <f>ABS(D2-E2)</f>
        <v>7.6931770652551421</v>
      </c>
      <c r="H2" t="s">
        <v>7</v>
      </c>
      <c r="I2">
        <v>0.68626898301539396</v>
      </c>
    </row>
    <row r="3" spans="1:9" x14ac:dyDescent="0.3">
      <c r="A3" t="s">
        <v>31</v>
      </c>
      <c r="B3">
        <v>24.918546888220668</v>
      </c>
      <c r="C3">
        <v>31.518194724076537</v>
      </c>
      <c r="D3">
        <f>B3*$I$2+C3*$I$3</f>
        <v>44.138628823324865</v>
      </c>
      <c r="E3">
        <v>45</v>
      </c>
      <c r="F3">
        <f>ABS(D3-E3)</f>
        <v>0.86137117667513508</v>
      </c>
      <c r="H3" t="s">
        <v>9</v>
      </c>
      <c r="I3">
        <v>0.85784745061779366</v>
      </c>
    </row>
    <row r="4" spans="1:9" x14ac:dyDescent="0.3">
      <c r="A4" t="s">
        <v>32</v>
      </c>
      <c r="B4">
        <v>24.379520083476152</v>
      </c>
      <c r="C4">
        <v>27.321041334855835</v>
      </c>
      <c r="D4">
        <f>B4*$I$2+C4*$I$3</f>
        <v>40.168194111419993</v>
      </c>
      <c r="E4">
        <v>47</v>
      </c>
      <c r="F4">
        <f>ABS(D4-E4)</f>
        <v>6.831805888580007</v>
      </c>
    </row>
    <row r="5" spans="1:9" x14ac:dyDescent="0.3">
      <c r="H5" t="s">
        <v>12</v>
      </c>
      <c r="I5" cm="1">
        <f t="array" ref="I5">(SUM(TableBOU[PP]-TableBOU[AP]))^2</f>
        <v>0</v>
      </c>
    </row>
    <row r="7" spans="1:9" x14ac:dyDescent="0.3">
      <c r="H7" t="s">
        <v>15</v>
      </c>
      <c r="I7">
        <f>AVERAGE(TableBOU[DIFF])/10</f>
        <v>0.51287847101700945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33</v>
      </c>
      <c r="B2">
        <v>46.21199218302219</v>
      </c>
      <c r="C2">
        <v>58.483471001502075</v>
      </c>
      <c r="D2">
        <f t="shared" ref="D2:D10" si="0">B2*$I$2+C2*$I$3</f>
        <v>38.731209210716969</v>
      </c>
      <c r="E2">
        <v>49</v>
      </c>
      <c r="F2">
        <f t="shared" ref="F2:F10" si="1">ABS(D2-E2)</f>
        <v>10.268790789283031</v>
      </c>
      <c r="H2" t="s">
        <v>7</v>
      </c>
      <c r="I2">
        <v>0.35800344306393017</v>
      </c>
    </row>
    <row r="3" spans="1:9" x14ac:dyDescent="0.3">
      <c r="A3" t="s">
        <v>34</v>
      </c>
      <c r="B3">
        <v>62.999999998387899</v>
      </c>
      <c r="C3">
        <v>50.306220751915085</v>
      </c>
      <c r="D3">
        <f t="shared" si="0"/>
        <v>41.639130883394216</v>
      </c>
      <c r="E3">
        <v>33</v>
      </c>
      <c r="F3">
        <f t="shared" si="1"/>
        <v>8.6391308833942162</v>
      </c>
      <c r="H3" t="s">
        <v>9</v>
      </c>
      <c r="I3">
        <v>0.37937483050179677</v>
      </c>
    </row>
    <row r="4" spans="1:9" x14ac:dyDescent="0.3">
      <c r="A4" t="s">
        <v>35</v>
      </c>
      <c r="B4">
        <v>35.714285714285715</v>
      </c>
      <c r="C4">
        <v>38.850964219902494</v>
      </c>
      <c r="D4">
        <f t="shared" si="0"/>
        <v>27.5249152180401</v>
      </c>
      <c r="E4">
        <v>22</v>
      </c>
      <c r="F4">
        <f t="shared" si="1"/>
        <v>5.5249152180400998</v>
      </c>
    </row>
    <row r="5" spans="1:9" x14ac:dyDescent="0.3">
      <c r="A5" t="s">
        <v>36</v>
      </c>
      <c r="B5">
        <v>48.210431260158302</v>
      </c>
      <c r="C5">
        <v>37.113387098071321</v>
      </c>
      <c r="D5">
        <f t="shared" si="0"/>
        <v>31.339385322411978</v>
      </c>
      <c r="E5">
        <v>26</v>
      </c>
      <c r="F5">
        <f t="shared" si="1"/>
        <v>5.3393853224119781</v>
      </c>
      <c r="H5" t="s">
        <v>12</v>
      </c>
      <c r="I5" cm="1">
        <f t="array" ref="I5">(SUM(TableBRE[PP]-TableBRE[AP]))^2</f>
        <v>2.0194839173657902E-28</v>
      </c>
    </row>
    <row r="6" spans="1:9" x14ac:dyDescent="0.3">
      <c r="A6" t="s">
        <v>37</v>
      </c>
      <c r="B6">
        <v>33.296793385676345</v>
      </c>
      <c r="C6">
        <v>31.691186521078201</v>
      </c>
      <c r="D6">
        <f t="shared" si="0"/>
        <v>23.943205189895295</v>
      </c>
      <c r="E6">
        <v>21</v>
      </c>
      <c r="F6">
        <f t="shared" si="1"/>
        <v>2.9432051898952949</v>
      </c>
    </row>
    <row r="7" spans="1:9" x14ac:dyDescent="0.3">
      <c r="A7" t="s">
        <v>38</v>
      </c>
      <c r="B7">
        <v>25.545306134397826</v>
      </c>
      <c r="C7">
        <v>33.959084928375134</v>
      </c>
      <c r="D7">
        <f t="shared" si="0"/>
        <v>22.028529638934994</v>
      </c>
      <c r="E7">
        <v>36</v>
      </c>
      <c r="F7">
        <f t="shared" si="1"/>
        <v>13.971470361065006</v>
      </c>
      <c r="H7" t="s">
        <v>15</v>
      </c>
      <c r="I7">
        <f>AVERAGE(TableBRE[DIFF])/10</f>
        <v>0.65690561983327811</v>
      </c>
    </row>
    <row r="8" spans="1:9" x14ac:dyDescent="0.3">
      <c r="A8" t="s">
        <v>39</v>
      </c>
      <c r="B8">
        <v>32.412014529561688</v>
      </c>
      <c r="C8">
        <v>33.596398475492904</v>
      </c>
      <c r="D8">
        <f t="shared" si="0"/>
        <v>24.349240775332159</v>
      </c>
      <c r="E8">
        <v>21</v>
      </c>
      <c r="F8">
        <f t="shared" si="1"/>
        <v>3.3492407753321594</v>
      </c>
    </row>
    <row r="9" spans="1:9" x14ac:dyDescent="0.3">
      <c r="A9" t="s">
        <v>40</v>
      </c>
      <c r="B9">
        <v>30.635193375735582</v>
      </c>
      <c r="C9">
        <v>38.779598348547253</v>
      </c>
      <c r="D9">
        <f t="shared" si="0"/>
        <v>25.679508257850514</v>
      </c>
      <c r="E9">
        <v>31</v>
      </c>
      <c r="F9">
        <f t="shared" si="1"/>
        <v>5.3204917421494855</v>
      </c>
    </row>
    <row r="10" spans="1:9" x14ac:dyDescent="0.3">
      <c r="A10" t="s">
        <v>41</v>
      </c>
      <c r="B10">
        <v>32.330775328749226</v>
      </c>
      <c r="C10">
        <v>45.312301282790948</v>
      </c>
      <c r="D10">
        <f t="shared" si="0"/>
        <v>28.76487550342376</v>
      </c>
      <c r="E10">
        <v>25</v>
      </c>
      <c r="F10">
        <f t="shared" si="1"/>
        <v>3.7648755034237595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42</v>
      </c>
      <c r="B2">
        <v>32.645291828092724</v>
      </c>
      <c r="C2">
        <v>44.197725427567896</v>
      </c>
      <c r="D2">
        <f t="shared" ref="D2:D7" si="0">B2*$I$2+C2*$I$3</f>
        <v>34.816779646460681</v>
      </c>
      <c r="E2">
        <v>42</v>
      </c>
      <c r="F2">
        <f t="shared" ref="F2:F7" si="1">ABS(D2-E2)</f>
        <v>7.1832203535393191</v>
      </c>
      <c r="H2" t="s">
        <v>7</v>
      </c>
      <c r="I2">
        <v>0.47452582459129522</v>
      </c>
    </row>
    <row r="3" spans="1:9" x14ac:dyDescent="0.3">
      <c r="A3" t="s">
        <v>43</v>
      </c>
      <c r="B3">
        <v>51.339421893699125</v>
      </c>
      <c r="C3">
        <v>33.665255596870743</v>
      </c>
      <c r="D3">
        <f t="shared" si="0"/>
        <v>39.082235546613489</v>
      </c>
      <c r="E3">
        <v>45</v>
      </c>
      <c r="F3">
        <f t="shared" si="1"/>
        <v>5.9177644533865106</v>
      </c>
      <c r="H3" t="s">
        <v>9</v>
      </c>
      <c r="I3">
        <v>0.43725656548509323</v>
      </c>
    </row>
    <row r="4" spans="1:9" x14ac:dyDescent="0.3">
      <c r="A4" t="s">
        <v>44</v>
      </c>
      <c r="B4">
        <v>47.968385958791686</v>
      </c>
      <c r="C4">
        <v>60.447885983257478</v>
      </c>
      <c r="D4">
        <f t="shared" si="0"/>
        <v>49.193472917282804</v>
      </c>
      <c r="E4">
        <v>48</v>
      </c>
      <c r="F4">
        <f t="shared" si="1"/>
        <v>1.1934729172828042</v>
      </c>
    </row>
    <row r="5" spans="1:9" x14ac:dyDescent="0.3">
      <c r="A5" t="s">
        <v>45</v>
      </c>
      <c r="B5">
        <v>47.098984314674041</v>
      </c>
      <c r="C5">
        <v>32.436251017642505</v>
      </c>
      <c r="D5">
        <f t="shared" si="0"/>
        <v>36.532648086519899</v>
      </c>
      <c r="E5">
        <v>41</v>
      </c>
      <c r="F5">
        <f t="shared" si="1"/>
        <v>4.4673519134801012</v>
      </c>
      <c r="H5" t="s">
        <v>12</v>
      </c>
      <c r="I5" cm="1">
        <f t="array" ref="I5">(SUM(TableBHA[PP]-TableBHA[AP]))^2</f>
        <v>5.0487097934144756E-29</v>
      </c>
    </row>
    <row r="6" spans="1:9" x14ac:dyDescent="0.3">
      <c r="A6" t="s">
        <v>46</v>
      </c>
      <c r="B6">
        <v>27.783475501508534</v>
      </c>
      <c r="C6">
        <v>35.710515443571488</v>
      </c>
      <c r="D6">
        <f t="shared" si="0"/>
        <v>28.798633956923837</v>
      </c>
      <c r="E6">
        <v>41</v>
      </c>
      <c r="F6">
        <f t="shared" si="1"/>
        <v>12.201366043076163</v>
      </c>
    </row>
    <row r="7" spans="1:9" x14ac:dyDescent="0.3">
      <c r="A7" t="s">
        <v>47</v>
      </c>
      <c r="B7">
        <v>63.268310002122803</v>
      </c>
      <c r="C7">
        <v>42.432256794956722</v>
      </c>
      <c r="D7">
        <f t="shared" si="0"/>
        <v>48.576229846199297</v>
      </c>
      <c r="E7">
        <v>20</v>
      </c>
      <c r="F7">
        <f t="shared" si="1"/>
        <v>28.576229846199297</v>
      </c>
      <c r="H7" t="s">
        <v>15</v>
      </c>
      <c r="I7">
        <f>AVERAGE(TableBHA[DIFF])/10</f>
        <v>0.99232342544940322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48</v>
      </c>
      <c r="B2">
        <v>64.37767797916743</v>
      </c>
      <c r="C2">
        <v>46.670578574037421</v>
      </c>
      <c r="D2">
        <f>B2*$I$2+C2*$I$3</f>
        <v>31.900984641658972</v>
      </c>
      <c r="E2">
        <v>29</v>
      </c>
      <c r="F2">
        <f>ABS(D2-E2)</f>
        <v>2.9009846416589724</v>
      </c>
      <c r="H2" t="s">
        <v>7</v>
      </c>
      <c r="I2">
        <v>0.33181106408496419</v>
      </c>
    </row>
    <row r="3" spans="1:9" x14ac:dyDescent="0.3">
      <c r="A3" t="s">
        <v>49</v>
      </c>
      <c r="B3">
        <v>57.142857219296793</v>
      </c>
      <c r="C3">
        <v>36.037166962711773</v>
      </c>
      <c r="D3">
        <f>B3*$I$2+C3*$I$3</f>
        <v>27.099015358341024</v>
      </c>
      <c r="E3">
        <v>30</v>
      </c>
      <c r="F3">
        <f>ABS(D3-E3)</f>
        <v>2.900984641658976</v>
      </c>
      <c r="H3" t="s">
        <v>9</v>
      </c>
      <c r="I3">
        <v>0.22583304364551995</v>
      </c>
    </row>
    <row r="5" spans="1:9" x14ac:dyDescent="0.3">
      <c r="H5" t="s">
        <v>12</v>
      </c>
      <c r="I5" cm="1">
        <f t="array" ref="I5">(SUM(TableCHE[PP]-TableCHE[AP]))^2</f>
        <v>1.2621774483536189E-29</v>
      </c>
    </row>
    <row r="7" spans="1:9" x14ac:dyDescent="0.3">
      <c r="H7" t="s">
        <v>15</v>
      </c>
      <c r="I7">
        <f>AVERAGE(TableCHE[DIFF])/10</f>
        <v>0.29009846416589741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50</v>
      </c>
      <c r="B2">
        <v>36.731370105879144</v>
      </c>
      <c r="C2">
        <v>36.334187003363205</v>
      </c>
      <c r="D2">
        <f t="shared" ref="D2:D10" si="0">B2*$I$2+C2*$I$3</f>
        <v>33.840110155979012</v>
      </c>
      <c r="E2">
        <v>38</v>
      </c>
      <c r="F2">
        <f t="shared" ref="F2:F10" si="1">ABS(D2-E2)</f>
        <v>4.1598898440209879</v>
      </c>
      <c r="H2" t="s">
        <v>7</v>
      </c>
      <c r="I2">
        <v>0.48023746614898188</v>
      </c>
    </row>
    <row r="3" spans="1:9" x14ac:dyDescent="0.3">
      <c r="A3" t="s">
        <v>51</v>
      </c>
      <c r="B3">
        <v>26.648970099469764</v>
      </c>
      <c r="C3">
        <v>27.730986482471209</v>
      </c>
      <c r="D3">
        <f t="shared" si="0"/>
        <v>25.162253466207439</v>
      </c>
      <c r="E3">
        <v>38</v>
      </c>
      <c r="F3">
        <f t="shared" si="1"/>
        <v>12.837746533792561</v>
      </c>
      <c r="H3" t="s">
        <v>9</v>
      </c>
      <c r="I3">
        <v>0.44587016758216164</v>
      </c>
    </row>
    <row r="4" spans="1:9" x14ac:dyDescent="0.3">
      <c r="A4" t="s">
        <v>52</v>
      </c>
      <c r="B4">
        <v>26.393542553263242</v>
      </c>
      <c r="C4">
        <v>27.63041670847597</v>
      </c>
      <c r="D4">
        <f t="shared" si="0"/>
        <v>24.99474652664761</v>
      </c>
      <c r="E4">
        <v>36</v>
      </c>
      <c r="F4">
        <f t="shared" si="1"/>
        <v>11.00525347335239</v>
      </c>
    </row>
    <row r="5" spans="1:9" x14ac:dyDescent="0.3">
      <c r="A5" t="s">
        <v>53</v>
      </c>
      <c r="B5">
        <v>49.05263157894737</v>
      </c>
      <c r="C5">
        <v>34.6570446691927</v>
      </c>
      <c r="D5">
        <f t="shared" si="0"/>
        <v>39.009453811968626</v>
      </c>
      <c r="E5">
        <v>23</v>
      </c>
      <c r="F5">
        <f t="shared" si="1"/>
        <v>16.009453811968626</v>
      </c>
      <c r="H5" t="s">
        <v>12</v>
      </c>
      <c r="I5" cm="1">
        <f t="array" ref="I5">(SUM(TableCRY[PP]-TableCRY[AP]))^2</f>
        <v>0</v>
      </c>
    </row>
    <row r="6" spans="1:9" x14ac:dyDescent="0.3">
      <c r="A6" t="s">
        <v>54</v>
      </c>
      <c r="B6">
        <v>29.118078262591553</v>
      </c>
      <c r="C6">
        <v>29.209281003644893</v>
      </c>
      <c r="D6">
        <f t="shared" si="0"/>
        <v>27.007139140004316</v>
      </c>
      <c r="E6">
        <v>20</v>
      </c>
      <c r="F6">
        <f t="shared" si="1"/>
        <v>7.0071391400043161</v>
      </c>
    </row>
    <row r="7" spans="1:9" x14ac:dyDescent="0.3">
      <c r="A7" t="s">
        <v>55</v>
      </c>
      <c r="B7">
        <v>29.043653000637164</v>
      </c>
      <c r="C7">
        <v>30.064258951624296</v>
      </c>
      <c r="D7">
        <f t="shared" si="0"/>
        <v>27.352606501730495</v>
      </c>
      <c r="E7">
        <v>34</v>
      </c>
      <c r="F7">
        <f t="shared" si="1"/>
        <v>6.6473934982695049</v>
      </c>
      <c r="H7" t="s">
        <v>15</v>
      </c>
      <c r="I7">
        <f>AVERAGE(TableCRY[DIFF])/10</f>
        <v>0.82852454471658132</v>
      </c>
    </row>
    <row r="8" spans="1:9" x14ac:dyDescent="0.3">
      <c r="A8" t="s">
        <v>56</v>
      </c>
      <c r="B8">
        <v>54.358858910661908</v>
      </c>
      <c r="C8">
        <v>38.714225409579988</v>
      </c>
      <c r="D8">
        <f t="shared" si="0"/>
        <v>43.366678837189291</v>
      </c>
      <c r="E8">
        <v>46</v>
      </c>
      <c r="F8">
        <f t="shared" si="1"/>
        <v>2.6333211628107094</v>
      </c>
    </row>
    <row r="9" spans="1:9" x14ac:dyDescent="0.3">
      <c r="A9" t="s">
        <v>57</v>
      </c>
      <c r="B9">
        <v>32.505402044561684</v>
      </c>
      <c r="C9">
        <v>29.851325970950622</v>
      </c>
      <c r="D9">
        <f t="shared" si="0"/>
        <v>28.920127627251723</v>
      </c>
      <c r="E9">
        <v>27</v>
      </c>
      <c r="F9">
        <f t="shared" si="1"/>
        <v>1.9201276272517234</v>
      </c>
    </row>
    <row r="10" spans="1:9" x14ac:dyDescent="0.3">
      <c r="A10" t="s">
        <v>58</v>
      </c>
      <c r="B10">
        <v>32.631578946443909</v>
      </c>
      <c r="C10">
        <v>39.643776212239189</v>
      </c>
      <c r="D10">
        <f t="shared" si="0"/>
        <v>33.346883933021488</v>
      </c>
      <c r="E10">
        <v>21</v>
      </c>
      <c r="F10">
        <f t="shared" si="1"/>
        <v>12.346883933021488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59</v>
      </c>
      <c r="B2">
        <v>60.044378055731713</v>
      </c>
      <c r="C2">
        <v>35.405992699463404</v>
      </c>
      <c r="D2">
        <f>B2*$I$2+C2*$I$3</f>
        <v>43.794077265298171</v>
      </c>
      <c r="E2">
        <v>36</v>
      </c>
      <c r="F2">
        <f>ABS(D2-E2)</f>
        <v>7.7940772652981707</v>
      </c>
      <c r="H2" t="s">
        <v>7</v>
      </c>
      <c r="I2">
        <v>0.49625522520682991</v>
      </c>
    </row>
    <row r="3" spans="1:9" x14ac:dyDescent="0.3">
      <c r="A3" t="s">
        <v>60</v>
      </c>
      <c r="B3">
        <v>26.343441919113175</v>
      </c>
      <c r="C3">
        <v>30.760076755796881</v>
      </c>
      <c r="D3">
        <f>B3*$I$2+C3*$I$3</f>
        <v>25.233182364835514</v>
      </c>
      <c r="E3">
        <v>30</v>
      </c>
      <c r="F3">
        <f>ABS(D3-E3)</f>
        <v>4.766817635164486</v>
      </c>
      <c r="H3" t="s">
        <v>9</v>
      </c>
      <c r="I3">
        <v>0.39532123925052731</v>
      </c>
    </row>
    <row r="4" spans="1:9" x14ac:dyDescent="0.3">
      <c r="A4" t="s">
        <v>61</v>
      </c>
      <c r="B4">
        <v>27.815008496798349</v>
      </c>
      <c r="C4">
        <v>30.229507139486824</v>
      </c>
      <c r="D4">
        <f>B4*$I$2+C4*$I$3</f>
        <v>25.753709530023144</v>
      </c>
      <c r="E4">
        <v>23</v>
      </c>
      <c r="F4">
        <f>ABS(D4-E4)</f>
        <v>2.7537095300231442</v>
      </c>
    </row>
    <row r="5" spans="1:9" x14ac:dyDescent="0.3">
      <c r="A5" t="s">
        <v>62</v>
      </c>
      <c r="B5">
        <v>48.810845361943329</v>
      </c>
      <c r="C5">
        <v>30.221795537554861</v>
      </c>
      <c r="D5">
        <f>B5*$I$2+C5*$I$3</f>
        <v>36.169954721909178</v>
      </c>
      <c r="E5">
        <v>22</v>
      </c>
      <c r="F5">
        <f>ABS(D5-E5)</f>
        <v>14.169954721909178</v>
      </c>
      <c r="H5" t="s">
        <v>12</v>
      </c>
      <c r="I5" cm="1">
        <f t="array" ref="I5">(SUM(TableEVE[PP]-TableEVE[AP]))^2</f>
        <v>1.135959703518257E-28</v>
      </c>
    </row>
    <row r="6" spans="1:9" x14ac:dyDescent="0.3">
      <c r="A6" t="s">
        <v>63</v>
      </c>
      <c r="B6">
        <v>29.300764088829617</v>
      </c>
      <c r="C6">
        <v>26.58197383025033</v>
      </c>
      <c r="D6">
        <f>B6*$I$2+C6*$I$3</f>
        <v>25.049076117933982</v>
      </c>
      <c r="E6">
        <v>45</v>
      </c>
      <c r="F6">
        <f>ABS(D6-E6)</f>
        <v>19.950923882066018</v>
      </c>
    </row>
    <row r="7" spans="1:9" x14ac:dyDescent="0.3">
      <c r="H7" t="s">
        <v>15</v>
      </c>
      <c r="I7">
        <f>AVERAGE(TableEVE[DIFF])/10</f>
        <v>0.98870966068922006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64</v>
      </c>
      <c r="B2">
        <v>25.081400794844193</v>
      </c>
      <c r="C2">
        <v>32.258525222070062</v>
      </c>
      <c r="D2">
        <f>B2*$I$2+C2*$I$3</f>
        <v>21.894484610233782</v>
      </c>
      <c r="E2">
        <v>20</v>
      </c>
      <c r="F2">
        <f>ABS(D2-E2)</f>
        <v>1.894484610233782</v>
      </c>
      <c r="H2" t="s">
        <v>7</v>
      </c>
      <c r="I2">
        <v>0.37916339095021157</v>
      </c>
    </row>
    <row r="3" spans="1:9" x14ac:dyDescent="0.3">
      <c r="A3" t="s">
        <v>65</v>
      </c>
      <c r="B3">
        <v>26.958326612801947</v>
      </c>
      <c r="C3">
        <v>31.239250077732009</v>
      </c>
      <c r="D3">
        <f>B3*$I$2+C3*$I$3</f>
        <v>22.214831026892998</v>
      </c>
      <c r="E3">
        <v>27</v>
      </c>
      <c r="F3">
        <f>ABS(D3-E3)</f>
        <v>4.7851689731070017</v>
      </c>
      <c r="H3" t="s">
        <v>9</v>
      </c>
      <c r="I3">
        <v>0.38391512165615971</v>
      </c>
    </row>
    <row r="4" spans="1:9" x14ac:dyDescent="0.3">
      <c r="A4" t="s">
        <v>66</v>
      </c>
      <c r="B4">
        <v>14.969088515332688</v>
      </c>
      <c r="C4">
        <v>30.147789361158789</v>
      </c>
      <c r="D4">
        <f>B4*$I$2+C4*$I$3</f>
        <v>17.249922581160966</v>
      </c>
      <c r="E4">
        <v>24</v>
      </c>
      <c r="F4">
        <f>ABS(D4-E4)</f>
        <v>6.7500774188390338</v>
      </c>
    </row>
    <row r="5" spans="1:9" x14ac:dyDescent="0.3">
      <c r="A5" t="s">
        <v>67</v>
      </c>
      <c r="B5">
        <v>73.636363597795921</v>
      </c>
      <c r="C5">
        <v>48.762206557457901</v>
      </c>
      <c r="D5">
        <f>B5*$I$2+C5*$I$3</f>
        <v>46.640761781712257</v>
      </c>
      <c r="E5">
        <v>37</v>
      </c>
      <c r="F5">
        <f>ABS(D5-E5)</f>
        <v>9.6407617817122571</v>
      </c>
      <c r="H5" t="s">
        <v>12</v>
      </c>
      <c r="I5" cm="1">
        <f t="array" ref="I5">(SUM(TableFUL[PP]-TableFUL[AP]))^2</f>
        <v>1.2621774483536189E-29</v>
      </c>
    </row>
    <row r="7" spans="1:9" x14ac:dyDescent="0.3">
      <c r="H7" t="s">
        <v>15</v>
      </c>
      <c r="I7">
        <f>AVERAGE(TableFUL[DIFF])/10</f>
        <v>0.57676231959730184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68</v>
      </c>
      <c r="B2">
        <v>34.777888358566472</v>
      </c>
      <c r="C2">
        <v>46.576857706291932</v>
      </c>
      <c r="D2">
        <f>B2*$I$2+C2*$I$3</f>
        <v>32.393945278005283</v>
      </c>
      <c r="E2">
        <v>20</v>
      </c>
      <c r="F2">
        <f>ABS(D2-E2)</f>
        <v>12.393945278005283</v>
      </c>
      <c r="H2" t="s">
        <v>7</v>
      </c>
      <c r="I2">
        <v>0.35276415522632998</v>
      </c>
    </row>
    <row r="3" spans="1:9" x14ac:dyDescent="0.3">
      <c r="A3" t="s">
        <v>69</v>
      </c>
      <c r="B3">
        <v>32.83437038269026</v>
      </c>
      <c r="C3">
        <v>35.287210918409343</v>
      </c>
      <c r="D3">
        <f>B3*$I$2+C3*$I$3</f>
        <v>26.830159920429516</v>
      </c>
      <c r="E3">
        <v>52</v>
      </c>
      <c r="F3">
        <f>ABS(D3-E3)</f>
        <v>25.169840079570484</v>
      </c>
      <c r="H3" t="s">
        <v>9</v>
      </c>
      <c r="I3">
        <v>0.43209340135286245</v>
      </c>
    </row>
    <row r="4" spans="1:9" x14ac:dyDescent="0.3">
      <c r="A4" t="s">
        <v>70</v>
      </c>
      <c r="B4">
        <v>21.236423028887152</v>
      </c>
      <c r="C4">
        <v>38.320996631388347</v>
      </c>
      <c r="D4">
        <f>B4*$I$2+C4*$I$3</f>
        <v>24.049698607502531</v>
      </c>
      <c r="E4">
        <v>23</v>
      </c>
      <c r="F4">
        <f>ABS(D4-E4)</f>
        <v>1.0496986075025312</v>
      </c>
    </row>
    <row r="5" spans="1:9" x14ac:dyDescent="0.3">
      <c r="A5" t="s">
        <v>71</v>
      </c>
      <c r="B5">
        <v>42.666666554907948</v>
      </c>
      <c r="C5">
        <v>40.905335640761379</v>
      </c>
      <c r="D5">
        <f>B5*$I$2+C5*$I$3</f>
        <v>32.726196194062666</v>
      </c>
      <c r="E5">
        <v>21</v>
      </c>
      <c r="F5">
        <f>ABS(D5-E5)</f>
        <v>11.726196194062666</v>
      </c>
      <c r="H5" t="s">
        <v>12</v>
      </c>
      <c r="I5" cm="1">
        <f t="array" ref="I5">(SUM(TableLEE[PP]-TableLEE[AP]))^2</f>
        <v>1.2621774483536189E-29</v>
      </c>
    </row>
    <row r="7" spans="1:9" x14ac:dyDescent="0.3">
      <c r="H7" t="s">
        <v>15</v>
      </c>
      <c r="I7">
        <f>AVERAGE(TableLEE[DIFF])/10</f>
        <v>1.2584920039785241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72</v>
      </c>
      <c r="B2">
        <v>55.271831662966989</v>
      </c>
      <c r="C2">
        <v>38.96185323713545</v>
      </c>
      <c r="D2">
        <f>B2*$I$2+C2*$I$3</f>
        <v>32.749392761620214</v>
      </c>
      <c r="E2">
        <v>30</v>
      </c>
      <c r="F2">
        <f>ABS(D2-E2)</f>
        <v>2.7493927616202143</v>
      </c>
      <c r="H2" t="s">
        <v>7</v>
      </c>
      <c r="I2">
        <v>0.3443876469848029</v>
      </c>
    </row>
    <row r="3" spans="1:9" x14ac:dyDescent="0.3">
      <c r="A3" t="s">
        <v>73</v>
      </c>
      <c r="B3">
        <v>25.853835733765965</v>
      </c>
      <c r="C3">
        <v>32.592669385700432</v>
      </c>
      <c r="D3">
        <f>B3*$I$2+C3*$I$3</f>
        <v>20.37626455095532</v>
      </c>
      <c r="E3">
        <v>25</v>
      </c>
      <c r="F3">
        <f>ABS(D3-E3)</f>
        <v>4.6237354490446805</v>
      </c>
      <c r="H3" t="s">
        <v>9</v>
      </c>
      <c r="I3">
        <v>0.35199703225613815</v>
      </c>
    </row>
    <row r="4" spans="1:9" x14ac:dyDescent="0.3">
      <c r="A4" t="s">
        <v>74</v>
      </c>
      <c r="B4">
        <v>32.514188101746988</v>
      </c>
      <c r="C4">
        <v>34.543251239616659</v>
      </c>
      <c r="D4">
        <f>B4*$I$2+C4*$I$3</f>
        <v>23.356606654805148</v>
      </c>
      <c r="E4">
        <v>23</v>
      </c>
      <c r="F4">
        <f>ABS(D4-E4)</f>
        <v>0.35660665480514808</v>
      </c>
    </row>
    <row r="5" spans="1:9" x14ac:dyDescent="0.3">
      <c r="A5" t="s">
        <v>75</v>
      </c>
      <c r="B5">
        <v>45.414407661485598</v>
      </c>
      <c r="C5">
        <v>56.47085974408828</v>
      </c>
      <c r="D5">
        <f>B5*$I$2+C5*$I$3</f>
        <v>35.517736032619325</v>
      </c>
      <c r="E5">
        <v>34</v>
      </c>
      <c r="F5">
        <f>ABS(D5-E5)</f>
        <v>1.5177360326193252</v>
      </c>
      <c r="H5" t="s">
        <v>12</v>
      </c>
      <c r="I5" cm="1">
        <f t="array" ref="I5">(SUM(TableLEI[PP]-TableLEI[AP]))^2</f>
        <v>5.0487097934144756E-29</v>
      </c>
    </row>
    <row r="7" spans="1:9" x14ac:dyDescent="0.3">
      <c r="H7" t="s">
        <v>15</v>
      </c>
      <c r="I7">
        <f>AVERAGE(TableLEI[DIFF])/10</f>
        <v>0.23118677245223421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76</v>
      </c>
      <c r="B2">
        <v>54.068804651770826</v>
      </c>
      <c r="C2">
        <v>24.974000165816836</v>
      </c>
      <c r="D2">
        <f t="shared" ref="D2:D9" si="0">B2*$I$2+C2*$I$3</f>
        <v>31.353298437409958</v>
      </c>
      <c r="E2">
        <v>28</v>
      </c>
      <c r="F2">
        <f t="shared" ref="F2:F9" si="1">ABS(D2-E2)</f>
        <v>3.3532984374099577</v>
      </c>
      <c r="H2" t="s">
        <v>7</v>
      </c>
      <c r="I2">
        <v>0.44427344474345393</v>
      </c>
    </row>
    <row r="3" spans="1:9" x14ac:dyDescent="0.3">
      <c r="A3" t="s">
        <v>77</v>
      </c>
      <c r="B3">
        <v>62.227448881545527</v>
      </c>
      <c r="C3">
        <v>43.917531779321017</v>
      </c>
      <c r="D3">
        <f t="shared" si="0"/>
        <v>40.539483285199381</v>
      </c>
      <c r="E3">
        <v>40</v>
      </c>
      <c r="F3">
        <f t="shared" si="1"/>
        <v>0.53948328519938116</v>
      </c>
      <c r="H3" t="s">
        <v>9</v>
      </c>
      <c r="I3">
        <v>0.29358389897195863</v>
      </c>
    </row>
    <row r="4" spans="1:9" x14ac:dyDescent="0.3">
      <c r="A4" t="s">
        <v>78</v>
      </c>
      <c r="B4">
        <v>44.349715494099897</v>
      </c>
      <c r="C4">
        <v>47.21217673053021</v>
      </c>
      <c r="D4">
        <f t="shared" si="0"/>
        <v>33.564135799458128</v>
      </c>
      <c r="E4">
        <v>46</v>
      </c>
      <c r="F4">
        <f t="shared" si="1"/>
        <v>12.435864200541872</v>
      </c>
    </row>
    <row r="5" spans="1:9" x14ac:dyDescent="0.3">
      <c r="A5" t="s">
        <v>79</v>
      </c>
      <c r="B5">
        <v>121.92596754450666</v>
      </c>
      <c r="C5">
        <v>69.528744350550923</v>
      </c>
      <c r="D5">
        <f t="shared" si="0"/>
        <v>74.580989461735825</v>
      </c>
      <c r="E5">
        <v>75</v>
      </c>
      <c r="F5">
        <f t="shared" si="1"/>
        <v>0.41901053826417467</v>
      </c>
      <c r="H5" t="s">
        <v>12</v>
      </c>
      <c r="I5" cm="1">
        <f t="array" ref="I5">(SUM(TableLIV[PP]-TableLIV[AP]))^2</f>
        <v>2.8398992587956425E-27</v>
      </c>
    </row>
    <row r="6" spans="1:9" x14ac:dyDescent="0.3">
      <c r="A6" t="s">
        <v>80</v>
      </c>
      <c r="B6">
        <v>109.85526322671117</v>
      </c>
      <c r="C6">
        <v>45.998133256466822</v>
      </c>
      <c r="D6">
        <f t="shared" si="0"/>
        <v>62.310087523795097</v>
      </c>
      <c r="E6">
        <v>38</v>
      </c>
      <c r="F6">
        <f t="shared" si="1"/>
        <v>24.310087523795097</v>
      </c>
    </row>
    <row r="7" spans="1:9" x14ac:dyDescent="0.3">
      <c r="A7" t="s">
        <v>81</v>
      </c>
      <c r="B7">
        <v>53.151145816742719</v>
      </c>
      <c r="C7">
        <v>40.437767517853487</v>
      </c>
      <c r="D7">
        <f t="shared" si="0"/>
        <v>35.485520097678958</v>
      </c>
      <c r="E7">
        <v>58</v>
      </c>
      <c r="F7">
        <f t="shared" si="1"/>
        <v>22.514479902321042</v>
      </c>
      <c r="H7" t="s">
        <v>15</v>
      </c>
      <c r="I7">
        <f>AVERAGE(TableLIV[DIFF])/10</f>
        <v>0.9482225732707843</v>
      </c>
    </row>
    <row r="8" spans="1:9" x14ac:dyDescent="0.3">
      <c r="A8" t="s">
        <v>82</v>
      </c>
      <c r="B8">
        <v>19.999213942125728</v>
      </c>
      <c r="C8">
        <v>29.141012398923635</v>
      </c>
      <c r="D8">
        <f t="shared" si="0"/>
        <v>17.440451710295697</v>
      </c>
      <c r="E8">
        <v>20</v>
      </c>
      <c r="F8">
        <f t="shared" si="1"/>
        <v>2.5595482897043027</v>
      </c>
    </row>
    <row r="9" spans="1:9" x14ac:dyDescent="0.3">
      <c r="A9" t="s">
        <v>83</v>
      </c>
      <c r="B9">
        <v>68.671630306916526</v>
      </c>
      <c r="C9">
        <v>51.832038422780016</v>
      </c>
      <c r="D9">
        <f t="shared" si="0"/>
        <v>45.726033684426902</v>
      </c>
      <c r="E9">
        <v>36</v>
      </c>
      <c r="F9">
        <f t="shared" si="1"/>
        <v>9.726033684426902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84</v>
      </c>
      <c r="B2">
        <v>38.798448379948091</v>
      </c>
      <c r="C2">
        <v>36.930332834905649</v>
      </c>
      <c r="D2">
        <f t="shared" ref="D2:D10" si="0">B2*$I$2+C2*$I$3</f>
        <v>33.931100828764798</v>
      </c>
      <c r="E2">
        <v>32</v>
      </c>
      <c r="F2">
        <f t="shared" ref="F2:F10" si="1">ABS(D2-E2)</f>
        <v>1.9311008287647979</v>
      </c>
      <c r="H2" t="s">
        <v>7</v>
      </c>
      <c r="I2">
        <v>0.49523922657772074</v>
      </c>
    </row>
    <row r="3" spans="1:9" x14ac:dyDescent="0.3">
      <c r="A3" t="s">
        <v>85</v>
      </c>
      <c r="B3">
        <v>57.673103913840173</v>
      </c>
      <c r="C3">
        <v>41.017376940941602</v>
      </c>
      <c r="D3">
        <f t="shared" si="0"/>
        <v>44.907241071795923</v>
      </c>
      <c r="E3">
        <v>75</v>
      </c>
      <c r="F3">
        <f t="shared" si="1"/>
        <v>30.092758928204077</v>
      </c>
      <c r="H3" t="s">
        <v>9</v>
      </c>
      <c r="I3">
        <v>0.39849592816975427</v>
      </c>
    </row>
    <row r="4" spans="1:9" x14ac:dyDescent="0.3">
      <c r="A4" t="s">
        <v>86</v>
      </c>
      <c r="B4">
        <v>37.169420171506097</v>
      </c>
      <c r="C4">
        <v>35.230139584948866</v>
      </c>
      <c r="D4">
        <f t="shared" si="0"/>
        <v>32.446822071533212</v>
      </c>
      <c r="E4">
        <v>60</v>
      </c>
      <c r="F4">
        <f t="shared" si="1"/>
        <v>27.553177928466788</v>
      </c>
    </row>
    <row r="5" spans="1:9" x14ac:dyDescent="0.3">
      <c r="A5" t="s">
        <v>87</v>
      </c>
      <c r="B5">
        <v>40.7664756359083</v>
      </c>
      <c r="C5">
        <v>39.040016870813048</v>
      </c>
      <c r="D5">
        <f t="shared" si="0"/>
        <v>35.746445622924234</v>
      </c>
      <c r="E5">
        <v>28</v>
      </c>
      <c r="F5">
        <f t="shared" si="1"/>
        <v>7.7464456229242344</v>
      </c>
      <c r="H5" t="s">
        <v>12</v>
      </c>
      <c r="I5" cm="1">
        <f t="array" ref="I5">(SUM(TableMCI[PP]-TableMCI[AP]))^2</f>
        <v>5.0487097934144756E-29</v>
      </c>
    </row>
    <row r="6" spans="1:9" x14ac:dyDescent="0.3">
      <c r="A6" t="s">
        <v>88</v>
      </c>
      <c r="B6">
        <v>44.777777777777779</v>
      </c>
      <c r="C6">
        <v>45.108342598524075</v>
      </c>
      <c r="D6">
        <f t="shared" si="0"/>
        <v>40.151202886533838</v>
      </c>
      <c r="E6">
        <v>30</v>
      </c>
      <c r="F6">
        <f t="shared" si="1"/>
        <v>10.151202886533838</v>
      </c>
    </row>
    <row r="7" spans="1:9" x14ac:dyDescent="0.3">
      <c r="A7" t="s">
        <v>89</v>
      </c>
      <c r="B7">
        <v>40.741221638214</v>
      </c>
      <c r="C7">
        <v>48.79614372088804</v>
      </c>
      <c r="D7">
        <f t="shared" si="0"/>
        <v>39.62171567710061</v>
      </c>
      <c r="E7">
        <v>41</v>
      </c>
      <c r="F7">
        <f t="shared" si="1"/>
        <v>1.3782843228993897</v>
      </c>
      <c r="H7" t="s">
        <v>15</v>
      </c>
      <c r="I7">
        <f>AVERAGE(TableMCI[DIFF])/10</f>
        <v>1.4520041946685995</v>
      </c>
    </row>
    <row r="8" spans="1:9" x14ac:dyDescent="0.3">
      <c r="A8" t="s">
        <v>90</v>
      </c>
      <c r="B8">
        <v>29.568965510099083</v>
      </c>
      <c r="C8">
        <v>34.316196894528872</v>
      </c>
      <c r="D8">
        <f t="shared" si="0"/>
        <v>28.318576342666091</v>
      </c>
      <c r="E8">
        <v>27</v>
      </c>
      <c r="F8">
        <f t="shared" si="1"/>
        <v>1.3185763426660913</v>
      </c>
    </row>
    <row r="9" spans="1:9" x14ac:dyDescent="0.3">
      <c r="A9" t="s">
        <v>91</v>
      </c>
      <c r="B9">
        <v>179.01480008258767</v>
      </c>
      <c r="C9">
        <v>79.141867484521242</v>
      </c>
      <c r="D9">
        <f t="shared" si="0"/>
        <v>120.19286307919801</v>
      </c>
      <c r="E9">
        <v>76</v>
      </c>
      <c r="F9">
        <f t="shared" si="1"/>
        <v>44.192863079198005</v>
      </c>
    </row>
    <row r="10" spans="1:9" x14ac:dyDescent="0.3">
      <c r="A10" t="s">
        <v>92</v>
      </c>
      <c r="B10">
        <v>26.654404616348021</v>
      </c>
      <c r="C10">
        <v>38.855417578564527</v>
      </c>
      <c r="D10">
        <f t="shared" si="0"/>
        <v>28.68403241948328</v>
      </c>
      <c r="E10">
        <v>35</v>
      </c>
      <c r="F10">
        <f t="shared" si="1"/>
        <v>6.3159675805167197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93</v>
      </c>
      <c r="B2">
        <v>41.693754479212089</v>
      </c>
      <c r="C2">
        <v>53.219201301349919</v>
      </c>
      <c r="D2">
        <f>B2*$I$2+C2*$I$3</f>
        <v>50.060924089793346</v>
      </c>
      <c r="E2">
        <v>48</v>
      </c>
      <c r="F2">
        <f>ABS(D2-E2)</f>
        <v>2.0609240897933461</v>
      </c>
      <c r="H2" t="s">
        <v>7</v>
      </c>
      <c r="I2">
        <v>0.4468815305494237</v>
      </c>
    </row>
    <row r="3" spans="1:9" x14ac:dyDescent="0.3">
      <c r="A3" t="s">
        <v>94</v>
      </c>
      <c r="B3">
        <v>41.383559855988551</v>
      </c>
      <c r="C3">
        <v>58.847931789493323</v>
      </c>
      <c r="D3">
        <f>B3*$I$2+C3*$I$3</f>
        <v>53.246367125127279</v>
      </c>
      <c r="E3">
        <v>37</v>
      </c>
      <c r="F3">
        <f>ABS(D3-E3)</f>
        <v>16.246367125127279</v>
      </c>
      <c r="H3" t="s">
        <v>9</v>
      </c>
      <c r="I3">
        <v>0.5905529302442567</v>
      </c>
    </row>
    <row r="4" spans="1:9" x14ac:dyDescent="0.3">
      <c r="A4" t="s">
        <v>95</v>
      </c>
      <c r="B4">
        <v>46.959619388846647</v>
      </c>
      <c r="C4">
        <v>44.266368862673126</v>
      </c>
      <c r="D4">
        <f>B4*$I$2+C4*$I$3</f>
        <v>47.127020429630925</v>
      </c>
      <c r="E4">
        <v>73</v>
      </c>
      <c r="F4">
        <f>ABS(D4-E4)</f>
        <v>25.872979570369075</v>
      </c>
    </row>
    <row r="5" spans="1:9" x14ac:dyDescent="0.3">
      <c r="A5" t="s">
        <v>22</v>
      </c>
      <c r="B5">
        <v>29.66373882110495</v>
      </c>
      <c r="C5">
        <v>54.710610505126589</v>
      </c>
      <c r="D5">
        <f>B5*$I$2+C5*$I$3</f>
        <v>45.565688355448458</v>
      </c>
      <c r="E5">
        <v>38</v>
      </c>
      <c r="F5">
        <f>ABS(D5-E5)</f>
        <v>7.565688355448458</v>
      </c>
      <c r="H5" t="s">
        <v>12</v>
      </c>
      <c r="I5" cm="1">
        <f t="array" ref="I5">(SUM(TableMUN[PP]-TableMUN[AP]))^2</f>
        <v>5.0487097934144756E-29</v>
      </c>
    </row>
    <row r="7" spans="1:9" x14ac:dyDescent="0.3">
      <c r="H7" t="s">
        <v>15</v>
      </c>
      <c r="I7">
        <f>AVERAGE(TableMUN[DIFF])/10</f>
        <v>1.293648978518454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96</v>
      </c>
      <c r="B2">
        <v>43.739728011679155</v>
      </c>
      <c r="C2">
        <v>42.400147954979481</v>
      </c>
      <c r="D2">
        <f t="shared" ref="D2:D11" si="0">B2*$I$2+C2*$I$3</f>
        <v>31.515224653954327</v>
      </c>
      <c r="E2">
        <v>59</v>
      </c>
      <c r="F2">
        <f t="shared" ref="F2:F11" si="1">ABS(D2-E2)</f>
        <v>27.484775346045673</v>
      </c>
      <c r="H2" t="s">
        <v>7</v>
      </c>
      <c r="I2">
        <v>0.38213791496954674</v>
      </c>
    </row>
    <row r="3" spans="1:9" x14ac:dyDescent="0.3">
      <c r="A3" t="s">
        <v>97</v>
      </c>
      <c r="B3">
        <v>54.261577388625106</v>
      </c>
      <c r="C3">
        <v>62.534196652005029</v>
      </c>
      <c r="D3">
        <f t="shared" si="0"/>
        <v>42.56421297385161</v>
      </c>
      <c r="E3">
        <v>20</v>
      </c>
      <c r="F3">
        <f t="shared" si="1"/>
        <v>22.56421297385161</v>
      </c>
      <c r="H3" t="s">
        <v>9</v>
      </c>
      <c r="I3">
        <v>0.34906991848121577</v>
      </c>
    </row>
    <row r="4" spans="1:9" x14ac:dyDescent="0.3">
      <c r="A4" t="s">
        <v>98</v>
      </c>
      <c r="B4">
        <v>20.235294116915671</v>
      </c>
      <c r="C4">
        <v>20.220988155612091</v>
      </c>
      <c r="D4">
        <f t="shared" si="0"/>
        <v>14.791211789722833</v>
      </c>
      <c r="E4">
        <v>34</v>
      </c>
      <c r="F4">
        <f t="shared" si="1"/>
        <v>19.208788210277167</v>
      </c>
    </row>
    <row r="5" spans="1:9" x14ac:dyDescent="0.3">
      <c r="A5" t="s">
        <v>99</v>
      </c>
      <c r="B5">
        <v>31.86473133596516</v>
      </c>
      <c r="C5">
        <v>43.735221460586899</v>
      </c>
      <c r="D5">
        <f t="shared" si="0"/>
        <v>27.443372183795496</v>
      </c>
      <c r="E5">
        <v>26</v>
      </c>
      <c r="F5">
        <f t="shared" si="1"/>
        <v>1.4433721837954963</v>
      </c>
      <c r="H5" t="s">
        <v>12</v>
      </c>
      <c r="I5" cm="1">
        <f t="array" ref="I5">(SUM(TableNEW[PP]-TableNEW[AP]))^2</f>
        <v>1.2621774483536189E-29</v>
      </c>
    </row>
    <row r="6" spans="1:9" x14ac:dyDescent="0.3">
      <c r="A6" t="s">
        <v>100</v>
      </c>
      <c r="B6">
        <v>72.368421033210069</v>
      </c>
      <c r="C6">
        <v>68.217085185033852</v>
      </c>
      <c r="D6">
        <f t="shared" si="0"/>
        <v>51.467249887835109</v>
      </c>
      <c r="E6">
        <v>36</v>
      </c>
      <c r="F6">
        <f t="shared" si="1"/>
        <v>15.467249887835109</v>
      </c>
    </row>
    <row r="7" spans="1:9" x14ac:dyDescent="0.3">
      <c r="A7" t="s">
        <v>101</v>
      </c>
      <c r="B7">
        <v>50.395833383234908</v>
      </c>
      <c r="C7">
        <v>26.508351127690432</v>
      </c>
      <c r="D7">
        <f t="shared" si="0"/>
        <v>28.51142665943641</v>
      </c>
      <c r="E7">
        <v>25</v>
      </c>
      <c r="F7">
        <f t="shared" si="1"/>
        <v>3.5114266594364096</v>
      </c>
      <c r="H7" t="s">
        <v>15</v>
      </c>
      <c r="I7">
        <f>AVERAGE(TableNEW[DIFF])/10</f>
        <v>1.4499232109088165</v>
      </c>
    </row>
    <row r="8" spans="1:9" x14ac:dyDescent="0.3">
      <c r="A8" t="s">
        <v>102</v>
      </c>
      <c r="B8">
        <v>30.489583360062213</v>
      </c>
      <c r="C8">
        <v>33.076975660390403</v>
      </c>
      <c r="D8">
        <f t="shared" si="0"/>
        <v>23.197403010881999</v>
      </c>
      <c r="E8">
        <v>49</v>
      </c>
      <c r="F8">
        <f t="shared" si="1"/>
        <v>25.802596989118001</v>
      </c>
    </row>
    <row r="9" spans="1:9" x14ac:dyDescent="0.3">
      <c r="A9" t="s">
        <v>103</v>
      </c>
      <c r="B9">
        <v>61.285714285714299</v>
      </c>
      <c r="C9">
        <v>45.643142922747366</v>
      </c>
      <c r="D9">
        <f t="shared" si="0"/>
        <v>39.352243253832128</v>
      </c>
      <c r="E9">
        <v>32</v>
      </c>
      <c r="F9">
        <f t="shared" si="1"/>
        <v>7.3522432538321283</v>
      </c>
    </row>
    <row r="10" spans="1:9" x14ac:dyDescent="0.3">
      <c r="A10" t="s">
        <v>104</v>
      </c>
      <c r="B10">
        <v>43.605323144305437</v>
      </c>
      <c r="C10">
        <v>45.545999774471973</v>
      </c>
      <c r="D10">
        <f t="shared" si="0"/>
        <v>32.561985696358605</v>
      </c>
      <c r="E10">
        <v>27</v>
      </c>
      <c r="F10">
        <f t="shared" si="1"/>
        <v>5.5619856963586045</v>
      </c>
    </row>
    <row r="11" spans="1:9" x14ac:dyDescent="0.3">
      <c r="A11" t="s">
        <v>105</v>
      </c>
      <c r="B11">
        <v>66.788561454837861</v>
      </c>
      <c r="C11">
        <v>46.04587052960062</v>
      </c>
      <c r="D11">
        <f t="shared" si="0"/>
        <v>41.595669890331479</v>
      </c>
      <c r="E11">
        <v>25</v>
      </c>
      <c r="F11">
        <f t="shared" si="1"/>
        <v>16.595669890331479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106</v>
      </c>
      <c r="B2">
        <v>36.397748004335277</v>
      </c>
      <c r="C2">
        <v>29.942646674423223</v>
      </c>
      <c r="D2">
        <f>B2*$I$2+C2*$I$3</f>
        <v>28.149218039454485</v>
      </c>
      <c r="E2">
        <v>23</v>
      </c>
      <c r="F2">
        <f>ABS(D2-E2)</f>
        <v>5.1492180394544853</v>
      </c>
      <c r="H2" t="s">
        <v>7</v>
      </c>
      <c r="I2">
        <v>0.42350630319752769</v>
      </c>
    </row>
    <row r="3" spans="1:9" x14ac:dyDescent="0.3">
      <c r="A3" t="s">
        <v>107</v>
      </c>
      <c r="B3">
        <v>46.043478220507183</v>
      </c>
      <c r="C3">
        <v>43.721917698734913</v>
      </c>
      <c r="D3">
        <f>B3*$I$2+C3*$I$3</f>
        <v>38.094539504381601</v>
      </c>
      <c r="E3">
        <v>27</v>
      </c>
      <c r="F3">
        <f>ABS(D3-E3)</f>
        <v>11.094539504381601</v>
      </c>
      <c r="H3" t="s">
        <v>9</v>
      </c>
      <c r="I3">
        <v>0.42529781939086259</v>
      </c>
    </row>
    <row r="4" spans="1:9" x14ac:dyDescent="0.3">
      <c r="A4" t="s">
        <v>108</v>
      </c>
      <c r="B4">
        <v>22.190399628614795</v>
      </c>
      <c r="C4">
        <v>31.409679838251407</v>
      </c>
      <c r="D4">
        <f>B4*$I$2+C4*$I$3</f>
        <v>22.756242456163911</v>
      </c>
      <c r="E4">
        <v>39</v>
      </c>
      <c r="F4">
        <f>ABS(D4-E4)</f>
        <v>16.243757543836089</v>
      </c>
    </row>
    <row r="5" spans="1:9" x14ac:dyDescent="0.3">
      <c r="H5" t="s">
        <v>12</v>
      </c>
      <c r="I5" cm="1">
        <f t="array" ref="I5">(SUM(TableNFO[PP]-TableNFO[AP]))^2</f>
        <v>1.2621774483536189E-29</v>
      </c>
    </row>
    <row r="7" spans="1:9" x14ac:dyDescent="0.3">
      <c r="H7" t="s">
        <v>15</v>
      </c>
      <c r="I7">
        <f>AVERAGE(TableNFO[DIFF])/10</f>
        <v>1.0829171695890727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109</v>
      </c>
      <c r="B2">
        <v>39.249483239461654</v>
      </c>
      <c r="C2">
        <v>41.801670605940899</v>
      </c>
      <c r="D2">
        <f>B2*$I$2+C2*$I$3</f>
        <v>29.14544700998545</v>
      </c>
      <c r="E2">
        <v>25</v>
      </c>
      <c r="F2">
        <f>ABS(D2-E2)</f>
        <v>4.1454470099854497</v>
      </c>
      <c r="H2" t="s">
        <v>7</v>
      </c>
      <c r="I2">
        <v>0.34210039256017083</v>
      </c>
    </row>
    <row r="3" spans="1:9" x14ac:dyDescent="0.3">
      <c r="A3" t="s">
        <v>110</v>
      </c>
      <c r="B3">
        <v>29.92070899441439</v>
      </c>
      <c r="C3">
        <v>25.092368361136522</v>
      </c>
      <c r="D3">
        <f>B3*$I$2+C3*$I$3</f>
        <v>19.671070144695406</v>
      </c>
      <c r="E3">
        <v>20</v>
      </c>
      <c r="F3">
        <f>ABS(D3-E3)</f>
        <v>0.32892985530459384</v>
      </c>
      <c r="H3" t="s">
        <v>9</v>
      </c>
      <c r="I3">
        <v>0.3760180671761929</v>
      </c>
    </row>
    <row r="4" spans="1:9" x14ac:dyDescent="0.3">
      <c r="A4" t="s">
        <v>111</v>
      </c>
      <c r="B4">
        <v>24.819879759749696</v>
      </c>
      <c r="C4">
        <v>36.414718949652283</v>
      </c>
      <c r="D4">
        <f>B4*$I$2+C4*$I$3</f>
        <v>22.183482845319148</v>
      </c>
      <c r="E4">
        <v>26</v>
      </c>
      <c r="F4">
        <f>ABS(D4-E4)</f>
        <v>3.8165171546808523</v>
      </c>
    </row>
    <row r="5" spans="1:9" x14ac:dyDescent="0.3">
      <c r="H5" t="s">
        <v>12</v>
      </c>
      <c r="I5" cm="1">
        <f t="array" ref="I5">(SUM(TableSOU[PP]-TableSOU[AP]))^2</f>
        <v>1.2621774483536189E-29</v>
      </c>
    </row>
    <row r="7" spans="1:9" x14ac:dyDescent="0.3">
      <c r="H7" t="s">
        <v>15</v>
      </c>
      <c r="I7">
        <f>AVERAGE(TableSOU[DIFF])/10</f>
        <v>0.2763631339990299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112</v>
      </c>
      <c r="B2">
        <v>63.342650912015529</v>
      </c>
      <c r="C2">
        <v>41.802262244351439</v>
      </c>
      <c r="D2">
        <f t="shared" ref="D2:D9" si="0">B2*$I$2+C2*$I$3</f>
        <v>36.1325755263871</v>
      </c>
      <c r="E2">
        <v>35</v>
      </c>
      <c r="F2">
        <f t="shared" ref="F2:F9" si="1">ABS(D2-E2)</f>
        <v>1.1325755263871002</v>
      </c>
      <c r="H2" t="s">
        <v>7</v>
      </c>
      <c r="I2">
        <v>0.38799896399288392</v>
      </c>
    </row>
    <row r="3" spans="1:9" x14ac:dyDescent="0.3">
      <c r="A3" t="s">
        <v>113</v>
      </c>
      <c r="B3">
        <v>106.71167310182629</v>
      </c>
      <c r="C3">
        <v>65.414523809836425</v>
      </c>
      <c r="D3">
        <f t="shared" si="0"/>
        <v>59.487014310480689</v>
      </c>
      <c r="E3">
        <v>70</v>
      </c>
      <c r="F3">
        <f t="shared" si="1"/>
        <v>10.512985689519311</v>
      </c>
      <c r="H3" t="s">
        <v>9</v>
      </c>
      <c r="I3">
        <v>0.27643701502120605</v>
      </c>
    </row>
    <row r="4" spans="1:9" x14ac:dyDescent="0.3">
      <c r="A4" t="s">
        <v>114</v>
      </c>
      <c r="B4">
        <v>76.52380949541714</v>
      </c>
      <c r="C4">
        <v>48.889019720682526</v>
      </c>
      <c r="D4">
        <f t="shared" si="0"/>
        <v>43.205893483909016</v>
      </c>
      <c r="E4">
        <v>55</v>
      </c>
      <c r="F4">
        <f t="shared" si="1"/>
        <v>11.794106516090984</v>
      </c>
    </row>
    <row r="5" spans="1:9" x14ac:dyDescent="0.3">
      <c r="A5" t="s">
        <v>115</v>
      </c>
      <c r="B5">
        <v>30.267452760091903</v>
      </c>
      <c r="C5">
        <v>35.037360460097666</v>
      </c>
      <c r="D5">
        <f t="shared" si="0"/>
        <v>21.429363653430642</v>
      </c>
      <c r="E5">
        <v>26</v>
      </c>
      <c r="F5">
        <f t="shared" si="1"/>
        <v>4.5706363465693585</v>
      </c>
      <c r="H5" t="s">
        <v>12</v>
      </c>
      <c r="I5" cm="1">
        <f t="array" ref="I5">(SUM(TableTOT[PP]-TableTOT[AP]))^2</f>
        <v>5.0487097934144756E-29</v>
      </c>
    </row>
    <row r="6" spans="1:9" x14ac:dyDescent="0.3">
      <c r="A6" t="s">
        <v>116</v>
      </c>
      <c r="B6">
        <v>31.766891206013081</v>
      </c>
      <c r="C6">
        <v>34.048586109725967</v>
      </c>
      <c r="D6">
        <f t="shared" si="0"/>
        <v>21.737810387072876</v>
      </c>
      <c r="E6">
        <v>38</v>
      </c>
      <c r="F6">
        <f t="shared" si="1"/>
        <v>16.262189612927124</v>
      </c>
    </row>
    <row r="7" spans="1:9" x14ac:dyDescent="0.3">
      <c r="A7" t="s">
        <v>117</v>
      </c>
      <c r="B7">
        <v>29.869536585252266</v>
      </c>
      <c r="C7">
        <v>36.385869615934595</v>
      </c>
      <c r="D7">
        <f t="shared" si="0"/>
        <v>21.647750435605179</v>
      </c>
      <c r="E7">
        <v>24</v>
      </c>
      <c r="F7">
        <f t="shared" si="1"/>
        <v>2.3522495643948211</v>
      </c>
      <c r="H7" t="s">
        <v>15</v>
      </c>
      <c r="I7">
        <f>AVERAGE(TableTOT[DIFF])/10</f>
        <v>1.1373041932375401</v>
      </c>
    </row>
    <row r="8" spans="1:9" x14ac:dyDescent="0.3">
      <c r="A8" t="s">
        <v>118</v>
      </c>
      <c r="B8">
        <v>90.137931006325616</v>
      </c>
      <c r="C8">
        <v>46.924427303344089</v>
      </c>
      <c r="D8">
        <f t="shared" si="0"/>
        <v>47.94507246223241</v>
      </c>
      <c r="E8">
        <v>21</v>
      </c>
      <c r="F8">
        <f t="shared" si="1"/>
        <v>26.94507246223241</v>
      </c>
    </row>
    <row r="9" spans="1:9" x14ac:dyDescent="0.3">
      <c r="A9" t="s">
        <v>119</v>
      </c>
      <c r="B9">
        <v>68.857142857142847</v>
      </c>
      <c r="C9">
        <v>45.934585308073068</v>
      </c>
      <c r="D9">
        <f t="shared" si="0"/>
        <v>39.414519740882099</v>
      </c>
      <c r="E9">
        <v>22</v>
      </c>
      <c r="F9">
        <f t="shared" si="1"/>
        <v>17.414519740882099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120</v>
      </c>
      <c r="B2">
        <v>31.548241669278696</v>
      </c>
      <c r="C2">
        <v>32.383465064637548</v>
      </c>
      <c r="D2">
        <f t="shared" ref="D2:D10" si="0">B2*$I$2+C2*$I$3</f>
        <v>27.449657498551446</v>
      </c>
      <c r="E2">
        <v>25</v>
      </c>
      <c r="F2">
        <f t="shared" ref="F2:F10" si="1">ABS(D2-E2)</f>
        <v>2.4496574985514457</v>
      </c>
      <c r="H2" t="s">
        <v>7</v>
      </c>
      <c r="I2">
        <v>0.48128574879761871</v>
      </c>
    </row>
    <row r="3" spans="1:9" x14ac:dyDescent="0.3">
      <c r="A3" t="s">
        <v>121</v>
      </c>
      <c r="B3">
        <v>54.481259885121133</v>
      </c>
      <c r="C3">
        <v>35.711464340997921</v>
      </c>
      <c r="D3">
        <f t="shared" si="0"/>
        <v>39.747544108374491</v>
      </c>
      <c r="E3">
        <v>32</v>
      </c>
      <c r="F3">
        <f t="shared" si="1"/>
        <v>7.7475441083744911</v>
      </c>
      <c r="H3" t="s">
        <v>9</v>
      </c>
      <c r="I3">
        <v>0.37877164654929729</v>
      </c>
    </row>
    <row r="4" spans="1:9" x14ac:dyDescent="0.3">
      <c r="A4" t="s">
        <v>122</v>
      </c>
      <c r="B4">
        <v>31.688578517765944</v>
      </c>
      <c r="C4">
        <v>32.892909667432527</v>
      </c>
      <c r="D4">
        <f t="shared" si="0"/>
        <v>27.710162794785834</v>
      </c>
      <c r="E4">
        <v>28</v>
      </c>
      <c r="F4">
        <f t="shared" si="1"/>
        <v>0.289837205214166</v>
      </c>
    </row>
    <row r="5" spans="1:9" x14ac:dyDescent="0.3">
      <c r="A5" t="s">
        <v>123</v>
      </c>
      <c r="B5">
        <v>35.785620691007523</v>
      </c>
      <c r="C5">
        <v>27.126237785990234</v>
      </c>
      <c r="D5">
        <f t="shared" si="0"/>
        <v>27.497759001346399</v>
      </c>
      <c r="E5">
        <v>29</v>
      </c>
      <c r="F5">
        <f t="shared" si="1"/>
        <v>1.5022409986536012</v>
      </c>
      <c r="H5" t="s">
        <v>12</v>
      </c>
      <c r="I5" cm="1">
        <f t="array" ref="I5">(SUM(TableWHU[PP]-TableWHU[AP]))^2</f>
        <v>5.0487097934144756E-29</v>
      </c>
    </row>
    <row r="6" spans="1:9" x14ac:dyDescent="0.3">
      <c r="A6" t="s">
        <v>124</v>
      </c>
      <c r="B6">
        <v>28.706005305215363</v>
      </c>
      <c r="C6">
        <v>25.061493395454551</v>
      </c>
      <c r="D6">
        <f t="shared" si="0"/>
        <v>23.308374376689649</v>
      </c>
      <c r="E6">
        <v>26</v>
      </c>
      <c r="F6">
        <f t="shared" si="1"/>
        <v>2.691625623310351</v>
      </c>
    </row>
    <row r="7" spans="1:9" x14ac:dyDescent="0.3">
      <c r="A7" t="s">
        <v>125</v>
      </c>
      <c r="B7">
        <v>33.9339259264272</v>
      </c>
      <c r="C7">
        <v>33.087314785674224</v>
      </c>
      <c r="D7">
        <f t="shared" si="0"/>
        <v>28.864451650408178</v>
      </c>
      <c r="E7">
        <v>36</v>
      </c>
      <c r="F7">
        <f t="shared" si="1"/>
        <v>7.1355483495918222</v>
      </c>
      <c r="H7" t="s">
        <v>15</v>
      </c>
      <c r="I7">
        <f>AVERAGE(TableWHU[DIFF])/10</f>
        <v>0.32155562400057053</v>
      </c>
    </row>
    <row r="8" spans="1:9" x14ac:dyDescent="0.3">
      <c r="A8" t="s">
        <v>126</v>
      </c>
      <c r="B8">
        <v>42.154811997921925</v>
      </c>
      <c r="C8">
        <v>45.900268022048991</v>
      </c>
      <c r="D8">
        <f t="shared" si="0"/>
        <v>37.674230353608252</v>
      </c>
      <c r="E8">
        <v>39</v>
      </c>
      <c r="F8">
        <f t="shared" si="1"/>
        <v>1.3257696463917483</v>
      </c>
    </row>
    <row r="9" spans="1:9" x14ac:dyDescent="0.3">
      <c r="A9" t="s">
        <v>127</v>
      </c>
      <c r="B9">
        <v>56.729907272704445</v>
      </c>
      <c r="C9">
        <v>28.960735768032265</v>
      </c>
      <c r="D9">
        <f t="shared" si="0"/>
        <v>38.27280147309974</v>
      </c>
      <c r="E9">
        <v>34</v>
      </c>
      <c r="F9">
        <f t="shared" si="1"/>
        <v>4.2728014730997401</v>
      </c>
    </row>
    <row r="10" spans="1:9" x14ac:dyDescent="0.3">
      <c r="A10" t="s">
        <v>128</v>
      </c>
      <c r="B10">
        <v>53.2136343394763</v>
      </c>
      <c r="C10">
        <v>28.68233404689262</v>
      </c>
      <c r="D10">
        <f t="shared" si="0"/>
        <v>36.475018743136019</v>
      </c>
      <c r="E10">
        <v>38</v>
      </c>
      <c r="F10">
        <f t="shared" si="1"/>
        <v>1.5249812568639811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129</v>
      </c>
      <c r="B2">
        <v>41.566959312455076</v>
      </c>
      <c r="C2">
        <v>39.526441243881337</v>
      </c>
      <c r="D2">
        <f>B2*$I$2+C2*$I$3</f>
        <v>29.348276147978311</v>
      </c>
      <c r="E2">
        <v>43</v>
      </c>
      <c r="F2">
        <f>ABS(D2-E2)</f>
        <v>13.651723852021689</v>
      </c>
      <c r="H2" t="s">
        <v>7</v>
      </c>
      <c r="I2">
        <v>0.38652586521506371</v>
      </c>
    </row>
    <row r="3" spans="1:9" x14ac:dyDescent="0.3">
      <c r="A3" t="s">
        <v>130</v>
      </c>
      <c r="B3">
        <v>34.480516871001385</v>
      </c>
      <c r="C3">
        <v>51.648120195285834</v>
      </c>
      <c r="D3">
        <f>B3*$I$2+C3*$I$3</f>
        <v>30.682277656867129</v>
      </c>
      <c r="E3">
        <v>28</v>
      </c>
      <c r="F3">
        <f>ABS(D3-E3)</f>
        <v>2.6822776568671287</v>
      </c>
      <c r="H3" t="s">
        <v>9</v>
      </c>
      <c r="I3">
        <v>0.3360173801993428</v>
      </c>
    </row>
    <row r="4" spans="1:9" x14ac:dyDescent="0.3">
      <c r="A4" t="s">
        <v>131</v>
      </c>
      <c r="B4">
        <v>55.239092387278909</v>
      </c>
      <c r="C4">
        <v>30.920769203140885</v>
      </c>
      <c r="D4">
        <f>B4*$I$2+C4*$I$3</f>
        <v>31.741253840075743</v>
      </c>
      <c r="E4">
        <v>20</v>
      </c>
      <c r="F4">
        <f>ABS(D4-E4)</f>
        <v>11.741253840075743</v>
      </c>
    </row>
    <row r="5" spans="1:9" x14ac:dyDescent="0.3">
      <c r="A5" t="s">
        <v>132</v>
      </c>
      <c r="B5">
        <v>47.012562033156634</v>
      </c>
      <c r="C5">
        <v>32.904908468355863</v>
      </c>
      <c r="D5">
        <f>B5*$I$2+C5*$I$3</f>
        <v>29.228192355078829</v>
      </c>
      <c r="E5">
        <v>30</v>
      </c>
      <c r="F5">
        <f>ABS(D5-E5)</f>
        <v>0.77180764492117149</v>
      </c>
      <c r="H5" t="s">
        <v>12</v>
      </c>
      <c r="I5" cm="1">
        <f t="array" ref="I5">(SUM(TableWOL[PP]-TableWOL[AP]))^2</f>
        <v>1.135959703518257E-28</v>
      </c>
    </row>
    <row r="7" spans="1:9" x14ac:dyDescent="0.3">
      <c r="H7" t="s">
        <v>15</v>
      </c>
      <c r="I7">
        <f>AVERAGE(TableWOL[DIFF])/10</f>
        <v>0.72117657484714326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2023-05-05T18:00:37Z</dcterms:created>
  <dcterms:modified xsi:type="dcterms:W3CDTF">2023-05-05T18:09:22Z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37efc638-8924-4dfa-a3f1-a0848aecd7a0</vt:lpwstr>
  </property>
</Properties>
</file>