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32518054-6228-43DF-A420-A33DF1F04BEF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F5" i="20" s="1"/>
  <c r="D4" i="20"/>
  <c r="F4" i="20" s="1"/>
  <c r="D3" i="20"/>
  <c r="F3" i="20" s="1"/>
  <c r="D2" i="20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4" i="17"/>
  <c r="F4" i="17" s="1"/>
  <c r="D3" i="17"/>
  <c r="F3" i="17" s="1"/>
  <c r="D2" i="17"/>
  <c r="F2" i="17" s="1"/>
  <c r="D4" i="16"/>
  <c r="F4" i="16" s="1"/>
  <c r="D3" i="16"/>
  <c r="F3" i="16" s="1"/>
  <c r="D2" i="16"/>
  <c r="F2" i="16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4" i="14"/>
  <c r="F4" i="14" s="1"/>
  <c r="D3" i="14"/>
  <c r="F3" i="14" s="1"/>
  <c r="D2" i="14"/>
  <c r="F2" i="14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9" i="12"/>
  <c r="F9" i="12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F2" i="12" s="1"/>
  <c r="D6" i="11"/>
  <c r="F6" i="11" s="1"/>
  <c r="D5" i="11"/>
  <c r="D4" i="11"/>
  <c r="F4" i="11" s="1"/>
  <c r="D3" i="11"/>
  <c r="F3" i="11" s="1"/>
  <c r="D2" i="11"/>
  <c r="F2" i="11" s="1"/>
  <c r="D5" i="10"/>
  <c r="F5" i="10" s="1"/>
  <c r="D4" i="10"/>
  <c r="F4" i="10" s="1"/>
  <c r="D3" i="10"/>
  <c r="F3" i="10" s="1"/>
  <c r="D2" i="10"/>
  <c r="F2" i="10" s="1"/>
  <c r="D5" i="9"/>
  <c r="D4" i="9"/>
  <c r="F4" i="9" s="1"/>
  <c r="D3" i="9"/>
  <c r="F3" i="9" s="1"/>
  <c r="D2" i="9"/>
  <c r="F2" i="9" s="1"/>
  <c r="D6" i="8"/>
  <c r="F6" i="8" s="1"/>
  <c r="D5" i="8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2" i="6"/>
  <c r="F2" i="6" s="1"/>
  <c r="I7" i="6" s="1"/>
  <c r="D7" i="5"/>
  <c r="F7" i="5" s="1"/>
  <c r="D6" i="5"/>
  <c r="F6" i="5" s="1"/>
  <c r="D5" i="5"/>
  <c r="F5" i="5" s="1"/>
  <c r="D4" i="5"/>
  <c r="F4" i="5" s="1"/>
  <c r="D3" i="5"/>
  <c r="F3" i="5" s="1"/>
  <c r="D2" i="5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F2" i="2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20" l="1" a="1"/>
  <c r="I5" i="20" s="1"/>
  <c r="F2" i="20"/>
  <c r="I7" i="20" s="1"/>
  <c r="I5" i="19" a="1"/>
  <c r="I5" i="19" s="1"/>
  <c r="I7" i="19"/>
  <c r="I5" i="18" a="1"/>
  <c r="I5" i="18" s="1"/>
  <c r="I5" i="17" a="1"/>
  <c r="I5" i="17" s="1"/>
  <c r="I7" i="16"/>
  <c r="I5" i="16" a="1"/>
  <c r="I5" i="16" s="1"/>
  <c r="I5" i="15" a="1"/>
  <c r="I5" i="15" s="1"/>
  <c r="I5" i="14" a="1"/>
  <c r="I5" i="14" s="1"/>
  <c r="I5" i="13" a="1"/>
  <c r="I5" i="13" s="1"/>
  <c r="I5" i="12" a="1"/>
  <c r="I5" i="12" s="1"/>
  <c r="I5" i="11" a="1"/>
  <c r="I5" i="11" s="1"/>
  <c r="I5" i="10" a="1"/>
  <c r="I5" i="10" s="1"/>
  <c r="I5" i="9" a="1"/>
  <c r="I5" i="9" s="1"/>
  <c r="I5" i="8" a="1"/>
  <c r="I5" i="8" s="1"/>
  <c r="I5" i="7" a="1"/>
  <c r="I5" i="7" s="1"/>
  <c r="I5" i="6"/>
  <c r="I5" i="5" a="1"/>
  <c r="I5" i="5" s="1"/>
  <c r="F2" i="5"/>
  <c r="I7" i="5" s="1"/>
  <c r="I5" i="4" a="1"/>
  <c r="I5" i="4" s="1"/>
  <c r="I5" i="3" a="1"/>
  <c r="I5" i="3" s="1"/>
  <c r="I5" i="2" a="1"/>
  <c r="I5" i="2" s="1"/>
  <c r="I5" i="1" a="1"/>
  <c r="I5" i="1" s="1"/>
  <c r="I7" i="15"/>
  <c r="I7" i="18"/>
  <c r="I7" i="14"/>
  <c r="I7" i="17"/>
  <c r="I7" i="4"/>
  <c r="I7" i="7"/>
  <c r="I7" i="10"/>
  <c r="F5" i="3"/>
  <c r="I7" i="3" s="1"/>
  <c r="F5" i="1"/>
  <c r="I7" i="1" s="1"/>
  <c r="F5" i="11"/>
  <c r="I7" i="11" s="1"/>
  <c r="F5" i="12"/>
  <c r="I7" i="12" s="1"/>
  <c r="F5" i="2"/>
  <c r="I7" i="2" s="1"/>
  <c r="F5" i="8"/>
  <c r="I7" i="8" s="1"/>
  <c r="F5" i="9"/>
  <c r="I7" i="9" s="1"/>
  <c r="F5" i="13"/>
  <c r="I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<sst xmlns="http://schemas.openxmlformats.org/spreadsheetml/2006/main" count="320" uniqueCount="130">
  <si>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</si>
  <si>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</si>
  <si>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</si>
  <si>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</si>
  <si>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</si>
  <si>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</si>
  <si>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</si>
  <si>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</si>
  <si>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</si>
  <si>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</si>
  <si>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</si>
  <si>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</si>
  <si>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</si>
  <si>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</si>
  <si>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</si>
  <si>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</si>
  <si>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</si>
  <si>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</si>
  <si>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</si>
  <si>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</si>
  <si>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Trossard</t>
  </si>
  <si>
    <t>Jorginho</t>
  </si>
  <si>
    <t>Zinchenko</t>
  </si>
  <si>
    <t>Martínez</t>
  </si>
  <si>
    <t>McGinn</t>
  </si>
  <si>
    <t>Watkins</t>
  </si>
  <si>
    <t>Buendía</t>
  </si>
  <si>
    <t>Konsa</t>
  </si>
  <si>
    <t>Bailey</t>
  </si>
  <si>
    <t>Douglas Luiz</t>
  </si>
  <si>
    <t>Ramsey</t>
  </si>
  <si>
    <t>Smith</t>
  </si>
  <si>
    <t>Lerma</t>
  </si>
  <si>
    <t>Solanke</t>
  </si>
  <si>
    <t>Billing</t>
  </si>
  <si>
    <t>Toney</t>
  </si>
  <si>
    <t>Raya</t>
  </si>
  <si>
    <t>Dasilva</t>
  </si>
  <si>
    <t>Henry</t>
  </si>
  <si>
    <t>Janelt</t>
  </si>
  <si>
    <t>Jensen</t>
  </si>
  <si>
    <t>Mbeumo</t>
  </si>
  <si>
    <t>Mee</t>
  </si>
  <si>
    <t>Groß</t>
  </si>
  <si>
    <t>Dunk</t>
  </si>
  <si>
    <t>March</t>
  </si>
  <si>
    <t>Veltman</t>
  </si>
  <si>
    <t>Mac Allister</t>
  </si>
  <si>
    <t>Caicedo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</si>
  <si>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</si>
  <si>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</si>
  <si>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</si>
  <si>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</si>
  <si>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</si>
  <si>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</si>
  <si>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</si>
  <si>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</si>
  <si>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</si>
  <si>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</si>
  <si>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</si>
  <si>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</si>
  <si>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</si>
  <si>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Tarkowski</t>
  </si>
  <si>
    <t>McNeil</t>
  </si>
  <si>
    <t>Ream</t>
  </si>
  <si>
    <t>Reed</t>
  </si>
  <si>
    <t>Robinson</t>
  </si>
  <si>
    <t>Andreas</t>
  </si>
  <si>
    <t>Rodrigo</t>
  </si>
  <si>
    <t>Harrison</t>
  </si>
  <si>
    <t>Roca</t>
  </si>
  <si>
    <t>Aaronson</t>
  </si>
  <si>
    <t>Ward</t>
  </si>
  <si>
    <t>Vardy</t>
  </si>
  <si>
    <t>Castagne</t>
  </si>
  <si>
    <t>Maddison</t>
  </si>
  <si>
    <t>Daka</t>
  </si>
  <si>
    <t>Henderson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</si>
  <si>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</si>
  <si>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</si>
  <si>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</si>
  <si>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</si>
  <si>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</si>
  <si>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</si>
  <si>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</si>
  <si>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</si>
  <si>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</si>
  <si>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Ederson</t>
  </si>
  <si>
    <t>Bernardo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</si>
  <si>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</si>
  <si>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</si>
  <si>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</si>
  <si>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</si>
  <si>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</si>
  <si>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</si>
  <si>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</si>
  <si>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</si>
  <si>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Trippier</t>
  </si>
  <si>
    <t>Schär</t>
  </si>
  <si>
    <t>Almirón</t>
  </si>
  <si>
    <t>S.Longstaff</t>
  </si>
  <si>
    <t>Joelinton</t>
  </si>
  <si>
    <t>Willock</t>
  </si>
  <si>
    <t>Bruno Guimarães</t>
  </si>
  <si>
    <t>Pope</t>
  </si>
  <si>
    <t>Wood</t>
  </si>
  <si>
    <t>Johnson</t>
  </si>
  <si>
    <t>Gibbs-White</t>
  </si>
  <si>
    <t>Ward-Prowse</t>
  </si>
  <si>
    <t>Perraud</t>
  </si>
  <si>
    <t>Bazunu</t>
  </si>
  <si>
    <t>Kane</t>
  </si>
  <si>
    <t>Son</t>
  </si>
  <si>
    <t>Dier</t>
  </si>
  <si>
    <t>Davies</t>
  </si>
  <si>
    <t>Højbjerg</t>
  </si>
  <si>
    <t>Romero</t>
  </si>
  <si>
    <t>Perišić</t>
  </si>
  <si>
    <t>Ings</t>
  </si>
  <si>
    <t>Fabianski</t>
  </si>
  <si>
    <t>Cresswell</t>
  </si>
  <si>
    <t>Antonio</t>
  </si>
  <si>
    <t>Benrahma</t>
  </si>
  <si>
    <t>Bowen</t>
  </si>
  <si>
    <t>Rice</t>
  </si>
  <si>
    <t>Soucek</t>
  </si>
  <si>
    <t>Sá</t>
  </si>
  <si>
    <t>Neves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</si>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</sst>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4">
  <autoFilter ref="A1:F14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>
  <autoFilter ref="A1:F9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9">
  <autoFilter ref="A1:F9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2">
  <autoFilter ref="A1:F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5">
  <autoFilter ref="A1:F5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5">
  <autoFilter ref="A1:F5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6">
  <autoFilter ref="A1:F6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9">
  <autoFilter ref="A1:F9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9">
  <autoFilter ref="A1:F9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0">
  <autoFilter ref="A1:F10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4">
  <autoFilter ref="A1:F4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4">
  <autoFilter ref="A1:F4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8">
  <autoFilter ref="A1:F8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>
  <autoFilter ref="A1:F9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5">
  <autoFilter ref="A1:F5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48.164179077049653</v>
      </c>
      <c r="C2">
        <v>32.035200354615668</v>
      </c>
      <c r="D2">
        <f t="shared" ref="D2:D14" si="0">B2*$I$2+C2*$I$3</f>
        <v>34.63176557242965</v>
      </c>
      <c r="E2">
        <v>45</v>
      </c>
      <c r="F2">
        <f t="shared" ref="F2:F14" si="1">ABS(D2-E2)</f>
        <v>10.36823442757035</v>
      </c>
      <c r="H2" t="s">
        <v>7</v>
      </c>
      <c r="I2">
        <v>0.4247067636784318</v>
      </c>
    </row>
    <row r="3" spans="1:9" x14ac:dyDescent="0.3">
      <c r="A3" t="s">
        <v>8</v>
      </c>
      <c r="B3">
        <v>35.375</v>
      </c>
      <c r="C3">
        <v>27.328479498285493</v>
      </c>
      <c r="D3">
        <f t="shared" si="0"/>
        <v>27.1173118699122</v>
      </c>
      <c r="E3">
        <v>22</v>
      </c>
      <c r="F3">
        <f t="shared" si="1"/>
        <v>5.1173118699122</v>
      </c>
      <c r="H3" t="s">
        <v>9</v>
      </c>
      <c r="I3">
        <v>0.4425167563949679</v>
      </c>
    </row>
    <row r="4" spans="1:9" x14ac:dyDescent="0.3">
      <c r="A4" t="s">
        <v>10</v>
      </c>
      <c r="B4">
        <v>42.153236792839138</v>
      </c>
      <c r="C4">
        <v>55.97874182938196</v>
      </c>
      <c r="D4">
        <f t="shared" si="0"/>
        <v>42.674296038266725</v>
      </c>
      <c r="E4">
        <v>63</v>
      </c>
      <c r="F4">
        <f t="shared" si="1"/>
        <v>20.325703961733275</v>
      </c>
    </row>
    <row r="5" spans="1:9" x14ac:dyDescent="0.3">
      <c r="A5" t="s">
        <v>11</v>
      </c>
      <c r="B5">
        <v>62.869565181540509</v>
      </c>
      <c r="C5">
        <v>46.816522019296173</v>
      </c>
      <c r="D5">
        <f t="shared" si="0"/>
        <v>47.418225031794826</v>
      </c>
      <c r="E5">
        <v>44</v>
      </c>
      <c r="F5">
        <f t="shared" si="1"/>
        <v>3.418225031794826</v>
      </c>
      <c r="H5" t="s">
        <v>12</v>
      </c>
      <c r="I5" cm="1">
        <f t="array" ref="I5">(SUM(TableARS[PP]-TableARS[AP]))^2</f>
        <v>2.0194839173657902E-28</v>
      </c>
    </row>
    <row r="6" spans="1:9" x14ac:dyDescent="0.3">
      <c r="A6" t="s">
        <v>13</v>
      </c>
      <c r="B6">
        <v>13.874996972910553</v>
      </c>
      <c r="C6">
        <v>42.462767332319665</v>
      </c>
      <c r="D6">
        <f t="shared" si="0"/>
        <v>24.683291127865182</v>
      </c>
      <c r="E6">
        <v>30</v>
      </c>
      <c r="F6">
        <f t="shared" si="1"/>
        <v>5.3167088721348179</v>
      </c>
    </row>
    <row r="7" spans="1:9" x14ac:dyDescent="0.3">
      <c r="A7" t="s">
        <v>14</v>
      </c>
      <c r="B7">
        <v>41.252432503157983</v>
      </c>
      <c r="C7">
        <v>60.651814973974126</v>
      </c>
      <c r="D7">
        <f t="shared" si="0"/>
        <v>44.359631534029951</v>
      </c>
      <c r="E7">
        <v>45</v>
      </c>
      <c r="F7">
        <f t="shared" si="1"/>
        <v>0.64036846597004882</v>
      </c>
      <c r="H7" t="s">
        <v>15</v>
      </c>
      <c r="I7">
        <f>AVERAGE(TableARS[DIFF])/10</f>
        <v>0.71305608461313086</v>
      </c>
    </row>
    <row r="8" spans="1:9" x14ac:dyDescent="0.3">
      <c r="A8" t="s">
        <v>16</v>
      </c>
      <c r="B8">
        <v>56.349206428244202</v>
      </c>
      <c r="C8">
        <v>40.838858425158321</v>
      </c>
      <c r="D8">
        <f t="shared" si="0"/>
        <v>42.003768263161845</v>
      </c>
      <c r="E8">
        <v>31</v>
      </c>
      <c r="F8">
        <f t="shared" si="1"/>
        <v>11.003768263161845</v>
      </c>
    </row>
    <row r="9" spans="1:9" x14ac:dyDescent="0.3">
      <c r="A9" t="s">
        <v>17</v>
      </c>
      <c r="B9">
        <v>42.457325101479398</v>
      </c>
      <c r="C9">
        <v>46.694291129932914</v>
      </c>
      <c r="D9">
        <f t="shared" si="0"/>
        <v>38.694919391272592</v>
      </c>
      <c r="E9">
        <v>31</v>
      </c>
      <c r="F9">
        <f t="shared" si="1"/>
        <v>7.6949193912725917</v>
      </c>
    </row>
    <row r="10" spans="1:9" x14ac:dyDescent="0.3">
      <c r="A10" t="s">
        <v>18</v>
      </c>
      <c r="B10">
        <v>49.487643311076859</v>
      </c>
      <c r="C10">
        <v>59.689000391353531</v>
      </c>
      <c r="D10">
        <f t="shared" si="0"/>
        <v>47.431119678359778</v>
      </c>
      <c r="E10">
        <v>57</v>
      </c>
      <c r="F10">
        <f t="shared" si="1"/>
        <v>9.5688803216402221</v>
      </c>
    </row>
    <row r="11" spans="1:9" x14ac:dyDescent="0.3">
      <c r="A11" t="s">
        <v>19</v>
      </c>
      <c r="B11">
        <v>50.330873302812641</v>
      </c>
      <c r="C11">
        <v>49.333149541953958</v>
      </c>
      <c r="D11">
        <f t="shared" si="0"/>
        <v>43.206607631600107</v>
      </c>
      <c r="E11">
        <v>33</v>
      </c>
      <c r="F11">
        <f t="shared" si="1"/>
        <v>10.206607631600107</v>
      </c>
    </row>
    <row r="12" spans="1:9" x14ac:dyDescent="0.3">
      <c r="A12" t="s">
        <v>20</v>
      </c>
      <c r="B12">
        <v>40.349594983118479</v>
      </c>
      <c r="C12">
        <v>43.789619983359302</v>
      </c>
      <c r="D12">
        <f t="shared" si="0"/>
        <v>36.514386499820162</v>
      </c>
      <c r="E12">
        <v>35</v>
      </c>
      <c r="F12">
        <f t="shared" si="1"/>
        <v>1.5143864998201622</v>
      </c>
    </row>
    <row r="13" spans="1:9" x14ac:dyDescent="0.3">
      <c r="A13" t="s">
        <v>21</v>
      </c>
      <c r="B13">
        <v>33.894141333711012</v>
      </c>
      <c r="C13">
        <v>31.633504350957896</v>
      </c>
      <c r="D13">
        <f t="shared" si="0"/>
        <v>28.393426812291764</v>
      </c>
      <c r="E13">
        <v>21</v>
      </c>
      <c r="F13">
        <f t="shared" si="1"/>
        <v>7.3934268122917643</v>
      </c>
    </row>
    <row r="14" spans="1:9" x14ac:dyDescent="0.3">
      <c r="A14" t="s">
        <v>22</v>
      </c>
      <c r="B14">
        <v>34.368421096709881</v>
      </c>
      <c r="C14">
        <v>36.777702577996841</v>
      </c>
      <c r="D14">
        <f t="shared" si="0"/>
        <v>30.871250549195203</v>
      </c>
      <c r="E14">
        <v>31</v>
      </c>
      <c r="F14">
        <f t="shared" si="1"/>
        <v>0.12874945080479705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23</v>
      </c>
      <c r="B2">
        <v>30.70489446275112</v>
      </c>
      <c r="C2">
        <v>42.096824225506452</v>
      </c>
      <c r="D2">
        <f t="shared" ref="D2:D9" si="0">B2*$I$2+C2*$I$3</f>
        <v>40.47655812092114</v>
      </c>
      <c r="E2">
        <v>46</v>
      </c>
      <c r="F2">
        <f t="shared" ref="F2:F9" si="1">ABS(D2-E2)</f>
        <v>5.5234418790788595</v>
      </c>
      <c r="H2" t="s">
        <v>7</v>
      </c>
      <c r="I2">
        <v>0.53424489685496623</v>
      </c>
    </row>
    <row r="3" spans="1:9" x14ac:dyDescent="0.3">
      <c r="A3" t="s">
        <v>24</v>
      </c>
      <c r="B3">
        <v>31.091047367116069</v>
      </c>
      <c r="C3">
        <v>32.278804160537902</v>
      </c>
      <c r="D3">
        <f t="shared" si="0"/>
        <v>35.068527114222455</v>
      </c>
      <c r="E3">
        <v>27</v>
      </c>
      <c r="F3">
        <f t="shared" si="1"/>
        <v>8.0685271142224551</v>
      </c>
      <c r="H3" t="s">
        <v>9</v>
      </c>
      <c r="I3">
        <v>0.57183945317994911</v>
      </c>
    </row>
    <row r="4" spans="1:9" x14ac:dyDescent="0.3">
      <c r="A4" t="s">
        <v>25</v>
      </c>
      <c r="B4">
        <v>52.48265716593756</v>
      </c>
      <c r="C4">
        <v>48.464962925248201</v>
      </c>
      <c r="D4">
        <f t="shared" si="0"/>
        <v>55.752769661851303</v>
      </c>
      <c r="E4">
        <v>54</v>
      </c>
      <c r="F4">
        <f t="shared" si="1"/>
        <v>1.7527696618513033</v>
      </c>
    </row>
    <row r="5" spans="1:9" x14ac:dyDescent="0.3">
      <c r="A5" t="s">
        <v>26</v>
      </c>
      <c r="B5">
        <v>29.306452707346583</v>
      </c>
      <c r="C5">
        <v>34.450977145937728</v>
      </c>
      <c r="D5">
        <f t="shared" si="0"/>
        <v>35.357250736469275</v>
      </c>
      <c r="E5">
        <v>37</v>
      </c>
      <c r="F5">
        <f t="shared" si="1"/>
        <v>1.6427492635307246</v>
      </c>
      <c r="H5" t="s">
        <v>12</v>
      </c>
      <c r="I5" cm="1">
        <f t="array" ref="I5">(SUM(TableAVL[PP]-TableAVL[AP]))^2</f>
        <v>2.0194839173657902E-28</v>
      </c>
    </row>
    <row r="6" spans="1:9" x14ac:dyDescent="0.3">
      <c r="A6" t="s">
        <v>27</v>
      </c>
      <c r="B6">
        <v>30.555555555555557</v>
      </c>
      <c r="C6">
        <v>28.441433904028003</v>
      </c>
      <c r="D6">
        <f t="shared" si="0"/>
        <v>32.588083637457004</v>
      </c>
      <c r="E6">
        <v>42</v>
      </c>
      <c r="F6">
        <f t="shared" si="1"/>
        <v>9.4119163625429962</v>
      </c>
    </row>
    <row r="7" spans="1:9" x14ac:dyDescent="0.3">
      <c r="A7" t="s">
        <v>28</v>
      </c>
      <c r="B7">
        <v>41.91891887279435</v>
      </c>
      <c r="C7">
        <v>36.269725995270854</v>
      </c>
      <c r="D7">
        <f t="shared" si="0"/>
        <v>43.135428769589986</v>
      </c>
      <c r="E7">
        <v>20</v>
      </c>
      <c r="F7">
        <f t="shared" si="1"/>
        <v>23.135428769589986</v>
      </c>
      <c r="H7" t="s">
        <v>15</v>
      </c>
      <c r="I7">
        <f>AVERAGE(TableAVL[DIFF])/10</f>
        <v>0.8239181386415938</v>
      </c>
    </row>
    <row r="8" spans="1:9" x14ac:dyDescent="0.3">
      <c r="A8" t="s">
        <v>29</v>
      </c>
      <c r="B8">
        <v>25.748008344088465</v>
      </c>
      <c r="C8">
        <v>32.403178807719506</v>
      </c>
      <c r="D8">
        <f t="shared" si="0"/>
        <v>32.285158112706789</v>
      </c>
      <c r="E8">
        <v>37</v>
      </c>
      <c r="F8">
        <f t="shared" si="1"/>
        <v>4.7148418872932112</v>
      </c>
    </row>
    <row r="9" spans="1:9" x14ac:dyDescent="0.3">
      <c r="A9" t="s">
        <v>30</v>
      </c>
      <c r="B9">
        <v>26.004956548332522</v>
      </c>
      <c r="C9">
        <v>32.252424024504052</v>
      </c>
      <c r="D9">
        <f t="shared" si="0"/>
        <v>32.336223846782033</v>
      </c>
      <c r="E9">
        <v>44</v>
      </c>
      <c r="F9">
        <f t="shared" si="1"/>
        <v>11.663776153217967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23.194404799086033</v>
      </c>
      <c r="C2">
        <v>22.678093018179858</v>
      </c>
      <c r="D2">
        <f>B2*$I$2+C2*$I$3</f>
        <v>31.674247018221866</v>
      </c>
      <c r="E2">
        <v>20</v>
      </c>
      <c r="F2">
        <f>ABS(D2-E2)</f>
        <v>11.674247018221866</v>
      </c>
      <c r="H2" t="s">
        <v>7</v>
      </c>
      <c r="I2">
        <v>0.6256280913842166</v>
      </c>
    </row>
    <row r="3" spans="1:9" x14ac:dyDescent="0.3">
      <c r="A3" t="s">
        <v>32</v>
      </c>
      <c r="B3">
        <v>24.222770987524143</v>
      </c>
      <c r="C3">
        <v>32.459610052263514</v>
      </c>
      <c r="D3">
        <f>B3*$I$2+C3*$I$3</f>
        <v>39.720444264021047</v>
      </c>
      <c r="E3">
        <v>39</v>
      </c>
      <c r="F3">
        <f>ABS(D3-E3)</f>
        <v>0.72044426402104733</v>
      </c>
      <c r="H3" t="s">
        <v>9</v>
      </c>
      <c r="I3">
        <v>0.75681741843187278</v>
      </c>
    </row>
    <row r="4" spans="1:9" x14ac:dyDescent="0.3">
      <c r="A4" t="s">
        <v>33</v>
      </c>
      <c r="B4">
        <v>25.284783054014511</v>
      </c>
      <c r="C4">
        <v>34.18772423513942</v>
      </c>
      <c r="D4">
        <f>B4*$I$2+C4*$I$3</f>
        <v>41.69273576084607</v>
      </c>
      <c r="E4">
        <v>42</v>
      </c>
      <c r="F4">
        <f>ABS(D4-E4)</f>
        <v>0.30726423915393042</v>
      </c>
    </row>
    <row r="5" spans="1:9" x14ac:dyDescent="0.3">
      <c r="A5" t="s">
        <v>34</v>
      </c>
      <c r="B5">
        <v>23.979449357144741</v>
      </c>
      <c r="C5">
        <v>27.629326854662462</v>
      </c>
      <c r="D5">
        <f>B5*$I$2+C5*$I$3</f>
        <v>35.912572956911006</v>
      </c>
      <c r="E5">
        <v>48</v>
      </c>
      <c r="F5">
        <f>ABS(D5-E5)</f>
        <v>12.087427043088994</v>
      </c>
      <c r="H5" t="s">
        <v>12</v>
      </c>
      <c r="I5" cm="1">
        <f t="array" ref="I5">(SUM(TableBOU[PP]-TableBOU[AP]))^2</f>
        <v>1.135959703518257E-28</v>
      </c>
    </row>
    <row r="7" spans="1:9" x14ac:dyDescent="0.3">
      <c r="H7" t="s">
        <v>15</v>
      </c>
      <c r="I7">
        <f>AVERAGE(TableBOU[DIFF])/10</f>
        <v>0.61973456411214589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47.710789436471259</v>
      </c>
      <c r="C2">
        <v>54.81166311697875</v>
      </c>
      <c r="D2">
        <f t="shared" ref="D2:D9" si="0">B2*$I$2+C2*$I$3</f>
        <v>38.840094895111697</v>
      </c>
      <c r="E2">
        <v>49</v>
      </c>
      <c r="F2">
        <f t="shared" ref="F2:F9" si="1">ABS(D2-E2)</f>
        <v>10.159905104888303</v>
      </c>
      <c r="H2" t="s">
        <v>7</v>
      </c>
      <c r="I2">
        <v>0.37257982551508456</v>
      </c>
    </row>
    <row r="3" spans="1:9" x14ac:dyDescent="0.3">
      <c r="A3" t="s">
        <v>36</v>
      </c>
      <c r="B3">
        <v>61.708271217467555</v>
      </c>
      <c r="C3">
        <v>49.018889714324068</v>
      </c>
      <c r="D3">
        <f t="shared" si="0"/>
        <v>41.829122476547184</v>
      </c>
      <c r="E3">
        <v>33</v>
      </c>
      <c r="F3">
        <f t="shared" si="1"/>
        <v>8.8291224765471839</v>
      </c>
      <c r="H3" t="s">
        <v>9</v>
      </c>
      <c r="I3">
        <v>0.38429808719231134</v>
      </c>
    </row>
    <row r="4" spans="1:9" x14ac:dyDescent="0.3">
      <c r="A4" t="s">
        <v>37</v>
      </c>
      <c r="B4">
        <v>43</v>
      </c>
      <c r="C4">
        <v>37.736368584186565</v>
      </c>
      <c r="D4">
        <f t="shared" si="0"/>
        <v>30.522946761635563</v>
      </c>
      <c r="E4">
        <v>22</v>
      </c>
      <c r="F4">
        <f t="shared" si="1"/>
        <v>8.5229467616355628</v>
      </c>
    </row>
    <row r="5" spans="1:9" x14ac:dyDescent="0.3">
      <c r="A5" t="s">
        <v>38</v>
      </c>
      <c r="B5">
        <v>37.666725171557417</v>
      </c>
      <c r="C5">
        <v>35.633349052606825</v>
      </c>
      <c r="D5">
        <f t="shared" si="0"/>
        <v>27.727689773316268</v>
      </c>
      <c r="E5">
        <v>25</v>
      </c>
      <c r="F5">
        <f t="shared" si="1"/>
        <v>2.7276897733162677</v>
      </c>
      <c r="H5" t="s">
        <v>12</v>
      </c>
      <c r="I5" cm="1">
        <f t="array" ref="I5">(SUM(TableBRE[PP]-TableBRE[AP]))^2</f>
        <v>3.1554436208840472E-28</v>
      </c>
    </row>
    <row r="6" spans="1:9" x14ac:dyDescent="0.3">
      <c r="A6" t="s">
        <v>39</v>
      </c>
      <c r="B6">
        <v>34.426203715338445</v>
      </c>
      <c r="C6">
        <v>29.859758890959096</v>
      </c>
      <c r="D6">
        <f t="shared" si="0"/>
        <v>24.301557199226746</v>
      </c>
      <c r="E6">
        <v>22</v>
      </c>
      <c r="F6">
        <f t="shared" si="1"/>
        <v>2.3015571992267461</v>
      </c>
    </row>
    <row r="7" spans="1:9" x14ac:dyDescent="0.3">
      <c r="A7" t="s">
        <v>40</v>
      </c>
      <c r="B7">
        <v>25.458110225076478</v>
      </c>
      <c r="C7">
        <v>32.302109949150179</v>
      </c>
      <c r="D7">
        <f t="shared" si="0"/>
        <v>21.898817331336929</v>
      </c>
      <c r="E7">
        <v>36</v>
      </c>
      <c r="F7">
        <f t="shared" si="1"/>
        <v>14.101182668663071</v>
      </c>
      <c r="H7" t="s">
        <v>15</v>
      </c>
      <c r="I7">
        <f>AVERAGE(TableBRE[DIFF])/10</f>
        <v>0.62614209977330593</v>
      </c>
    </row>
    <row r="8" spans="1:9" x14ac:dyDescent="0.3">
      <c r="A8" t="s">
        <v>41</v>
      </c>
      <c r="B8">
        <v>29.958020863179218</v>
      </c>
      <c r="C8">
        <v>39.171804644204201</v>
      </c>
      <c r="D8">
        <f t="shared" si="0"/>
        <v>26.215403782619148</v>
      </c>
      <c r="E8">
        <v>27</v>
      </c>
      <c r="F8">
        <f t="shared" si="1"/>
        <v>0.78459621738085161</v>
      </c>
    </row>
    <row r="9" spans="1:9" x14ac:dyDescent="0.3">
      <c r="A9" t="s">
        <v>42</v>
      </c>
      <c r="B9">
        <v>32.179809886550082</v>
      </c>
      <c r="C9">
        <v>43.390327413268146</v>
      </c>
      <c r="D9">
        <f t="shared" si="0"/>
        <v>28.664367780206483</v>
      </c>
      <c r="E9">
        <v>26</v>
      </c>
      <c r="F9">
        <f t="shared" si="1"/>
        <v>2.6643677802064829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43</v>
      </c>
      <c r="B2">
        <v>32.681866897497422</v>
      </c>
      <c r="C2">
        <v>41.994283024842467</v>
      </c>
      <c r="D2">
        <f t="shared" ref="D2:D7" si="0">B2*$I$2+C2*$I$3</f>
        <v>35.347081090460513</v>
      </c>
      <c r="E2">
        <v>41</v>
      </c>
      <c r="F2">
        <f t="shared" ref="F2:F7" si="1">ABS(D2-E2)</f>
        <v>5.6529189095394869</v>
      </c>
      <c r="H2" t="s">
        <v>7</v>
      </c>
      <c r="I2">
        <v>0.48898637852020721</v>
      </c>
    </row>
    <row r="3" spans="1:9" x14ac:dyDescent="0.3">
      <c r="A3" t="s">
        <v>44</v>
      </c>
      <c r="B3">
        <v>60.671232754984487</v>
      </c>
      <c r="C3">
        <v>33.966212798578724</v>
      </c>
      <c r="D3">
        <f t="shared" si="0"/>
        <v>45.33127300046786</v>
      </c>
      <c r="E3">
        <v>38</v>
      </c>
      <c r="F3">
        <f t="shared" si="1"/>
        <v>7.3312730004678599</v>
      </c>
      <c r="H3" t="s">
        <v>9</v>
      </c>
      <c r="I3">
        <v>0.4611602332040638</v>
      </c>
    </row>
    <row r="4" spans="1:9" x14ac:dyDescent="0.3">
      <c r="A4" t="s">
        <v>45</v>
      </c>
      <c r="B4">
        <v>46.616631111892772</v>
      </c>
      <c r="C4">
        <v>57.391898551563202</v>
      </c>
      <c r="D4">
        <f t="shared" si="0"/>
        <v>49.261758946279727</v>
      </c>
      <c r="E4">
        <v>46</v>
      </c>
      <c r="F4">
        <f t="shared" si="1"/>
        <v>3.261758946279727</v>
      </c>
    </row>
    <row r="5" spans="1:9" x14ac:dyDescent="0.3">
      <c r="A5" t="s">
        <v>46</v>
      </c>
      <c r="B5">
        <v>47.098984314674041</v>
      </c>
      <c r="C5">
        <v>32.356129055870134</v>
      </c>
      <c r="D5">
        <f t="shared" si="0"/>
        <v>37.952121792998362</v>
      </c>
      <c r="E5">
        <v>41</v>
      </c>
      <c r="F5">
        <f t="shared" si="1"/>
        <v>3.0478782070016379</v>
      </c>
      <c r="H5" t="s">
        <v>12</v>
      </c>
      <c r="I5" cm="1">
        <f t="array" ref="I5">(SUM(TableBHA[PP]-TableBHA[AP]))^2</f>
        <v>0</v>
      </c>
    </row>
    <row r="6" spans="1:9" x14ac:dyDescent="0.3">
      <c r="A6" t="s">
        <v>47</v>
      </c>
      <c r="B6">
        <v>37.211200629106692</v>
      </c>
      <c r="C6">
        <v>35.287564227363745</v>
      </c>
      <c r="D6">
        <f t="shared" si="0"/>
        <v>34.468991584310182</v>
      </c>
      <c r="E6">
        <v>48</v>
      </c>
      <c r="F6">
        <f t="shared" si="1"/>
        <v>13.531008415689818</v>
      </c>
    </row>
    <row r="7" spans="1:9" x14ac:dyDescent="0.3">
      <c r="A7" t="s">
        <v>48</v>
      </c>
      <c r="B7">
        <v>31.157894704669143</v>
      </c>
      <c r="C7">
        <v>39.905842192143041</v>
      </c>
      <c r="D7">
        <f t="shared" si="0"/>
        <v>33.638773585483356</v>
      </c>
      <c r="E7">
        <v>22</v>
      </c>
      <c r="F7">
        <f t="shared" si="1"/>
        <v>11.638773585483356</v>
      </c>
      <c r="H7" t="s">
        <v>15</v>
      </c>
      <c r="I7">
        <f>AVERAGE(TableBHA[DIFF])/10</f>
        <v>0.74106018440769816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55.976863681491373</v>
      </c>
      <c r="C2">
        <v>35.416579267762494</v>
      </c>
      <c r="D2">
        <f>B2*$I$2+C2*$I$3</f>
        <v>30</v>
      </c>
      <c r="E2">
        <v>30</v>
      </c>
      <c r="F2">
        <f>ABS(D2-E2)</f>
        <v>0</v>
      </c>
      <c r="H2" t="s">
        <v>7</v>
      </c>
      <c r="I2">
        <v>0.38272652608908159</v>
      </c>
    </row>
    <row r="3" spans="1:9" x14ac:dyDescent="0.3">
      <c r="H3" t="s">
        <v>9</v>
      </c>
      <c r="I3">
        <v>0.24215126359272882</v>
      </c>
    </row>
    <row r="5" spans="1:9" x14ac:dyDescent="0.3">
      <c r="H5" t="s">
        <v>12</v>
      </c>
      <c r="I5">
        <f>(SUM(TableCHE[PP]-TableCHE[AP]))^2</f>
        <v>0</v>
      </c>
    </row>
    <row r="7" spans="1:9" x14ac:dyDescent="0.3">
      <c r="H7" t="s">
        <v>15</v>
      </c>
      <c r="I7">
        <f>AVERAGE(TableCHE[DIFF])/10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50</v>
      </c>
      <c r="B2">
        <v>36.731370105879144</v>
      </c>
      <c r="C2">
        <v>37.195439733419249</v>
      </c>
      <c r="D2">
        <f t="shared" ref="D2:D10" si="0">B2*$I$2+C2*$I$3</f>
        <v>31.301087648033647</v>
      </c>
      <c r="E2">
        <v>38</v>
      </c>
      <c r="F2">
        <f t="shared" ref="F2:F10" si="1">ABS(D2-E2)</f>
        <v>6.6989123519663529</v>
      </c>
      <c r="H2" t="s">
        <v>7</v>
      </c>
      <c r="I2">
        <v>0.46213131824361836</v>
      </c>
    </row>
    <row r="3" spans="1:9" x14ac:dyDescent="0.3">
      <c r="A3" t="s">
        <v>51</v>
      </c>
      <c r="B3">
        <v>58.284821805038632</v>
      </c>
      <c r="C3">
        <v>27.712958067173293</v>
      </c>
      <c r="D3">
        <f t="shared" si="0"/>
        <v>37.609295290956418</v>
      </c>
      <c r="E3">
        <v>36</v>
      </c>
      <c r="F3">
        <f t="shared" si="1"/>
        <v>1.6092952909564175</v>
      </c>
      <c r="H3" t="s">
        <v>9</v>
      </c>
      <c r="I3">
        <v>0.38516472080413572</v>
      </c>
    </row>
    <row r="4" spans="1:9" x14ac:dyDescent="0.3">
      <c r="A4" t="s">
        <v>52</v>
      </c>
      <c r="B4">
        <v>26.341543491384698</v>
      </c>
      <c r="C4">
        <v>27.102256312515404</v>
      </c>
      <c r="D4">
        <f t="shared" si="0"/>
        <v>22.612085204017337</v>
      </c>
      <c r="E4">
        <v>35</v>
      </c>
      <c r="F4">
        <f t="shared" si="1"/>
        <v>12.387914795982663</v>
      </c>
    </row>
    <row r="5" spans="1:9" x14ac:dyDescent="0.3">
      <c r="A5" t="s">
        <v>53</v>
      </c>
      <c r="B5">
        <v>50.628494630502175</v>
      </c>
      <c r="C5">
        <v>32.367026811655613</v>
      </c>
      <c r="D5">
        <f t="shared" si="0"/>
        <v>35.863649809455232</v>
      </c>
      <c r="E5">
        <v>23</v>
      </c>
      <c r="F5">
        <f t="shared" si="1"/>
        <v>12.863649809455232</v>
      </c>
      <c r="H5" t="s">
        <v>12</v>
      </c>
      <c r="I5" cm="1">
        <f t="array" ref="I5">(SUM(TableCRY[PP]-TableCRY[AP]))^2</f>
        <v>0</v>
      </c>
    </row>
    <row r="6" spans="1:9" x14ac:dyDescent="0.3">
      <c r="A6" t="s">
        <v>54</v>
      </c>
      <c r="B6">
        <v>28.710781155693859</v>
      </c>
      <c r="C6">
        <v>28.202033787597937</v>
      </c>
      <c r="D6">
        <f t="shared" si="0"/>
        <v>24.130579613193802</v>
      </c>
      <c r="E6">
        <v>20</v>
      </c>
      <c r="F6">
        <f t="shared" si="1"/>
        <v>4.1305796131938024</v>
      </c>
    </row>
    <row r="7" spans="1:9" x14ac:dyDescent="0.3">
      <c r="A7" t="s">
        <v>55</v>
      </c>
      <c r="B7">
        <v>29.368809334990829</v>
      </c>
      <c r="C7">
        <v>31.303689009589988</v>
      </c>
      <c r="D7">
        <f t="shared" si="0"/>
        <v>25.629323210743017</v>
      </c>
      <c r="E7">
        <v>30</v>
      </c>
      <c r="F7">
        <f t="shared" si="1"/>
        <v>4.3706767892569829</v>
      </c>
      <c r="H7" t="s">
        <v>15</v>
      </c>
      <c r="I7">
        <f>AVERAGE(TableCRY[DIFF])/10</f>
        <v>0.70983121251059811</v>
      </c>
    </row>
    <row r="8" spans="1:9" x14ac:dyDescent="0.3">
      <c r="A8" t="s">
        <v>56</v>
      </c>
      <c r="B8">
        <v>51.618945571603177</v>
      </c>
      <c r="C8">
        <v>38.062593012857022</v>
      </c>
      <c r="D8">
        <f t="shared" si="0"/>
        <v>38.515099374229081</v>
      </c>
      <c r="E8">
        <v>47</v>
      </c>
      <c r="F8">
        <f t="shared" si="1"/>
        <v>8.4849006257709192</v>
      </c>
    </row>
    <row r="9" spans="1:9" x14ac:dyDescent="0.3">
      <c r="A9" t="s">
        <v>57</v>
      </c>
      <c r="B9">
        <v>29.408373098822647</v>
      </c>
      <c r="C9">
        <v>30.788120609279694</v>
      </c>
      <c r="D9">
        <f t="shared" si="0"/>
        <v>25.449028106116344</v>
      </c>
      <c r="E9">
        <v>23</v>
      </c>
      <c r="F9">
        <f t="shared" si="1"/>
        <v>2.4490281061163444</v>
      </c>
    </row>
    <row r="10" spans="1:9" x14ac:dyDescent="0.3">
      <c r="A10" t="s">
        <v>58</v>
      </c>
      <c r="B10">
        <v>37.49999995032946</v>
      </c>
      <c r="C10">
        <v>37.801819703725599</v>
      </c>
      <c r="D10">
        <f t="shared" si="0"/>
        <v>31.889851743255122</v>
      </c>
      <c r="E10">
        <v>21</v>
      </c>
      <c r="F10">
        <f t="shared" si="1"/>
        <v>10.889851743255122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58.630998823585088</v>
      </c>
      <c r="C2">
        <v>33.724919579796037</v>
      </c>
      <c r="D2">
        <f>B2*$I$2+C2*$I$3</f>
        <v>53.242660538413062</v>
      </c>
      <c r="E2">
        <v>39</v>
      </c>
      <c r="F2">
        <f>ABS(D2-E2)</f>
        <v>14.242660538413062</v>
      </c>
      <c r="H2" t="s">
        <v>7</v>
      </c>
      <c r="I2">
        <v>0.6018112658619027</v>
      </c>
    </row>
    <row r="3" spans="1:9" x14ac:dyDescent="0.3">
      <c r="A3" t="s">
        <v>60</v>
      </c>
      <c r="B3">
        <v>26.297963999975345</v>
      </c>
      <c r="C3">
        <v>32.07388776976039</v>
      </c>
      <c r="D3">
        <f>B3*$I$2+C3*$I$3</f>
        <v>32.905133537473503</v>
      </c>
      <c r="E3">
        <v>33</v>
      </c>
      <c r="F3">
        <f>ABS(D3-E3)</f>
        <v>9.4866462526496775E-2</v>
      </c>
      <c r="H3" t="s">
        <v>9</v>
      </c>
      <c r="I3">
        <v>0.53248058531774245</v>
      </c>
    </row>
    <row r="4" spans="1:9" x14ac:dyDescent="0.3">
      <c r="A4" t="s">
        <v>61</v>
      </c>
      <c r="B4">
        <v>27.815008496798349</v>
      </c>
      <c r="C4">
        <v>30.940037630292288</v>
      </c>
      <c r="D4">
        <f>B4*$I$2+C4*$I$3</f>
        <v>33.214354820548806</v>
      </c>
      <c r="E4">
        <v>23</v>
      </c>
      <c r="F4">
        <f>ABS(D4-E4)</f>
        <v>10.214354820548806</v>
      </c>
    </row>
    <row r="5" spans="1:9" x14ac:dyDescent="0.3">
      <c r="A5" t="s">
        <v>62</v>
      </c>
      <c r="B5">
        <v>29.511459179844273</v>
      </c>
      <c r="C5">
        <v>29.25112658821978</v>
      </c>
      <c r="D5">
        <f>B5*$I$2+C5*$I$3</f>
        <v>33.335985613352598</v>
      </c>
      <c r="E5">
        <v>25</v>
      </c>
      <c r="F5">
        <f>ABS(D5-E5)</f>
        <v>8.335985613352598</v>
      </c>
      <c r="H5" t="s">
        <v>12</v>
      </c>
      <c r="I5" cm="1">
        <f t="array" ref="I5">(SUM(TableEVE[PP]-TableEVE[AP]))^2</f>
        <v>0</v>
      </c>
    </row>
    <row r="6" spans="1:9" x14ac:dyDescent="0.3">
      <c r="A6" t="s">
        <v>63</v>
      </c>
      <c r="B6">
        <v>29.234661523606807</v>
      </c>
      <c r="C6">
        <v>25.743881015804604</v>
      </c>
      <c r="D6">
        <f>B6*$I$2+C6*$I$3</f>
        <v>31.30186549021203</v>
      </c>
      <c r="E6">
        <v>64</v>
      </c>
      <c r="F6">
        <f>ABS(D6-E6)</f>
        <v>32.69813450978797</v>
      </c>
    </row>
    <row r="7" spans="1:9" x14ac:dyDescent="0.3">
      <c r="H7" t="s">
        <v>15</v>
      </c>
      <c r="I7">
        <f>AVERAGE(TableEVE[DIFF])/10</f>
        <v>1.3117200388925787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64</v>
      </c>
      <c r="B2">
        <v>25.081400794844193</v>
      </c>
      <c r="C2">
        <v>31.896952215681171</v>
      </c>
      <c r="D2">
        <f>B2*$I$2+C2*$I$3</f>
        <v>22.114878149910382</v>
      </c>
      <c r="E2">
        <v>20</v>
      </c>
      <c r="F2">
        <f>ABS(D2-E2)</f>
        <v>2.1148781499103819</v>
      </c>
      <c r="H2" t="s">
        <v>7</v>
      </c>
      <c r="I2">
        <v>0.37914251805786398</v>
      </c>
    </row>
    <row r="3" spans="1:9" x14ac:dyDescent="0.3">
      <c r="A3" t="s">
        <v>65</v>
      </c>
      <c r="B3">
        <v>28.469158831788196</v>
      </c>
      <c r="C3">
        <v>30.813044651527722</v>
      </c>
      <c r="D3">
        <f>B3*$I$2+C3*$I$3</f>
        <v>22.97096856500454</v>
      </c>
      <c r="E3">
        <v>29</v>
      </c>
      <c r="F3">
        <f>ABS(D3-E3)</f>
        <v>6.0290314349954599</v>
      </c>
      <c r="H3" t="s">
        <v>9</v>
      </c>
      <c r="I3">
        <v>0.39519301439519838</v>
      </c>
    </row>
    <row r="4" spans="1:9" x14ac:dyDescent="0.3">
      <c r="A4" t="s">
        <v>66</v>
      </c>
      <c r="B4">
        <v>21.601912552731804</v>
      </c>
      <c r="C4">
        <v>31.233522825833113</v>
      </c>
      <c r="D4">
        <f>B4*$I$2+C4*$I$3</f>
        <v>20.533473555830739</v>
      </c>
      <c r="E4">
        <v>23</v>
      </c>
      <c r="F4">
        <f>ABS(D4-E4)</f>
        <v>2.4665264441692614</v>
      </c>
    </row>
    <row r="5" spans="1:9" x14ac:dyDescent="0.3">
      <c r="A5" t="s">
        <v>67</v>
      </c>
      <c r="B5">
        <v>62.636363597795913</v>
      </c>
      <c r="C5">
        <v>49.67843660608137</v>
      </c>
      <c r="D5">
        <f>B5*$I$2+C5*$I$3</f>
        <v>43.380679729254339</v>
      </c>
      <c r="E5">
        <v>37</v>
      </c>
      <c r="F5">
        <f>ABS(D5-E5)</f>
        <v>6.3806797292543393</v>
      </c>
      <c r="H5" t="s">
        <v>12</v>
      </c>
      <c r="I5" cm="1">
        <f t="array" ref="I5">(SUM(TableFUL[PP]-TableFUL[AP]))^2</f>
        <v>0</v>
      </c>
    </row>
    <row r="7" spans="1:9" x14ac:dyDescent="0.3">
      <c r="H7" t="s">
        <v>15</v>
      </c>
      <c r="I7">
        <f>AVERAGE(TableFUL[DIFF])/10</f>
        <v>0.42477789395823606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35.165707043784309</v>
      </c>
      <c r="C2">
        <v>43.263997534476715</v>
      </c>
      <c r="D2">
        <f>B2*$I$2+C2*$I$3</f>
        <v>30.944645116010872</v>
      </c>
      <c r="E2">
        <v>23</v>
      </c>
      <c r="F2">
        <f>ABS(D2-E2)</f>
        <v>7.9446451160108715</v>
      </c>
      <c r="H2" t="s">
        <v>7</v>
      </c>
      <c r="I2">
        <v>0.38029297120105376</v>
      </c>
    </row>
    <row r="3" spans="1:9" x14ac:dyDescent="0.3">
      <c r="A3" t="s">
        <v>69</v>
      </c>
      <c r="B3">
        <v>51.446507097498667</v>
      </c>
      <c r="C3">
        <v>34.87412018103516</v>
      </c>
      <c r="D3">
        <f>B3*$I$2+C3*$I$3</f>
        <v>33.728628179365451</v>
      </c>
      <c r="E3">
        <v>48</v>
      </c>
      <c r="F3">
        <f>ABS(D3-E3)</f>
        <v>14.271371820634549</v>
      </c>
      <c r="H3" t="s">
        <v>9</v>
      </c>
      <c r="I3">
        <v>0.40614309590651748</v>
      </c>
    </row>
    <row r="4" spans="1:9" x14ac:dyDescent="0.3">
      <c r="A4" t="s">
        <v>70</v>
      </c>
      <c r="B4">
        <v>21.748810721815843</v>
      </c>
      <c r="C4">
        <v>36.305622085730761</v>
      </c>
      <c r="D4">
        <f>B4*$I$2+C4*$I$3</f>
        <v>23.016197602199409</v>
      </c>
      <c r="E4">
        <v>23</v>
      </c>
      <c r="F4">
        <f>ABS(D4-E4)</f>
        <v>1.6197602199408578E-2</v>
      </c>
    </row>
    <row r="5" spans="1:9" x14ac:dyDescent="0.3">
      <c r="A5" t="s">
        <v>71</v>
      </c>
      <c r="B5">
        <v>32.909090898262427</v>
      </c>
      <c r="C5">
        <v>36.429114010112301</v>
      </c>
      <c r="D5">
        <f>B5*$I$2+C5*$I$3</f>
        <v>27.310529102424272</v>
      </c>
      <c r="E5">
        <v>21</v>
      </c>
      <c r="F5">
        <f>ABS(D5-E5)</f>
        <v>6.3105291024242725</v>
      </c>
      <c r="H5" t="s">
        <v>12</v>
      </c>
      <c r="I5" cm="1">
        <f t="array" ref="I5">(SUM(TableLEE[PP]-TableLEE[AP]))^2</f>
        <v>1.2621774483536189E-29</v>
      </c>
    </row>
    <row r="7" spans="1:9" x14ac:dyDescent="0.3">
      <c r="H7" t="s">
        <v>15</v>
      </c>
      <c r="I7">
        <f>AVERAGE(TableLEE[DIFF])/10</f>
        <v>0.71356859103172754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72</v>
      </c>
      <c r="B2">
        <v>55.271831662966989</v>
      </c>
      <c r="C2">
        <v>38.94604201054819</v>
      </c>
      <c r="D2">
        <f>B2*$I$2+C2*$I$3</f>
        <v>28.895865633625558</v>
      </c>
      <c r="E2">
        <v>30</v>
      </c>
      <c r="F2">
        <f>ABS(D2-E2)</f>
        <v>1.1041343663744421</v>
      </c>
      <c r="H2" t="s">
        <v>7</v>
      </c>
      <c r="I2">
        <v>0.3207558287485382</v>
      </c>
    </row>
    <row r="3" spans="1:9" x14ac:dyDescent="0.3">
      <c r="A3" t="s">
        <v>73</v>
      </c>
      <c r="B3">
        <v>24.54889598872867</v>
      </c>
      <c r="C3">
        <v>32.987436946511259</v>
      </c>
      <c r="D3">
        <f>B3*$I$2+C3*$I$3</f>
        <v>17.332778070236284</v>
      </c>
      <c r="E3">
        <v>24</v>
      </c>
      <c r="F3">
        <f>ABS(D3-E3)</f>
        <v>6.6672219297637163</v>
      </c>
      <c r="H3" t="s">
        <v>9</v>
      </c>
      <c r="I3">
        <v>0.2867326918380147</v>
      </c>
    </row>
    <row r="4" spans="1:9" x14ac:dyDescent="0.3">
      <c r="A4" t="s">
        <v>74</v>
      </c>
      <c r="B4">
        <v>32.676879064397447</v>
      </c>
      <c r="C4">
        <v>34.659828964828606</v>
      </c>
      <c r="D4">
        <f>B4*$I$2+C4*$I$3</f>
        <v>20.419405482947056</v>
      </c>
      <c r="E4">
        <v>21</v>
      </c>
      <c r="F4">
        <f>ABS(D4-E4)</f>
        <v>0.58059451705294407</v>
      </c>
    </row>
    <row r="5" spans="1:9" x14ac:dyDescent="0.3">
      <c r="A5" t="s">
        <v>75</v>
      </c>
      <c r="B5">
        <v>47.336573165596633</v>
      </c>
      <c r="C5">
        <v>59.769009830143283</v>
      </c>
      <c r="D5">
        <f>B5*$I$2+C5*$I$3</f>
        <v>32.321210832936508</v>
      </c>
      <c r="E5">
        <v>32</v>
      </c>
      <c r="F5">
        <f>ABS(D5-E5)</f>
        <v>0.32121083293650798</v>
      </c>
      <c r="H5" t="s">
        <v>12</v>
      </c>
      <c r="I5" cm="1">
        <f t="array" ref="I5">(SUM(TableLEI[PP]-TableLEI[AP]))^2</f>
        <v>4.543838814073028E-28</v>
      </c>
    </row>
    <row r="6" spans="1:9" x14ac:dyDescent="0.3">
      <c r="A6" t="s">
        <v>76</v>
      </c>
      <c r="B6">
        <v>61.974358925604726</v>
      </c>
      <c r="C6">
        <v>31.91858962173454</v>
      </c>
      <c r="D6">
        <f>B6*$I$2+C6*$I$3</f>
        <v>29.030739980254573</v>
      </c>
      <c r="E6">
        <v>21</v>
      </c>
      <c r="F6">
        <f>ABS(D6-E6)</f>
        <v>8.0307399802545731</v>
      </c>
    </row>
    <row r="7" spans="1:9" x14ac:dyDescent="0.3">
      <c r="H7" t="s">
        <v>15</v>
      </c>
      <c r="I7">
        <f>AVERAGE(TableLEI[DIFF])/10</f>
        <v>0.33407803252764368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77</v>
      </c>
      <c r="B2">
        <v>22.993720488394999</v>
      </c>
      <c r="C2">
        <v>25.087281000005948</v>
      </c>
      <c r="D2">
        <f t="shared" ref="D2:D9" si="0">B2*$I$2+C2*$I$3</f>
        <v>20.301690318131136</v>
      </c>
      <c r="E2">
        <v>28</v>
      </c>
      <c r="F2">
        <f t="shared" ref="F2:F9" si="1">ABS(D2-E2)</f>
        <v>7.6983096818688637</v>
      </c>
      <c r="H2" t="s">
        <v>7</v>
      </c>
      <c r="I2">
        <v>0.45555198432908167</v>
      </c>
    </row>
    <row r="3" spans="1:9" x14ac:dyDescent="0.3">
      <c r="A3" t="s">
        <v>78</v>
      </c>
      <c r="B3">
        <v>69.09679746291647</v>
      </c>
      <c r="C3">
        <v>44.505513690558438</v>
      </c>
      <c r="D3">
        <f t="shared" si="0"/>
        <v>48.910289799597834</v>
      </c>
      <c r="E3">
        <v>45</v>
      </c>
      <c r="F3">
        <f t="shared" si="1"/>
        <v>3.9102897995978338</v>
      </c>
      <c r="H3" t="s">
        <v>9</v>
      </c>
      <c r="I3">
        <v>0.39170667090356281</v>
      </c>
    </row>
    <row r="4" spans="1:9" x14ac:dyDescent="0.3">
      <c r="A4" t="s">
        <v>79</v>
      </c>
      <c r="B4">
        <v>44.571638173357009</v>
      </c>
      <c r="C4">
        <v>48.198047101215124</v>
      </c>
      <c r="D4">
        <f t="shared" si="0"/>
        <v>39.184194788740726</v>
      </c>
      <c r="E4">
        <v>44</v>
      </c>
      <c r="F4">
        <f t="shared" si="1"/>
        <v>4.8158052112592742</v>
      </c>
    </row>
    <row r="5" spans="1:9" x14ac:dyDescent="0.3">
      <c r="A5" t="s">
        <v>80</v>
      </c>
      <c r="B5">
        <v>78.929491899510012</v>
      </c>
      <c r="C5">
        <v>73.579601750389074</v>
      </c>
      <c r="D5">
        <f t="shared" si="0"/>
        <v>64.778107504962833</v>
      </c>
      <c r="E5">
        <v>79</v>
      </c>
      <c r="F5">
        <f t="shared" si="1"/>
        <v>14.221892495037167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81</v>
      </c>
      <c r="B6">
        <v>63.932751170997882</v>
      </c>
      <c r="C6">
        <v>47.866406172479067</v>
      </c>
      <c r="D6">
        <f t="shared" si="0"/>
        <v>47.874282269505031</v>
      </c>
      <c r="E6">
        <v>36</v>
      </c>
      <c r="F6">
        <f t="shared" si="1"/>
        <v>11.874282269505031</v>
      </c>
    </row>
    <row r="7" spans="1:9" x14ac:dyDescent="0.3">
      <c r="A7" t="s">
        <v>82</v>
      </c>
      <c r="B7">
        <v>54.402465627371612</v>
      </c>
      <c r="C7">
        <v>44.504367341367875</v>
      </c>
      <c r="D7">
        <f t="shared" si="0"/>
        <v>42.21580874090025</v>
      </c>
      <c r="E7">
        <v>53</v>
      </c>
      <c r="F7">
        <f t="shared" si="1"/>
        <v>10.78419125909975</v>
      </c>
      <c r="H7" t="s">
        <v>15</v>
      </c>
      <c r="I7">
        <f>AVERAGE(TableLIV[DIFF])/10</f>
        <v>0.93800496618162654</v>
      </c>
    </row>
    <row r="8" spans="1:9" x14ac:dyDescent="0.3">
      <c r="A8" t="s">
        <v>83</v>
      </c>
      <c r="B8">
        <v>19.999213942125728</v>
      </c>
      <c r="C8">
        <v>29.786146487492211</v>
      </c>
      <c r="D8">
        <f t="shared" si="0"/>
        <v>20.778113876018637</v>
      </c>
      <c r="E8">
        <v>20</v>
      </c>
      <c r="F8">
        <f t="shared" si="1"/>
        <v>0.77811387601863657</v>
      </c>
    </row>
    <row r="9" spans="1:9" x14ac:dyDescent="0.3">
      <c r="A9" t="s">
        <v>84</v>
      </c>
      <c r="B9">
        <v>72.647058823529406</v>
      </c>
      <c r="C9">
        <v>53.26179626016539</v>
      </c>
      <c r="D9">
        <f t="shared" si="0"/>
        <v>53.957512702143561</v>
      </c>
      <c r="E9">
        <v>33</v>
      </c>
      <c r="F9">
        <f t="shared" si="1"/>
        <v>20.957512702143561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85</v>
      </c>
      <c r="B2">
        <v>35.02697647215399</v>
      </c>
      <c r="C2">
        <v>37.055215178703904</v>
      </c>
      <c r="D2">
        <f t="shared" ref="D2:D9" si="0">B2*$I$2+C2*$I$3</f>
        <v>30.13428663784752</v>
      </c>
      <c r="E2">
        <v>44</v>
      </c>
      <c r="F2">
        <f t="shared" ref="F2:F9" si="1">ABS(D2-E2)</f>
        <v>13.86571336215248</v>
      </c>
      <c r="H2" t="s">
        <v>7</v>
      </c>
      <c r="I2">
        <v>0.4349087223574678</v>
      </c>
    </row>
    <row r="3" spans="1:9" x14ac:dyDescent="0.3">
      <c r="A3" t="s">
        <v>86</v>
      </c>
      <c r="B3">
        <v>57.767855713826172</v>
      </c>
      <c r="C3">
        <v>49.923119508115235</v>
      </c>
      <c r="D3">
        <f t="shared" si="0"/>
        <v>45.198971846776459</v>
      </c>
      <c r="E3">
        <v>72</v>
      </c>
      <c r="F3">
        <f t="shared" si="1"/>
        <v>26.801028153223541</v>
      </c>
      <c r="H3" t="s">
        <v>9</v>
      </c>
      <c r="I3">
        <v>0.40212285856220287</v>
      </c>
    </row>
    <row r="4" spans="1:9" x14ac:dyDescent="0.3">
      <c r="A4" t="s">
        <v>87</v>
      </c>
      <c r="B4">
        <v>40.540667964829474</v>
      </c>
      <c r="C4">
        <v>39.464257751542306</v>
      </c>
      <c r="D4">
        <f t="shared" si="0"/>
        <v>33.500970246188075</v>
      </c>
      <c r="E4">
        <v>29</v>
      </c>
      <c r="F4">
        <f t="shared" si="1"/>
        <v>4.500970246188075</v>
      </c>
    </row>
    <row r="5" spans="1:9" x14ac:dyDescent="0.3">
      <c r="A5" t="s">
        <v>88</v>
      </c>
      <c r="B5">
        <v>36.787084960658582</v>
      </c>
      <c r="C5">
        <v>44.100499494175537</v>
      </c>
      <c r="D5">
        <f t="shared" si="0"/>
        <v>33.732843040114489</v>
      </c>
      <c r="E5">
        <v>29</v>
      </c>
      <c r="F5">
        <f t="shared" si="1"/>
        <v>4.7328430401144885</v>
      </c>
      <c r="H5" t="s">
        <v>12</v>
      </c>
      <c r="I5" cm="1">
        <f t="array" ref="I5">(SUM(TableMCI[PP]-TableMCI[AP]))^2</f>
        <v>6.1846694969327326E-28</v>
      </c>
    </row>
    <row r="6" spans="1:9" x14ac:dyDescent="0.3">
      <c r="A6" t="s">
        <v>89</v>
      </c>
      <c r="B6">
        <v>40.533407490874403</v>
      </c>
      <c r="C6">
        <v>46.666705125375593</v>
      </c>
      <c r="D6">
        <f t="shared" si="0"/>
        <v>36.394081329346236</v>
      </c>
      <c r="E6">
        <v>42</v>
      </c>
      <c r="F6">
        <f t="shared" si="1"/>
        <v>5.6059186706537645</v>
      </c>
    </row>
    <row r="7" spans="1:9" x14ac:dyDescent="0.3">
      <c r="A7" t="s">
        <v>90</v>
      </c>
      <c r="B7">
        <v>30.487179939701413</v>
      </c>
      <c r="C7">
        <v>34.941049614994085</v>
      </c>
      <c r="D7">
        <f t="shared" si="0"/>
        <v>27.309735228202946</v>
      </c>
      <c r="E7">
        <v>26</v>
      </c>
      <c r="F7">
        <f t="shared" si="1"/>
        <v>1.3097352282029462</v>
      </c>
      <c r="H7" t="s">
        <v>15</v>
      </c>
      <c r="I7">
        <f>AVERAGE(TableMCI[DIFF])/10</f>
        <v>1.2403397436630601</v>
      </c>
    </row>
    <row r="8" spans="1:9" x14ac:dyDescent="0.3">
      <c r="A8" t="s">
        <v>91</v>
      </c>
      <c r="B8">
        <v>168.94736842105263</v>
      </c>
      <c r="C8">
        <v>103.43445094138202</v>
      </c>
      <c r="D8">
        <f t="shared" si="0"/>
        <v>115.07004123201688</v>
      </c>
      <c r="E8">
        <v>76</v>
      </c>
      <c r="F8">
        <f t="shared" si="1"/>
        <v>39.070041232016877</v>
      </c>
    </row>
    <row r="9" spans="1:9" x14ac:dyDescent="0.3">
      <c r="A9" t="s">
        <v>92</v>
      </c>
      <c r="B9">
        <v>27.485295122915517</v>
      </c>
      <c r="C9">
        <v>49.00362024790013</v>
      </c>
      <c r="D9">
        <f t="shared" si="0"/>
        <v>31.659070439507371</v>
      </c>
      <c r="E9">
        <v>35</v>
      </c>
      <c r="F9">
        <f t="shared" si="1"/>
        <v>3.3409295604926292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67.999999996078643</v>
      </c>
      <c r="C2">
        <v>48.717334087991745</v>
      </c>
      <c r="D2">
        <f>B2*$I$2+C2*$I$3</f>
        <v>54.494945178304022</v>
      </c>
      <c r="E2">
        <v>50</v>
      </c>
      <c r="F2">
        <f>ABS(D2-E2)</f>
        <v>4.4949451783040217</v>
      </c>
      <c r="H2" t="s">
        <v>7</v>
      </c>
      <c r="I2">
        <v>0.50548199064631505</v>
      </c>
    </row>
    <row r="3" spans="1:9" x14ac:dyDescent="0.3">
      <c r="A3" t="s">
        <v>94</v>
      </c>
      <c r="B3">
        <v>39.479125930632591</v>
      </c>
      <c r="C3">
        <v>55.587095479846454</v>
      </c>
      <c r="D3">
        <f>B3*$I$2+C3*$I$3</f>
        <v>42.915637887934707</v>
      </c>
      <c r="E3">
        <v>37</v>
      </c>
      <c r="F3">
        <f>ABS(D3-E3)</f>
        <v>5.9156378879347074</v>
      </c>
      <c r="H3" t="s">
        <v>9</v>
      </c>
      <c r="I3">
        <v>0.41303922295897239</v>
      </c>
    </row>
    <row r="4" spans="1:9" x14ac:dyDescent="0.3">
      <c r="A4" t="s">
        <v>95</v>
      </c>
      <c r="B4">
        <v>76.391419860582744</v>
      </c>
      <c r="C4">
        <v>45.939777385791416</v>
      </c>
      <c r="D4">
        <f>B4*$I$2+C4*$I$3</f>
        <v>57.589416933761271</v>
      </c>
      <c r="E4">
        <v>68</v>
      </c>
      <c r="F4">
        <f>ABS(D4-E4)</f>
        <v>10.410583066238729</v>
      </c>
    </row>
    <row r="5" spans="1:9" x14ac:dyDescent="0.3">
      <c r="H5" t="s">
        <v>12</v>
      </c>
      <c r="I5" cm="1">
        <f t="array" ref="I5">(SUM(TableMUN[PP]-TableMUN[AP]))^2</f>
        <v>0</v>
      </c>
    </row>
    <row r="7" spans="1:9" x14ac:dyDescent="0.3">
      <c r="H7" t="s">
        <v>15</v>
      </c>
      <c r="I7">
        <f>AVERAGE(TableMUN[DIFF])/10</f>
        <v>0.69403887108258189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96</v>
      </c>
      <c r="B2">
        <v>44.372619599551101</v>
      </c>
      <c r="C2">
        <v>42.170541791306704</v>
      </c>
      <c r="D2">
        <f t="shared" ref="D2:D10" si="0">B2*$I$2+C2*$I$3</f>
        <v>28.614533325616321</v>
      </c>
      <c r="E2">
        <v>54</v>
      </c>
      <c r="F2">
        <f t="shared" ref="F2:F10" si="1">ABS(D2-E2)</f>
        <v>25.385466674383679</v>
      </c>
      <c r="H2" t="s">
        <v>7</v>
      </c>
      <c r="I2">
        <v>0.36688514487115131</v>
      </c>
    </row>
    <row r="3" spans="1:9" x14ac:dyDescent="0.3">
      <c r="A3" t="s">
        <v>97</v>
      </c>
      <c r="B3">
        <v>53.012076429977874</v>
      </c>
      <c r="C3">
        <v>58.913921467953294</v>
      </c>
      <c r="D3">
        <f t="shared" si="0"/>
        <v>36.681658219652803</v>
      </c>
      <c r="E3">
        <v>20</v>
      </c>
      <c r="F3">
        <f t="shared" si="1"/>
        <v>16.681658219652803</v>
      </c>
      <c r="H3" t="s">
        <v>9</v>
      </c>
      <c r="I3">
        <v>0.29249987862535154</v>
      </c>
    </row>
    <row r="4" spans="1:9" x14ac:dyDescent="0.3">
      <c r="A4" t="s">
        <v>98</v>
      </c>
      <c r="B4">
        <v>64.396008183923698</v>
      </c>
      <c r="C4">
        <v>41.194065467306579</v>
      </c>
      <c r="D4">
        <f t="shared" si="0"/>
        <v>35.675197940954654</v>
      </c>
      <c r="E4">
        <v>22</v>
      </c>
      <c r="F4">
        <f t="shared" si="1"/>
        <v>13.675197940954654</v>
      </c>
    </row>
    <row r="5" spans="1:9" x14ac:dyDescent="0.3">
      <c r="A5" t="s">
        <v>99</v>
      </c>
      <c r="B5">
        <v>99.999999997990997</v>
      </c>
      <c r="C5">
        <v>63.519272622257972</v>
      </c>
      <c r="D5">
        <f t="shared" si="0"/>
        <v>55.267894018759137</v>
      </c>
      <c r="E5">
        <v>34</v>
      </c>
      <c r="F5">
        <f t="shared" si="1"/>
        <v>21.267894018759137</v>
      </c>
      <c r="H5" t="s">
        <v>12</v>
      </c>
      <c r="I5" cm="1">
        <f t="array" ref="I5">(SUM(TableNEW[PP]-TableNEW[AP]))^2</f>
        <v>4.543838814073028E-28</v>
      </c>
    </row>
    <row r="6" spans="1:9" x14ac:dyDescent="0.3">
      <c r="A6" t="s">
        <v>100</v>
      </c>
      <c r="B6">
        <v>26.559793149440555</v>
      </c>
      <c r="C6">
        <v>26.504687889110933</v>
      </c>
      <c r="D6">
        <f t="shared" si="0"/>
        <v>17.497011547948084</v>
      </c>
      <c r="E6">
        <v>25</v>
      </c>
      <c r="F6">
        <f t="shared" si="1"/>
        <v>7.5029884520519161</v>
      </c>
    </row>
    <row r="7" spans="1:9" x14ac:dyDescent="0.3">
      <c r="A7" t="s">
        <v>101</v>
      </c>
      <c r="B7">
        <v>31.624770028937032</v>
      </c>
      <c r="C7">
        <v>29.711517048800083</v>
      </c>
      <c r="D7">
        <f t="shared" si="0"/>
        <v>20.293273464132497</v>
      </c>
      <c r="E7">
        <v>50</v>
      </c>
      <c r="F7">
        <f t="shared" si="1"/>
        <v>29.706726535867503</v>
      </c>
      <c r="H7" t="s">
        <v>15</v>
      </c>
      <c r="I7">
        <f>AVERAGE(TableNEW[DIFF])/10</f>
        <v>1.3910040369400687</v>
      </c>
    </row>
    <row r="8" spans="1:9" x14ac:dyDescent="0.3">
      <c r="A8" t="s">
        <v>102</v>
      </c>
      <c r="B8">
        <v>60.181818181818194</v>
      </c>
      <c r="C8">
        <v>42.404567822780905</v>
      </c>
      <c r="D8">
        <f t="shared" si="0"/>
        <v>34.48314602356956</v>
      </c>
      <c r="E8">
        <v>33</v>
      </c>
      <c r="F8">
        <f t="shared" si="1"/>
        <v>1.4831460235695602</v>
      </c>
    </row>
    <row r="9" spans="1:9" x14ac:dyDescent="0.3">
      <c r="A9" t="s">
        <v>103</v>
      </c>
      <c r="B9">
        <v>42.942458721002744</v>
      </c>
      <c r="C9">
        <v>43.426397722582749</v>
      </c>
      <c r="D9">
        <f t="shared" si="0"/>
        <v>28.457166251970222</v>
      </c>
      <c r="E9">
        <v>26</v>
      </c>
      <c r="F9">
        <f t="shared" si="1"/>
        <v>2.4571662519702215</v>
      </c>
    </row>
    <row r="10" spans="1:9" x14ac:dyDescent="0.3">
      <c r="A10" t="s">
        <v>104</v>
      </c>
      <c r="B10">
        <v>66.844173908606535</v>
      </c>
      <c r="C10">
        <v>42.755521260107763</v>
      </c>
      <c r="D10">
        <f t="shared" si="0"/>
        <v>37.030119207396702</v>
      </c>
      <c r="E10">
        <v>30</v>
      </c>
      <c r="F10">
        <f t="shared" si="1"/>
        <v>7.0301192073967016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105</v>
      </c>
      <c r="B2">
        <v>36.397748004335277</v>
      </c>
      <c r="C2">
        <v>30.107927764224588</v>
      </c>
      <c r="D2">
        <f>B2*$I$2+C2*$I$3</f>
        <v>33.950358178786374</v>
      </c>
      <c r="E2">
        <v>23</v>
      </c>
      <c r="F2">
        <f>ABS(D2-E2)</f>
        <v>10.950358178786374</v>
      </c>
      <c r="H2" t="s">
        <v>7</v>
      </c>
      <c r="I2">
        <v>0.49119636084039819</v>
      </c>
    </row>
    <row r="3" spans="1:9" x14ac:dyDescent="0.3">
      <c r="A3" t="s">
        <v>106</v>
      </c>
      <c r="B3">
        <v>38.5</v>
      </c>
      <c r="C3">
        <v>42.894510453146978</v>
      </c>
      <c r="D3">
        <f>B3*$I$2+C3*$I$3</f>
        <v>41.808584068589539</v>
      </c>
      <c r="E3">
        <v>33</v>
      </c>
      <c r="F3">
        <f>ABS(D3-E3)</f>
        <v>8.8085840685895391</v>
      </c>
      <c r="H3" t="s">
        <v>9</v>
      </c>
      <c r="I3">
        <v>0.53381012941608996</v>
      </c>
    </row>
    <row r="4" spans="1:9" x14ac:dyDescent="0.3">
      <c r="A4" t="s">
        <v>107</v>
      </c>
      <c r="B4">
        <v>22.17900608190353</v>
      </c>
      <c r="C4">
        <v>32.496218640719455</v>
      </c>
      <c r="D4">
        <f>B4*$I$2+C4*$I$3</f>
        <v>28.24105775262408</v>
      </c>
      <c r="E4">
        <v>48</v>
      </c>
      <c r="F4">
        <f>ABS(D4-E4)</f>
        <v>19.75894224737592</v>
      </c>
    </row>
    <row r="5" spans="1:9" x14ac:dyDescent="0.3">
      <c r="H5" t="s">
        <v>12</v>
      </c>
      <c r="I5" cm="1">
        <f t="array" ref="I5">(SUM(TableNFO[PP]-TableNFO[AP]))^2</f>
        <v>5.0487097934144756E-29</v>
      </c>
    </row>
    <row r="7" spans="1:9" x14ac:dyDescent="0.3">
      <c r="H7" t="s">
        <v>15</v>
      </c>
      <c r="I7">
        <f>AVERAGE(TableNFO[DIFF])/10</f>
        <v>1.3172628164917277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37.615536601776263</v>
      </c>
      <c r="C2">
        <v>41.590126062022499</v>
      </c>
      <c r="D2">
        <f>B2*$I$2+C2*$I$3</f>
        <v>34.183030659017078</v>
      </c>
      <c r="E2">
        <v>36</v>
      </c>
      <c r="F2">
        <f>ABS(D2-E2)</f>
        <v>1.8169693409829222</v>
      </c>
      <c r="H2" t="s">
        <v>7</v>
      </c>
      <c r="I2">
        <v>0.38778206735066739</v>
      </c>
    </row>
    <row r="3" spans="1:9" x14ac:dyDescent="0.3">
      <c r="A3" t="s">
        <v>109</v>
      </c>
      <c r="B3">
        <v>22.955109937856122</v>
      </c>
      <c r="C3">
        <v>25.171375379872732</v>
      </c>
      <c r="D3">
        <f>B3*$I$2+C3*$I$3</f>
        <v>20.761807161943935</v>
      </c>
      <c r="E3">
        <v>20</v>
      </c>
      <c r="F3">
        <f>ABS(D3-E3)</f>
        <v>0.76180716194393483</v>
      </c>
      <c r="H3" t="s">
        <v>9</v>
      </c>
      <c r="I3">
        <v>0.47117914674872274</v>
      </c>
    </row>
    <row r="4" spans="1:9" x14ac:dyDescent="0.3">
      <c r="A4" t="s">
        <v>110</v>
      </c>
      <c r="B4">
        <v>24.819879759749696</v>
      </c>
      <c r="C4">
        <v>36.993271061938195</v>
      </c>
      <c r="D4">
        <f>B4*$I$2+C4*$I$3</f>
        <v>27.05516217903898</v>
      </c>
      <c r="E4">
        <v>26</v>
      </c>
      <c r="F4">
        <f>ABS(D4-E4)</f>
        <v>1.0551621790389802</v>
      </c>
    </row>
    <row r="5" spans="1:9" x14ac:dyDescent="0.3">
      <c r="H5" t="s">
        <v>12</v>
      </c>
      <c r="I5" cm="1">
        <f t="array" ref="I5">(SUM(TableSOU[PP]-TableSOU[AP]))^2</f>
        <v>5.0487097934144756E-29</v>
      </c>
    </row>
    <row r="7" spans="1:9" x14ac:dyDescent="0.3">
      <c r="H7" t="s">
        <v>15</v>
      </c>
      <c r="I7">
        <f>AVERAGE(TableSOU[DIFF])/10</f>
        <v>0.12113128939886124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111</v>
      </c>
      <c r="B2">
        <v>105.25296361768008</v>
      </c>
      <c r="C2">
        <v>65.571370154439492</v>
      </c>
      <c r="D2">
        <f t="shared" ref="D2:D8" si="0">B2*$I$2+C2*$I$3</f>
        <v>65.169931862737798</v>
      </c>
      <c r="E2">
        <v>72</v>
      </c>
      <c r="F2">
        <f t="shared" ref="F2:F8" si="1">ABS(D2-E2)</f>
        <v>6.8300681372622023</v>
      </c>
      <c r="H2" t="s">
        <v>7</v>
      </c>
      <c r="I2">
        <v>0.40568077697174953</v>
      </c>
    </row>
    <row r="3" spans="1:9" x14ac:dyDescent="0.3">
      <c r="A3" t="s">
        <v>112</v>
      </c>
      <c r="B3">
        <v>69.181818175897604</v>
      </c>
      <c r="C3">
        <v>47.187847067729997</v>
      </c>
      <c r="D3">
        <f t="shared" si="0"/>
        <v>44.236662973915521</v>
      </c>
      <c r="E3">
        <v>57</v>
      </c>
      <c r="F3">
        <f t="shared" si="1"/>
        <v>12.763337026084479</v>
      </c>
      <c r="H3" t="s">
        <v>9</v>
      </c>
      <c r="I3">
        <v>0.34269266832175038</v>
      </c>
    </row>
    <row r="4" spans="1:9" x14ac:dyDescent="0.3">
      <c r="A4" t="s">
        <v>113</v>
      </c>
      <c r="B4">
        <v>30.635235521335332</v>
      </c>
      <c r="C4">
        <v>36.054527991886275</v>
      </c>
      <c r="D4">
        <f t="shared" si="0"/>
        <v>24.783748551628605</v>
      </c>
      <c r="E4">
        <v>20</v>
      </c>
      <c r="F4">
        <f t="shared" si="1"/>
        <v>4.7837485516286051</v>
      </c>
    </row>
    <row r="5" spans="1:9" x14ac:dyDescent="0.3">
      <c r="A5" t="s">
        <v>114</v>
      </c>
      <c r="B5">
        <v>29.41059313841869</v>
      </c>
      <c r="C5">
        <v>35.247890659591199</v>
      </c>
      <c r="D5">
        <f t="shared" si="0"/>
        <v>24.01050597844231</v>
      </c>
      <c r="E5">
        <v>36</v>
      </c>
      <c r="F5">
        <f t="shared" si="1"/>
        <v>11.98949402155769</v>
      </c>
      <c r="H5" t="s">
        <v>12</v>
      </c>
      <c r="I5" cm="1">
        <f t="array" ref="I5">(SUM(TableTOT[PP]-TableTOT[AP]))^2</f>
        <v>4.543838814073028E-28</v>
      </c>
    </row>
    <row r="6" spans="1:9" x14ac:dyDescent="0.3">
      <c r="A6" t="s">
        <v>115</v>
      </c>
      <c r="B6">
        <v>29.870368137041616</v>
      </c>
      <c r="C6">
        <v>37.83649398431232</v>
      </c>
      <c r="D6">
        <f t="shared" si="0"/>
        <v>25.084123237691081</v>
      </c>
      <c r="E6">
        <v>24</v>
      </c>
      <c r="F6">
        <f t="shared" si="1"/>
        <v>1.084123237691081</v>
      </c>
    </row>
    <row r="7" spans="1:9" x14ac:dyDescent="0.3">
      <c r="A7" t="s">
        <v>116</v>
      </c>
      <c r="B7">
        <v>43.857142857142861</v>
      </c>
      <c r="C7">
        <v>38.791245490279294</v>
      </c>
      <c r="D7">
        <f t="shared" si="0"/>
        <v>31.085475214634606</v>
      </c>
      <c r="E7">
        <v>20</v>
      </c>
      <c r="F7">
        <f t="shared" si="1"/>
        <v>11.085475214634606</v>
      </c>
      <c r="H7" t="s">
        <v>15</v>
      </c>
      <c r="I7">
        <f>AVERAGE(TableTOT[DIFF])/10</f>
        <v>0.90236854814012468</v>
      </c>
    </row>
    <row r="8" spans="1:9" x14ac:dyDescent="0.3">
      <c r="A8" t="s">
        <v>117</v>
      </c>
      <c r="B8">
        <v>52.857142857142854</v>
      </c>
      <c r="C8">
        <v>44.314999420703131</v>
      </c>
      <c r="D8">
        <f t="shared" si="0"/>
        <v>36.629552180950057</v>
      </c>
      <c r="E8">
        <v>22</v>
      </c>
      <c r="F8">
        <f t="shared" si="1"/>
        <v>14.629552180950057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118</v>
      </c>
      <c r="B2">
        <v>31.548241669278696</v>
      </c>
      <c r="C2">
        <v>32.425641275784351</v>
      </c>
      <c r="D2">
        <f t="shared" ref="D2:D9" si="0">B2*$I$2+C2*$I$3</f>
        <v>33.034222819851088</v>
      </c>
      <c r="E2">
        <v>25</v>
      </c>
      <c r="F2">
        <f t="shared" ref="F2:F9" si="1">ABS(D2-E2)</f>
        <v>8.0342228198510881</v>
      </c>
      <c r="H2" t="s">
        <v>7</v>
      </c>
      <c r="I2">
        <v>0.53614751547617701</v>
      </c>
    </row>
    <row r="3" spans="1:9" x14ac:dyDescent="0.3">
      <c r="A3" t="s">
        <v>119</v>
      </c>
      <c r="B3">
        <v>38.25</v>
      </c>
      <c r="C3">
        <v>36.023977775819354</v>
      </c>
      <c r="D3">
        <f t="shared" si="0"/>
        <v>38.416189638388538</v>
      </c>
      <c r="E3">
        <v>38</v>
      </c>
      <c r="F3">
        <f t="shared" si="1"/>
        <v>0.41618963838853773</v>
      </c>
      <c r="H3" t="s">
        <v>9</v>
      </c>
      <c r="I3">
        <v>0.49712853152617853</v>
      </c>
    </row>
    <row r="4" spans="1:9" x14ac:dyDescent="0.3">
      <c r="A4" t="s">
        <v>120</v>
      </c>
      <c r="B4">
        <v>30.585814185594717</v>
      </c>
      <c r="C4">
        <v>32.169791768167102</v>
      </c>
      <c r="D4">
        <f t="shared" si="0"/>
        <v>32.391029625634474</v>
      </c>
      <c r="E4">
        <v>33</v>
      </c>
      <c r="F4">
        <f t="shared" si="1"/>
        <v>0.60897037436552637</v>
      </c>
    </row>
    <row r="5" spans="1:9" x14ac:dyDescent="0.3">
      <c r="A5" t="s">
        <v>121</v>
      </c>
      <c r="B5">
        <v>35.195904747711062</v>
      </c>
      <c r="C5">
        <v>27.414917218293731</v>
      </c>
      <c r="D5">
        <f t="shared" si="0"/>
        <v>32.498934424063577</v>
      </c>
      <c r="E5">
        <v>29</v>
      </c>
      <c r="F5">
        <f t="shared" si="1"/>
        <v>3.4989344240635774</v>
      </c>
      <c r="H5" t="s">
        <v>12</v>
      </c>
      <c r="I5" cm="1">
        <f t="array" ref="I5">(SUM(TableWHU[PP]-TableWHU[AP]))^2</f>
        <v>0</v>
      </c>
    </row>
    <row r="6" spans="1:9" x14ac:dyDescent="0.3">
      <c r="A6" t="s">
        <v>122</v>
      </c>
      <c r="B6">
        <v>31.677010717643164</v>
      </c>
      <c r="C6">
        <v>32.742886418763703</v>
      </c>
      <c r="D6">
        <f t="shared" si="0"/>
        <v>33.260973637265067</v>
      </c>
      <c r="E6">
        <v>46</v>
      </c>
      <c r="F6">
        <f t="shared" si="1"/>
        <v>12.739026362734933</v>
      </c>
    </row>
    <row r="7" spans="1:9" x14ac:dyDescent="0.3">
      <c r="A7" t="s">
        <v>123</v>
      </c>
      <c r="B7">
        <v>44.718020841515525</v>
      </c>
      <c r="C7">
        <v>45.124153581902554</v>
      </c>
      <c r="D7">
        <f t="shared" si="0"/>
        <v>46.407959977723415</v>
      </c>
      <c r="E7">
        <v>40</v>
      </c>
      <c r="F7">
        <f t="shared" si="1"/>
        <v>6.4079599777234151</v>
      </c>
      <c r="H7" t="s">
        <v>15</v>
      </c>
      <c r="I7">
        <f>AVERAGE(TableWHU[DIFF])/10</f>
        <v>0.50297953885117475</v>
      </c>
    </row>
    <row r="8" spans="1:9" x14ac:dyDescent="0.3">
      <c r="A8" t="s">
        <v>124</v>
      </c>
      <c r="B8">
        <v>40.766751802438797</v>
      </c>
      <c r="C8">
        <v>29.981948441685784</v>
      </c>
      <c r="D8">
        <f t="shared" si="0"/>
        <v>36.761874694020371</v>
      </c>
      <c r="E8">
        <v>35</v>
      </c>
      <c r="F8">
        <f t="shared" si="1"/>
        <v>1.7618746940203707</v>
      </c>
    </row>
    <row r="9" spans="1:9" x14ac:dyDescent="0.3">
      <c r="A9" t="s">
        <v>125</v>
      </c>
      <c r="B9">
        <v>33.088101134771563</v>
      </c>
      <c r="C9">
        <v>29.144800688347246</v>
      </c>
      <c r="D9">
        <f t="shared" si="0"/>
        <v>32.22881518305347</v>
      </c>
      <c r="E9">
        <v>39</v>
      </c>
      <c r="F9">
        <f t="shared" si="1"/>
        <v>6.7711848169465298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126</v>
      </c>
      <c r="B2">
        <v>41.182633253441772</v>
      </c>
      <c r="C2">
        <v>39.963936857023988</v>
      </c>
      <c r="D2">
        <f>B2*$I$2+C2*$I$3</f>
        <v>36.159446226433431</v>
      </c>
      <c r="E2">
        <v>50</v>
      </c>
      <c r="F2">
        <f>ABS(D2-E2)</f>
        <v>13.840553773566569</v>
      </c>
      <c r="H2" t="s">
        <v>7</v>
      </c>
      <c r="I2">
        <v>0.447438532401426</v>
      </c>
    </row>
    <row r="3" spans="1:9" x14ac:dyDescent="0.3">
      <c r="A3" t="s">
        <v>127</v>
      </c>
      <c r="B3">
        <v>37.193706336764428</v>
      </c>
      <c r="C3">
        <v>50.103988757750237</v>
      </c>
      <c r="D3">
        <f>B3*$I$2+C3*$I$3</f>
        <v>38.873978063493198</v>
      </c>
      <c r="E3">
        <v>32</v>
      </c>
      <c r="F3">
        <f>ABS(D3-E3)</f>
        <v>6.8739780634931975</v>
      </c>
      <c r="H3" t="s">
        <v>9</v>
      </c>
      <c r="I3">
        <v>0.44371877842086527</v>
      </c>
    </row>
    <row r="4" spans="1:9" x14ac:dyDescent="0.3">
      <c r="A4" t="s">
        <v>128</v>
      </c>
      <c r="B4">
        <v>45.388801097695051</v>
      </c>
      <c r="C4">
        <v>31.325142671586761</v>
      </c>
      <c r="D4">
        <f>B4*$I$2+C4*$I$3</f>
        <v>34.208252590708703</v>
      </c>
      <c r="E4">
        <v>20</v>
      </c>
      <c r="F4">
        <f>ABS(D4-E4)</f>
        <v>14.208252590708703</v>
      </c>
    </row>
    <row r="5" spans="1:9" x14ac:dyDescent="0.3">
      <c r="A5" t="s">
        <v>129</v>
      </c>
      <c r="B5">
        <v>31.733333288896258</v>
      </c>
      <c r="C5">
        <v>32.812690723145124</v>
      </c>
      <c r="D5">
        <f>B5*$I$2+C5*$I$3</f>
        <v>28.758323119364672</v>
      </c>
      <c r="E5">
        <v>36</v>
      </c>
      <c r="F5">
        <f>ABS(D5-E5)</f>
        <v>7.2416768806353282</v>
      </c>
      <c r="H5" t="s">
        <v>12</v>
      </c>
      <c r="I5" cm="1">
        <f t="array" ref="I5">(SUM(TableWOL[PP]-TableWOL[AP]))^2</f>
        <v>1.2621774483536189E-29</v>
      </c>
    </row>
    <row r="7" spans="1:9" x14ac:dyDescent="0.3">
      <c r="H7" t="s">
        <v>15</v>
      </c>
      <c r="I7">
        <f>AVERAGE(TableWOL[DIFF])/10</f>
        <v>1.0541115327100949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2023-05-12T14:26:01Z</dcterms:created>
  <dcterms:modified xsi:type="dcterms:W3CDTF">2023-05-12T14:35:56Z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35654fb2-fea2-4237-b76e-f838fd6e8cef</vt:lpwstr>
  </property>
</Properties>
</file>