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3FF4CA85-7DA5-4F1D-BD8D-764C21F8A7C5}" xr6:coauthVersionLast="47" xr6:coauthVersionMax="47" xr10:uidLastSave="{00000000-0000-0000-0000-000000000000}"/>
  <bookViews>
    <workbookView xWindow="-108" yWindow="-108" windowWidth="23256" windowHeight="12576" firstSheet="6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0" l="1"/>
  <c r="F5" i="20" s="1"/>
  <c r="D4" i="20"/>
  <c r="F4" i="20" s="1"/>
  <c r="D3" i="20"/>
  <c r="F3" i="20" s="1"/>
  <c r="D2" i="20"/>
  <c r="F2" i="20" s="1"/>
  <c r="D9" i="19"/>
  <c r="F9" i="19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F2" i="19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4" i="17"/>
  <c r="F4" i="17" s="1"/>
  <c r="D3" i="17"/>
  <c r="F3" i="17" s="1"/>
  <c r="D2" i="17"/>
  <c r="F2" i="17" s="1"/>
  <c r="D3" i="16"/>
  <c r="F3" i="16" s="1"/>
  <c r="D2" i="16"/>
  <c r="F2" i="16" s="1"/>
  <c r="D13" i="15"/>
  <c r="F13" i="15" s="1"/>
  <c r="D12" i="15"/>
  <c r="F12" i="15" s="1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D4" i="15"/>
  <c r="F4" i="15" s="1"/>
  <c r="D3" i="15"/>
  <c r="F3" i="15" s="1"/>
  <c r="D2" i="15"/>
  <c r="F2" i="15" s="1"/>
  <c r="D4" i="14"/>
  <c r="F4" i="14" s="1"/>
  <c r="D3" i="14"/>
  <c r="F3" i="14" s="1"/>
  <c r="D2" i="14"/>
  <c r="F2" i="14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9" i="12"/>
  <c r="F9" i="12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6" i="11"/>
  <c r="F6" i="11" s="1"/>
  <c r="D5" i="11"/>
  <c r="F5" i="11" s="1"/>
  <c r="D4" i="11"/>
  <c r="F4" i="11" s="1"/>
  <c r="D3" i="11"/>
  <c r="F3" i="11" s="1"/>
  <c r="D2" i="11"/>
  <c r="F2" i="11" s="1"/>
  <c r="D4" i="10"/>
  <c r="F4" i="10" s="1"/>
  <c r="D3" i="10"/>
  <c r="F3" i="10" s="1"/>
  <c r="D2" i="10"/>
  <c r="F2" i="10" s="1"/>
  <c r="D5" i="9"/>
  <c r="F5" i="9" s="1"/>
  <c r="D4" i="9"/>
  <c r="F4" i="9" s="1"/>
  <c r="D3" i="9"/>
  <c r="F3" i="9" s="1"/>
  <c r="D2" i="9"/>
  <c r="F2" i="9" s="1"/>
  <c r="D6" i="8"/>
  <c r="F6" i="8" s="1"/>
  <c r="D5" i="8"/>
  <c r="F5" i="8" s="1"/>
  <c r="D4" i="8"/>
  <c r="F4" i="8" s="1"/>
  <c r="D3" i="8"/>
  <c r="F3" i="8" s="1"/>
  <c r="D2" i="8"/>
  <c r="F2" i="8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3" i="6"/>
  <c r="F3" i="6" s="1"/>
  <c r="D2" i="6"/>
  <c r="F2" i="6" s="1"/>
  <c r="I7" i="6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5" i="3"/>
  <c r="D4" i="3"/>
  <c r="F4" i="3" s="1"/>
  <c r="D3" i="3"/>
  <c r="F3" i="3" s="1"/>
  <c r="D2" i="3"/>
  <c r="F2" i="3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7" i="20" l="1"/>
  <c r="I5" i="20" a="1"/>
  <c r="I5" i="20" s="1"/>
  <c r="I5" i="19" a="1"/>
  <c r="I5" i="19" s="1"/>
  <c r="I5" i="18" a="1"/>
  <c r="I5" i="18" s="1"/>
  <c r="I5" i="17" a="1"/>
  <c r="I5" i="17" s="1"/>
  <c r="I5" i="16" a="1"/>
  <c r="I5" i="16" s="1"/>
  <c r="I7" i="16"/>
  <c r="I5" i="15" a="1"/>
  <c r="I5" i="15" s="1"/>
  <c r="I5" i="14" a="1"/>
  <c r="I5" i="14" s="1"/>
  <c r="I5" i="13" a="1"/>
  <c r="I5" i="13" s="1"/>
  <c r="I5" i="12" a="1"/>
  <c r="I5" i="12" s="1"/>
  <c r="I5" i="11" a="1"/>
  <c r="I5" i="11" s="1"/>
  <c r="I5" i="10" a="1"/>
  <c r="I5" i="10" s="1"/>
  <c r="I5" i="9" a="1"/>
  <c r="I5" i="9" s="1"/>
  <c r="I7" i="8"/>
  <c r="I5" i="8" a="1"/>
  <c r="I5" i="8" s="1"/>
  <c r="I5" i="7" a="1"/>
  <c r="I5" i="7" s="1"/>
  <c r="I5" i="6" a="1"/>
  <c r="I5" i="6" s="1"/>
  <c r="I5" i="5" a="1"/>
  <c r="I5" i="5" s="1"/>
  <c r="I5" i="4" a="1"/>
  <c r="I5" i="4" s="1"/>
  <c r="I5" i="3" a="1"/>
  <c r="I5" i="3" s="1"/>
  <c r="I5" i="2" a="1"/>
  <c r="I5" i="2" s="1"/>
  <c r="I7" i="2"/>
  <c r="I5" i="1" a="1"/>
  <c r="I5" i="1" s="1"/>
  <c r="I7" i="9"/>
  <c r="I7" i="11"/>
  <c r="I7" i="17"/>
  <c r="I7" i="19"/>
  <c r="I7" i="13"/>
  <c r="I7" i="4"/>
  <c r="I7" i="7"/>
  <c r="I7" i="14"/>
  <c r="I7" i="5"/>
  <c r="I7" i="10"/>
  <c r="I7" i="12"/>
  <c r="I7" i="1"/>
  <c r="I7" i="18"/>
  <c r="F5" i="3"/>
  <c r="I7" i="3" s="1"/>
  <c r="F5" i="15"/>
  <c r="I7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<sst xmlns="http://schemas.openxmlformats.org/spreadsheetml/2006/main" count="319" uniqueCount="129">
  <si>
    <t>Name</t>
  </si>
  <si>
    <t>ARIMAPP</t>
  </si>
  <si>
    <t>LSTMPP</t>
  </si>
  <si>
    <t>PP</t>
  </si>
  <si>
    <t>AP</t>
  </si>
  <si>
    <t>DIFF</t>
  </si>
  <si>
    <t>Xhaka</t>
  </si>
  <si>
    <t>ARIMA</t>
  </si>
  <si>
    <t>Ødegaard</t>
  </si>
  <si>
    <t>LSTM</t>
  </si>
  <si>
    <t>White</t>
  </si>
  <si>
    <t>Nketiah</t>
  </si>
  <si>
    <t>OFF</t>
  </si>
  <si>
    <t>Saka</t>
  </si>
  <si>
    <t>Ramsdale</t>
  </si>
  <si>
    <t>AVG</t>
  </si>
  <si>
    <t>Gabriel</t>
  </si>
  <si>
    <t>Martinelli</t>
  </si>
  <si>
    <t>Trossard</t>
  </si>
  <si>
    <t>Jorginho</t>
  </si>
  <si>
    <t>Martínez</t>
  </si>
  <si>
    <t>McGinn</t>
  </si>
  <si>
    <t>Watkins</t>
  </si>
  <si>
    <t>Buendía</t>
  </si>
  <si>
    <t>Konsa</t>
  </si>
  <si>
    <t>Bailey</t>
  </si>
  <si>
    <t>Douglas Luiz</t>
  </si>
  <si>
    <t>Ramsey</t>
  </si>
  <si>
    <t>Smith</t>
  </si>
  <si>
    <t>Lerma</t>
  </si>
  <si>
    <t>Solanke</t>
  </si>
  <si>
    <t>Billing</t>
  </si>
  <si>
    <t>Toney</t>
  </si>
  <si>
    <t>Raya</t>
  </si>
  <si>
    <t>Dasilva</t>
  </si>
  <si>
    <t>Henry</t>
  </si>
  <si>
    <t>Janelt</t>
  </si>
  <si>
    <t>Jensen</t>
  </si>
  <si>
    <t>Wissa</t>
  </si>
  <si>
    <t>Mbeumo</t>
  </si>
  <si>
    <t>Mee</t>
  </si>
  <si>
    <t>Groß</t>
  </si>
  <si>
    <t>Dunk</t>
  </si>
  <si>
    <t>March</t>
  </si>
  <si>
    <t>Veltman</t>
  </si>
  <si>
    <t>Mac Allister</t>
  </si>
  <si>
    <t>Caicedo</t>
  </si>
  <si>
    <t>Havertz</t>
  </si>
  <si>
    <t>Sterling</t>
  </si>
  <si>
    <t>Guaita</t>
  </si>
  <si>
    <t>J.Ayew</t>
  </si>
  <si>
    <t>Schlupp</t>
  </si>
  <si>
    <t>Andersen</t>
  </si>
  <si>
    <t>Edouard</t>
  </si>
  <si>
    <t>Guéhi</t>
  </si>
  <si>
    <t>Eze</t>
  </si>
  <si>
    <t>Mitchell</t>
  </si>
  <si>
    <t>C.Doucouré</t>
  </si>
  <si>
    <t>Pickford</t>
  </si>
  <si>
    <t>Iwobi</t>
  </si>
  <si>
    <t>Gray</t>
  </si>
  <si>
    <t>Tarkowski</t>
  </si>
  <si>
    <t>McNeil</t>
  </si>
  <si>
    <t>Ream</t>
  </si>
  <si>
    <t>Reed</t>
  </si>
  <si>
    <t>Robinson</t>
  </si>
  <si>
    <t>Andreas</t>
  </si>
  <si>
    <t>Rodrigo</t>
  </si>
  <si>
    <t>Harrison</t>
  </si>
  <si>
    <t>Roca</t>
  </si>
  <si>
    <t>Ward</t>
  </si>
  <si>
    <t>Vardy</t>
  </si>
  <si>
    <t>Castagne</t>
  </si>
  <si>
    <t>Maddison</t>
  </si>
  <si>
    <t>Daka</t>
  </si>
  <si>
    <t>Henderson</t>
  </si>
  <si>
    <t>Van Dijk</t>
  </si>
  <si>
    <t>Alisson</t>
  </si>
  <si>
    <t>Salah</t>
  </si>
  <si>
    <t>Robertson</t>
  </si>
  <si>
    <t>Alexander-Arnold</t>
  </si>
  <si>
    <t>Elliott</t>
  </si>
  <si>
    <t>Darwin</t>
  </si>
  <si>
    <t>Gündogan</t>
  </si>
  <si>
    <t>De Bruyne</t>
  </si>
  <si>
    <t>Ederson</t>
  </si>
  <si>
    <t>Bernardo</t>
  </si>
  <si>
    <t>Foden</t>
  </si>
  <si>
    <t>Rodri</t>
  </si>
  <si>
    <t>Haaland</t>
  </si>
  <si>
    <t>Álvarez</t>
  </si>
  <si>
    <t>De Gea</t>
  </si>
  <si>
    <t>Fernandes</t>
  </si>
  <si>
    <t>Rashford</t>
  </si>
  <si>
    <t>Wilson</t>
  </si>
  <si>
    <t>Trippier</t>
  </si>
  <si>
    <t>Burn</t>
  </si>
  <si>
    <t>Murphy</t>
  </si>
  <si>
    <t>Schär</t>
  </si>
  <si>
    <t>Almirón</t>
  </si>
  <si>
    <t>S.Longstaff</t>
  </si>
  <si>
    <t>Joelinton</t>
  </si>
  <si>
    <t>Willock</t>
  </si>
  <si>
    <t>Bruno Guimarães</t>
  </si>
  <si>
    <t>Pope</t>
  </si>
  <si>
    <t>Botman</t>
  </si>
  <si>
    <t>Johnson</t>
  </si>
  <si>
    <t>Gibbs-White</t>
  </si>
  <si>
    <t>Ward-Prowse</t>
  </si>
  <si>
    <t>Perraud</t>
  </si>
  <si>
    <t>Bazunu</t>
  </si>
  <si>
    <t>Kane</t>
  </si>
  <si>
    <t>Son</t>
  </si>
  <si>
    <t>Dier</t>
  </si>
  <si>
    <t>Davies</t>
  </si>
  <si>
    <t>Højbjerg</t>
  </si>
  <si>
    <t>Perišić</t>
  </si>
  <si>
    <t>Ings</t>
  </si>
  <si>
    <t>Fabianski</t>
  </si>
  <si>
    <t>Cresswell</t>
  </si>
  <si>
    <t>Antonio</t>
  </si>
  <si>
    <t>Benrahma</t>
  </si>
  <si>
    <t>Bowen</t>
  </si>
  <si>
    <t>Rice</t>
  </si>
  <si>
    <t>Soucek</t>
  </si>
  <si>
    <t>Sá</t>
  </si>
  <si>
    <t>Neves</t>
  </si>
  <si>
    <t>Podence</t>
  </si>
  <si>
    <t>Kilman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</si>
</sst>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1">
  <autoFilter ref="A1:F11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9">
  <autoFilter ref="A1:F9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0">
  <autoFilter ref="A1:F10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7">
  <autoFilter ref="A1:F7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3">
  <autoFilter ref="A1:F3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6">
  <autoFilter ref="A1:F6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5">
  <autoFilter ref="A1:F5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4">
  <autoFilter ref="A1:F4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6">
  <autoFilter ref="A1:F6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9">
  <autoFilter ref="A1:F9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9">
  <autoFilter ref="A1:F9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4">
  <autoFilter ref="A1:F4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3">
  <autoFilter ref="A1:F13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3">
  <autoFilter ref="A1:F3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4">
  <autoFilter ref="A1:F4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7">
  <autoFilter ref="A1:F7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9">
  <autoFilter ref="A1:F9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5">
  <autoFilter ref="A1:F5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48.18518491111751</v>
      </c>
      <c r="C2">
        <v>32.029723297906067</v>
      </c>
      <c r="D2">
        <f t="shared" ref="D2:D11" si="0">B2*$I$2+C2*$I$3</f>
        <v>37.233769053424361</v>
      </c>
      <c r="E2">
        <v>43</v>
      </c>
      <c r="F2">
        <f t="shared" ref="F2:F11" si="1">ABS(D2-E2)</f>
        <v>5.7662309465756394</v>
      </c>
      <c r="H2" t="s">
        <v>7</v>
      </c>
      <c r="I2">
        <v>0.44423789711982559</v>
      </c>
    </row>
    <row r="3" spans="1:9" x14ac:dyDescent="0.3">
      <c r="A3" t="s">
        <v>8</v>
      </c>
      <c r="B3">
        <v>41.943175961963888</v>
      </c>
      <c r="C3">
        <v>54.892248167576675</v>
      </c>
      <c r="D3">
        <f t="shared" si="0"/>
        <v>45.758774256679011</v>
      </c>
      <c r="E3">
        <v>63</v>
      </c>
      <c r="F3">
        <f t="shared" si="1"/>
        <v>17.241225743320989</v>
      </c>
      <c r="H3" t="s">
        <v>9</v>
      </c>
      <c r="I3">
        <v>0.49416860985540662</v>
      </c>
    </row>
    <row r="4" spans="1:9" x14ac:dyDescent="0.3">
      <c r="A4" t="s">
        <v>10</v>
      </c>
      <c r="B4">
        <v>43.958202705878811</v>
      </c>
      <c r="C4">
        <v>46.594528508018328</v>
      </c>
      <c r="D4">
        <f t="shared" si="0"/>
        <v>42.553452910902166</v>
      </c>
      <c r="E4">
        <v>38</v>
      </c>
      <c r="F4">
        <f t="shared" si="1"/>
        <v>4.5534529109021662</v>
      </c>
    </row>
    <row r="5" spans="1:9" x14ac:dyDescent="0.3">
      <c r="A5" t="s">
        <v>11</v>
      </c>
      <c r="B5">
        <v>21.750261957464424</v>
      </c>
      <c r="C5">
        <v>41.154008623906954</v>
      </c>
      <c r="D5">
        <f t="shared" si="0"/>
        <v>29.999309865442854</v>
      </c>
      <c r="E5">
        <v>29</v>
      </c>
      <c r="F5">
        <f t="shared" si="1"/>
        <v>0.99930986544285361</v>
      </c>
      <c r="H5" t="s">
        <v>12</v>
      </c>
      <c r="I5" cm="1">
        <f t="array" ref="I5">(SUM(TableARS[PP]-TableARS[AP]))^2</f>
        <v>2.473867798773093E-27</v>
      </c>
    </row>
    <row r="6" spans="1:9" x14ac:dyDescent="0.3">
      <c r="A6" t="s">
        <v>13</v>
      </c>
      <c r="B6">
        <v>41.114832213132196</v>
      </c>
      <c r="C6">
        <v>56.907078058045407</v>
      </c>
      <c r="D6">
        <f t="shared" si="0"/>
        <v>46.386458257673723</v>
      </c>
      <c r="E6">
        <v>45</v>
      </c>
      <c r="F6">
        <f t="shared" si="1"/>
        <v>1.3864582576737234</v>
      </c>
    </row>
    <row r="7" spans="1:9" x14ac:dyDescent="0.3">
      <c r="A7" t="s">
        <v>14</v>
      </c>
      <c r="B7">
        <v>37.141732323230727</v>
      </c>
      <c r="C7">
        <v>38.94787424148835</v>
      </c>
      <c r="D7">
        <f t="shared" si="0"/>
        <v>35.746581933398971</v>
      </c>
      <c r="E7">
        <v>32</v>
      </c>
      <c r="F7">
        <f t="shared" si="1"/>
        <v>3.7465819333989714</v>
      </c>
      <c r="H7" t="s">
        <v>15</v>
      </c>
      <c r="I7">
        <f>AVERAGE(TableARS[DIFF])/10</f>
        <v>0.57364803221063965</v>
      </c>
    </row>
    <row r="8" spans="1:9" x14ac:dyDescent="0.3">
      <c r="A8" t="s">
        <v>16</v>
      </c>
      <c r="B8">
        <v>39.341412860953895</v>
      </c>
      <c r="C8">
        <v>42.458798052382456</v>
      </c>
      <c r="D8">
        <f t="shared" si="0"/>
        <v>38.4587517287503</v>
      </c>
      <c r="E8">
        <v>31</v>
      </c>
      <c r="F8">
        <f t="shared" si="1"/>
        <v>7.4587517287503005</v>
      </c>
    </row>
    <row r="9" spans="1:9" x14ac:dyDescent="0.3">
      <c r="A9" t="s">
        <v>17</v>
      </c>
      <c r="B9">
        <v>50.937318109066098</v>
      </c>
      <c r="C9">
        <v>56.04720220042617</v>
      </c>
      <c r="D9">
        <f t="shared" si="0"/>
        <v>50.325055079364617</v>
      </c>
      <c r="E9">
        <v>56</v>
      </c>
      <c r="F9">
        <f t="shared" si="1"/>
        <v>5.674944920635383</v>
      </c>
    </row>
    <row r="10" spans="1:9" x14ac:dyDescent="0.3">
      <c r="A10" t="s">
        <v>18</v>
      </c>
      <c r="B10">
        <v>38.203697361151626</v>
      </c>
      <c r="C10">
        <v>41.735442512377212</v>
      </c>
      <c r="D10">
        <f t="shared" si="0"/>
        <v>37.595875785961915</v>
      </c>
      <c r="E10">
        <v>36</v>
      </c>
      <c r="F10">
        <f t="shared" si="1"/>
        <v>1.5958757859619155</v>
      </c>
    </row>
    <row r="11" spans="1:9" x14ac:dyDescent="0.3">
      <c r="A11" t="s">
        <v>19</v>
      </c>
      <c r="B11">
        <v>33.822678811589469</v>
      </c>
      <c r="C11">
        <v>30.185356011477225</v>
      </c>
      <c r="D11">
        <f t="shared" si="0"/>
        <v>29.941971128402031</v>
      </c>
      <c r="E11">
        <v>21</v>
      </c>
      <c r="F11">
        <f t="shared" si="1"/>
        <v>8.9419711284020309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20</v>
      </c>
      <c r="B2">
        <v>53.913043441520188</v>
      </c>
      <c r="C2">
        <v>43.4398228757982</v>
      </c>
      <c r="D2">
        <f t="shared" ref="D2:D9" si="0">B2*$I$2+C2*$I$3</f>
        <v>50.21644740124102</v>
      </c>
      <c r="E2">
        <v>41</v>
      </c>
      <c r="F2">
        <f t="shared" ref="F2:F9" si="1">ABS(D2-E2)</f>
        <v>9.2164474012410196</v>
      </c>
      <c r="H2" t="s">
        <v>7</v>
      </c>
      <c r="I2">
        <v>0.54662447554721894</v>
      </c>
    </row>
    <row r="3" spans="1:9" x14ac:dyDescent="0.3">
      <c r="A3" t="s">
        <v>21</v>
      </c>
      <c r="B3">
        <v>30.148851917536696</v>
      </c>
      <c r="C3">
        <v>32.621812866198134</v>
      </c>
      <c r="D3">
        <f t="shared" si="0"/>
        <v>32.059826786783042</v>
      </c>
      <c r="E3">
        <v>25</v>
      </c>
      <c r="F3">
        <f t="shared" si="1"/>
        <v>7.0598267867830415</v>
      </c>
      <c r="H3" t="s">
        <v>9</v>
      </c>
      <c r="I3">
        <v>0.47758616245242708</v>
      </c>
    </row>
    <row r="4" spans="1:9" x14ac:dyDescent="0.3">
      <c r="A4" t="s">
        <v>22</v>
      </c>
      <c r="B4">
        <v>92.2222222222222</v>
      </c>
      <c r="C4">
        <v>46.121948086903132</v>
      </c>
      <c r="D4">
        <f t="shared" si="0"/>
        <v>72.43812804767542</v>
      </c>
      <c r="E4">
        <v>56</v>
      </c>
      <c r="F4">
        <f t="shared" si="1"/>
        <v>16.43812804767542</v>
      </c>
    </row>
    <row r="5" spans="1:9" x14ac:dyDescent="0.3">
      <c r="A5" t="s">
        <v>23</v>
      </c>
      <c r="B5">
        <v>38.285714285714285</v>
      </c>
      <c r="C5">
        <v>34.164016860055312</v>
      </c>
      <c r="D5">
        <f t="shared" si="0"/>
        <v>37.24417019853307</v>
      </c>
      <c r="E5">
        <v>37</v>
      </c>
      <c r="F5">
        <f t="shared" si="1"/>
        <v>0.24417019853306954</v>
      </c>
      <c r="H5" t="s">
        <v>12</v>
      </c>
      <c r="I5" cm="1">
        <f t="array" ref="I5">(SUM(TableAVL[PP]-TableAVL[AP]))^2</f>
        <v>1.0223637331664313E-27</v>
      </c>
    </row>
    <row r="6" spans="1:9" x14ac:dyDescent="0.3">
      <c r="A6" t="s">
        <v>24</v>
      </c>
      <c r="B6">
        <v>31.208501684131775</v>
      </c>
      <c r="C6">
        <v>29.877357820390053</v>
      </c>
      <c r="D6">
        <f t="shared" si="0"/>
        <v>31.328343531361128</v>
      </c>
      <c r="E6">
        <v>37</v>
      </c>
      <c r="F6">
        <f t="shared" si="1"/>
        <v>5.6716564686388722</v>
      </c>
    </row>
    <row r="7" spans="1:9" x14ac:dyDescent="0.3">
      <c r="A7" t="s">
        <v>25</v>
      </c>
      <c r="B7">
        <v>28.684209937140515</v>
      </c>
      <c r="C7">
        <v>35.27277944600128</v>
      </c>
      <c r="D7">
        <f t="shared" si="0"/>
        <v>32.525282588022357</v>
      </c>
      <c r="E7">
        <v>24</v>
      </c>
      <c r="F7">
        <f t="shared" si="1"/>
        <v>8.5252825880223568</v>
      </c>
      <c r="H7" t="s">
        <v>15</v>
      </c>
      <c r="I7">
        <f>AVERAGE(TableAVL[DIFF])/10</f>
        <v>1.0370963755563731</v>
      </c>
    </row>
    <row r="8" spans="1:9" x14ac:dyDescent="0.3">
      <c r="A8" t="s">
        <v>26</v>
      </c>
      <c r="B8">
        <v>25.23442239198349</v>
      </c>
      <c r="C8">
        <v>31.547973899569357</v>
      </c>
      <c r="D8">
        <f t="shared" si="0"/>
        <v>28.860628693599633</v>
      </c>
      <c r="E8">
        <v>45</v>
      </c>
      <c r="F8">
        <f t="shared" si="1"/>
        <v>16.139371306400367</v>
      </c>
    </row>
    <row r="9" spans="1:9" x14ac:dyDescent="0.3">
      <c r="A9" t="s">
        <v>27</v>
      </c>
      <c r="B9">
        <v>26.065738215706023</v>
      </c>
      <c r="C9">
        <v>31.573365093832532</v>
      </c>
      <c r="D9">
        <f t="shared" si="0"/>
        <v>29.3271727527843</v>
      </c>
      <c r="E9">
        <v>49</v>
      </c>
      <c r="F9">
        <f t="shared" si="1"/>
        <v>19.6728272472157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28</v>
      </c>
      <c r="B2">
        <v>59.013698626899526</v>
      </c>
      <c r="C2">
        <v>23.456299190750421</v>
      </c>
      <c r="D2">
        <f>B2*$I$2+C2*$I$3</f>
        <v>43.54570690943099</v>
      </c>
      <c r="E2">
        <v>20</v>
      </c>
      <c r="F2">
        <f>ABS(D2-E2)</f>
        <v>23.54570690943099</v>
      </c>
      <c r="H2" t="s">
        <v>7</v>
      </c>
      <c r="I2">
        <v>0.53779112535618501</v>
      </c>
    </row>
    <row r="3" spans="1:9" x14ac:dyDescent="0.3">
      <c r="A3" t="s">
        <v>29</v>
      </c>
      <c r="B3">
        <v>21.885118791234834</v>
      </c>
      <c r="C3">
        <v>35.134010426674756</v>
      </c>
      <c r="D3">
        <f>B3*$I$2+C3*$I$3</f>
        <v>29.45722562368973</v>
      </c>
      <c r="E3">
        <v>33</v>
      </c>
      <c r="F3">
        <f>ABS(D3-E3)</f>
        <v>3.5427743763102697</v>
      </c>
      <c r="H3" t="s">
        <v>9</v>
      </c>
      <c r="I3">
        <v>0.50343250729409528</v>
      </c>
    </row>
    <row r="4" spans="1:9" x14ac:dyDescent="0.3">
      <c r="A4" t="s">
        <v>30</v>
      </c>
      <c r="B4">
        <v>25.233895601559553</v>
      </c>
      <c r="C4">
        <v>34.274039785418267</v>
      </c>
      <c r="D4">
        <f>B4*$I$2+C4*$I$3</f>
        <v>30.82523089695389</v>
      </c>
      <c r="E4">
        <v>42</v>
      </c>
      <c r="F4">
        <f>ABS(D4-E4)</f>
        <v>11.17476910304611</v>
      </c>
    </row>
    <row r="5" spans="1:9" x14ac:dyDescent="0.3">
      <c r="A5" t="s">
        <v>31</v>
      </c>
      <c r="B5">
        <v>26.664131100363061</v>
      </c>
      <c r="C5">
        <v>31.448313864180939</v>
      </c>
      <c r="D5">
        <f>B5*$I$2+C5*$I$3</f>
        <v>30.171836569925368</v>
      </c>
      <c r="E5">
        <v>39</v>
      </c>
      <c r="F5">
        <f>ABS(D5-E5)</f>
        <v>8.8281634300746319</v>
      </c>
      <c r="H5" t="s">
        <v>12</v>
      </c>
      <c r="I5" cm="1">
        <f t="array" ref="I5">(SUM(TableBOU[PP]-TableBOU[AP]))^2</f>
        <v>4.543838814073028E-28</v>
      </c>
    </row>
    <row r="7" spans="1:9" x14ac:dyDescent="0.3">
      <c r="H7" t="s">
        <v>15</v>
      </c>
      <c r="I7">
        <f>AVERAGE(TableBOU[DIFF])/10</f>
        <v>1.1772853454715499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32</v>
      </c>
      <c r="B2">
        <v>47.710789436471259</v>
      </c>
      <c r="C2">
        <v>55.390619340832849</v>
      </c>
      <c r="D2">
        <f t="shared" ref="D2:D10" si="0">B2*$I$2+C2*$I$3</f>
        <v>42.59271657391993</v>
      </c>
      <c r="E2">
        <v>49</v>
      </c>
      <c r="F2">
        <f t="shared" ref="F2:F10" si="1">ABS(D2-E2)</f>
        <v>6.4072834260800704</v>
      </c>
      <c r="H2" t="s">
        <v>7</v>
      </c>
      <c r="I2">
        <v>0.40960289580824977</v>
      </c>
    </row>
    <row r="3" spans="1:9" x14ac:dyDescent="0.3">
      <c r="A3" t="s">
        <v>33</v>
      </c>
      <c r="B3">
        <v>62.191489356527086</v>
      </c>
      <c r="C3">
        <v>47.357534556455249</v>
      </c>
      <c r="D3">
        <f t="shared" si="0"/>
        <v>45.181167217272773</v>
      </c>
      <c r="E3">
        <v>38</v>
      </c>
      <c r="F3">
        <f t="shared" si="1"/>
        <v>7.1811672172727725</v>
      </c>
      <c r="H3" t="s">
        <v>9</v>
      </c>
      <c r="I3">
        <v>0.41613976037367528</v>
      </c>
    </row>
    <row r="4" spans="1:9" x14ac:dyDescent="0.3">
      <c r="A4" t="s">
        <v>34</v>
      </c>
      <c r="B4">
        <v>34.217391304347821</v>
      </c>
      <c r="C4">
        <v>36.721166522565376</v>
      </c>
      <c r="D4">
        <f t="shared" si="0"/>
        <v>29.296680002607076</v>
      </c>
      <c r="E4">
        <v>20</v>
      </c>
      <c r="F4">
        <f t="shared" si="1"/>
        <v>9.2966800026070757</v>
      </c>
    </row>
    <row r="5" spans="1:9" x14ac:dyDescent="0.3">
      <c r="A5" t="s">
        <v>35</v>
      </c>
      <c r="B5">
        <v>31.478260799716022</v>
      </c>
      <c r="C5">
        <v>34.398090669196058</v>
      </c>
      <c r="D5">
        <f t="shared" si="0"/>
        <v>27.2079999869622</v>
      </c>
      <c r="E5">
        <v>30</v>
      </c>
      <c r="F5">
        <f t="shared" si="1"/>
        <v>2.7920000130378</v>
      </c>
      <c r="H5" t="s">
        <v>12</v>
      </c>
      <c r="I5" cm="1">
        <f t="array" ref="I5">(SUM(TableBRE[PP]-TableBRE[AP]))^2</f>
        <v>3.2311742677852644E-27</v>
      </c>
    </row>
    <row r="6" spans="1:9" x14ac:dyDescent="0.3">
      <c r="A6" t="s">
        <v>36</v>
      </c>
      <c r="B6">
        <v>34.598668719521093</v>
      </c>
      <c r="C6">
        <v>30.621202576910061</v>
      </c>
      <c r="D6">
        <f t="shared" si="0"/>
        <v>26.914414801335269</v>
      </c>
      <c r="E6">
        <v>23</v>
      </c>
      <c r="F6">
        <f t="shared" si="1"/>
        <v>3.9144148013352691</v>
      </c>
    </row>
    <row r="7" spans="1:9" x14ac:dyDescent="0.3">
      <c r="A7" t="s">
        <v>37</v>
      </c>
      <c r="B7">
        <v>26.735555212333139</v>
      </c>
      <c r="C7">
        <v>35.278480718009725</v>
      </c>
      <c r="D7">
        <f t="shared" si="0"/>
        <v>25.631739348352891</v>
      </c>
      <c r="E7">
        <v>32</v>
      </c>
      <c r="F7">
        <f t="shared" si="1"/>
        <v>6.368260651647109</v>
      </c>
      <c r="H7" t="s">
        <v>15</v>
      </c>
      <c r="I7">
        <f>AVERAGE(TableBRE[DIFF])/10</f>
        <v>0.60317851639879894</v>
      </c>
    </row>
    <row r="8" spans="1:9" x14ac:dyDescent="0.3">
      <c r="A8" t="s">
        <v>38</v>
      </c>
      <c r="B8">
        <v>44.823529362574646</v>
      </c>
      <c r="C8">
        <v>32.178909742846145</v>
      </c>
      <c r="D8">
        <f t="shared" si="0"/>
        <v>31.750771216730804</v>
      </c>
      <c r="E8">
        <v>25</v>
      </c>
      <c r="F8">
        <f t="shared" si="1"/>
        <v>6.7507712167308043</v>
      </c>
    </row>
    <row r="9" spans="1:9" x14ac:dyDescent="0.3">
      <c r="A9" t="s">
        <v>39</v>
      </c>
      <c r="B9">
        <v>31.006712739841465</v>
      </c>
      <c r="C9">
        <v>37.625849543562708</v>
      </c>
      <c r="D9">
        <f t="shared" si="0"/>
        <v>28.358051340647759</v>
      </c>
      <c r="E9">
        <v>34</v>
      </c>
      <c r="F9">
        <f t="shared" si="1"/>
        <v>5.6419486593522414</v>
      </c>
    </row>
    <row r="10" spans="1:9" x14ac:dyDescent="0.3">
      <c r="A10" t="s">
        <v>40</v>
      </c>
      <c r="B10">
        <v>32.030462108473053</v>
      </c>
      <c r="C10">
        <v>40.723552739221255</v>
      </c>
      <c r="D10">
        <f t="shared" si="0"/>
        <v>30.066459512171242</v>
      </c>
      <c r="E10">
        <v>36</v>
      </c>
      <c r="F10">
        <f t="shared" si="1"/>
        <v>5.9335404878287576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41</v>
      </c>
      <c r="B2">
        <v>32.524949524881478</v>
      </c>
      <c r="C2">
        <v>41.216429536318806</v>
      </c>
      <c r="D2">
        <f t="shared" ref="D2:D7" si="0">B2*$I$2+C2*$I$3</f>
        <v>35.338199023297349</v>
      </c>
      <c r="E2">
        <v>40</v>
      </c>
      <c r="F2">
        <f t="shared" ref="F2:F7" si="1">ABS(D2-E2)</f>
        <v>4.6618009767026507</v>
      </c>
      <c r="H2" t="s">
        <v>7</v>
      </c>
      <c r="I2">
        <v>0.48840415374810414</v>
      </c>
    </row>
    <row r="3" spans="1:9" x14ac:dyDescent="0.3">
      <c r="A3" t="s">
        <v>42</v>
      </c>
      <c r="B3">
        <v>53.740394483195992</v>
      </c>
      <c r="C3">
        <v>33.357824021266062</v>
      </c>
      <c r="D3">
        <f t="shared" si="0"/>
        <v>41.990891984006076</v>
      </c>
      <c r="E3">
        <v>36</v>
      </c>
      <c r="F3">
        <f t="shared" si="1"/>
        <v>5.9908919840060761</v>
      </c>
      <c r="H3" t="s">
        <v>9</v>
      </c>
      <c r="I3">
        <v>0.47196903743824925</v>
      </c>
    </row>
    <row r="4" spans="1:9" x14ac:dyDescent="0.3">
      <c r="A4" t="s">
        <v>43</v>
      </c>
      <c r="B4">
        <v>46.616631111892772</v>
      </c>
      <c r="C4">
        <v>57.86627891614836</v>
      </c>
      <c r="D4">
        <f t="shared" si="0"/>
        <v>50.078848228979332</v>
      </c>
      <c r="E4">
        <v>46</v>
      </c>
      <c r="F4">
        <f t="shared" si="1"/>
        <v>4.0788482289793322</v>
      </c>
    </row>
    <row r="5" spans="1:9" x14ac:dyDescent="0.3">
      <c r="A5" t="s">
        <v>44</v>
      </c>
      <c r="B5">
        <v>44.863013698630141</v>
      </c>
      <c r="C5">
        <v>32.397714879683463</v>
      </c>
      <c r="D5">
        <f t="shared" si="0"/>
        <v>37.202000547032107</v>
      </c>
      <c r="E5">
        <v>41</v>
      </c>
      <c r="F5">
        <f t="shared" si="1"/>
        <v>3.7979994529678933</v>
      </c>
      <c r="H5" t="s">
        <v>12</v>
      </c>
      <c r="I5" cm="1">
        <f t="array" ref="I5">(SUM(TableBHA[PP]-TableBHA[AP]))^2</f>
        <v>5.0487097934144756E-29</v>
      </c>
    </row>
    <row r="6" spans="1:9" x14ac:dyDescent="0.3">
      <c r="A6" t="s">
        <v>45</v>
      </c>
      <c r="B6">
        <v>36.889930509255038</v>
      </c>
      <c r="C6">
        <v>34.635054102334173</v>
      </c>
      <c r="D6">
        <f t="shared" si="0"/>
        <v>34.363868438499424</v>
      </c>
      <c r="E6">
        <v>47</v>
      </c>
      <c r="F6">
        <f t="shared" si="1"/>
        <v>12.636131561500576</v>
      </c>
    </row>
    <row r="7" spans="1:9" x14ac:dyDescent="0.3">
      <c r="A7" t="s">
        <v>46</v>
      </c>
      <c r="B7">
        <v>30.999999951409254</v>
      </c>
      <c r="C7">
        <v>37.895839805098433</v>
      </c>
      <c r="D7">
        <f t="shared" si="0"/>
        <v>33.026191778185705</v>
      </c>
      <c r="E7">
        <v>22</v>
      </c>
      <c r="F7">
        <f t="shared" si="1"/>
        <v>11.026191778185705</v>
      </c>
      <c r="H7" t="s">
        <v>15</v>
      </c>
      <c r="I7">
        <f>AVERAGE(TableBHA[DIFF])/10</f>
        <v>0.70319773303903721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47</v>
      </c>
      <c r="B2">
        <v>37.06581480926036</v>
      </c>
      <c r="C2">
        <v>35.148152712822544</v>
      </c>
      <c r="D2">
        <f>B2*$I$2+C2*$I$3</f>
        <v>24.191854410423225</v>
      </c>
      <c r="E2">
        <v>29</v>
      </c>
      <c r="F2">
        <f>ABS(D2-E2)</f>
        <v>4.8081455895767746</v>
      </c>
      <c r="H2" t="s">
        <v>7</v>
      </c>
      <c r="I2">
        <v>0.34000236567848791</v>
      </c>
    </row>
    <row r="3" spans="1:9" x14ac:dyDescent="0.3">
      <c r="A3" t="s">
        <v>48</v>
      </c>
      <c r="B3">
        <v>55.390678988687391</v>
      </c>
      <c r="C3">
        <v>54.514907044068927</v>
      </c>
      <c r="D3">
        <f>B3*$I$2+C3*$I$3</f>
        <v>36.808145589576782</v>
      </c>
      <c r="E3">
        <v>32</v>
      </c>
      <c r="F3">
        <f>ABS(D3-E3)</f>
        <v>4.8081455895767817</v>
      </c>
      <c r="H3" t="s">
        <v>9</v>
      </c>
      <c r="I3">
        <v>0.32972969544558733</v>
      </c>
    </row>
    <row r="5" spans="1:9" x14ac:dyDescent="0.3">
      <c r="H5" t="s">
        <v>12</v>
      </c>
      <c r="I5" cm="1">
        <f t="array" ref="I5">(SUM(TableCHE[PP]-TableCHE[AP]))^2</f>
        <v>5.0487097934144756E-29</v>
      </c>
    </row>
    <row r="7" spans="1:9" x14ac:dyDescent="0.3">
      <c r="H7" t="s">
        <v>15</v>
      </c>
      <c r="I7">
        <f>AVERAGE(TableCHE[DIFF])/10</f>
        <v>0.48081455895767783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49</v>
      </c>
      <c r="B2">
        <v>36.731370105879144</v>
      </c>
      <c r="C2">
        <v>36.681030871944273</v>
      </c>
      <c r="D2">
        <f t="shared" ref="D2:D10" si="0">B2*$I$2+C2*$I$3</f>
        <v>35.58250756391022</v>
      </c>
      <c r="E2">
        <v>38</v>
      </c>
      <c r="F2">
        <f t="shared" ref="F2:F10" si="1">ABS(D2-E2)</f>
        <v>2.4174924360897805</v>
      </c>
      <c r="H2" t="s">
        <v>7</v>
      </c>
      <c r="I2">
        <v>0.51384634084425629</v>
      </c>
    </row>
    <row r="3" spans="1:9" x14ac:dyDescent="0.3">
      <c r="A3" t="s">
        <v>50</v>
      </c>
      <c r="B3">
        <v>29.2750087448645</v>
      </c>
      <c r="C3">
        <v>27.795732335060418</v>
      </c>
      <c r="D3">
        <f t="shared" si="0"/>
        <v>27.703825748221835</v>
      </c>
      <c r="E3">
        <v>40</v>
      </c>
      <c r="F3">
        <f t="shared" si="1"/>
        <v>12.296174251778165</v>
      </c>
      <c r="H3" t="s">
        <v>9</v>
      </c>
      <c r="I3">
        <v>0.45550048740826193</v>
      </c>
    </row>
    <row r="4" spans="1:9" x14ac:dyDescent="0.3">
      <c r="A4" t="s">
        <v>51</v>
      </c>
      <c r="B4">
        <v>26.341543491384698</v>
      </c>
      <c r="C4">
        <v>26.109261499714815</v>
      </c>
      <c r="D4">
        <f t="shared" si="0"/>
        <v>25.428287074227729</v>
      </c>
      <c r="E4">
        <v>35</v>
      </c>
      <c r="F4">
        <f t="shared" si="1"/>
        <v>9.5717129257722711</v>
      </c>
    </row>
    <row r="5" spans="1:9" x14ac:dyDescent="0.3">
      <c r="A5" t="s">
        <v>52</v>
      </c>
      <c r="B5">
        <v>58.025641020233429</v>
      </c>
      <c r="C5">
        <v>34.321005001155342</v>
      </c>
      <c r="D5">
        <f t="shared" si="0"/>
        <v>45.449497819756978</v>
      </c>
      <c r="E5">
        <v>24</v>
      </c>
      <c r="F5">
        <f t="shared" si="1"/>
        <v>21.449497819756978</v>
      </c>
      <c r="H5" t="s">
        <v>12</v>
      </c>
      <c r="I5" cm="1">
        <f t="array" ref="I5">(SUM(TableCRY[PP]-TableCRY[AP]))^2</f>
        <v>4.543838814073028E-28</v>
      </c>
    </row>
    <row r="6" spans="1:9" x14ac:dyDescent="0.3">
      <c r="A6" t="s">
        <v>53</v>
      </c>
      <c r="B6">
        <v>28.320949489755023</v>
      </c>
      <c r="C6">
        <v>28.432337712788772</v>
      </c>
      <c r="D6">
        <f t="shared" si="0"/>
        <v>27.503559950877218</v>
      </c>
      <c r="E6">
        <v>20</v>
      </c>
      <c r="F6">
        <f t="shared" si="1"/>
        <v>7.5035599508772179</v>
      </c>
    </row>
    <row r="7" spans="1:9" x14ac:dyDescent="0.3">
      <c r="A7" t="s">
        <v>54</v>
      </c>
      <c r="B7">
        <v>29.22854069490289</v>
      </c>
      <c r="C7">
        <v>31.653961369162978</v>
      </c>
      <c r="D7">
        <f t="shared" si="0"/>
        <v>29.437373516349318</v>
      </c>
      <c r="E7">
        <v>34</v>
      </c>
      <c r="F7">
        <f t="shared" si="1"/>
        <v>4.562626483650682</v>
      </c>
      <c r="H7" t="s">
        <v>15</v>
      </c>
      <c r="I7">
        <f>AVERAGE(TableCRY[DIFF])/10</f>
        <v>0.96622966040091218</v>
      </c>
    </row>
    <row r="8" spans="1:9" x14ac:dyDescent="0.3">
      <c r="A8" t="s">
        <v>55</v>
      </c>
      <c r="B8">
        <v>59.432835779565188</v>
      </c>
      <c r="C8">
        <v>36.944694140007719</v>
      </c>
      <c r="D8">
        <f t="shared" si="0"/>
        <v>47.367671379249842</v>
      </c>
      <c r="E8">
        <v>62</v>
      </c>
      <c r="F8">
        <f t="shared" si="1"/>
        <v>14.632328620750158</v>
      </c>
    </row>
    <row r="9" spans="1:9" x14ac:dyDescent="0.3">
      <c r="A9" t="s">
        <v>56</v>
      </c>
      <c r="B9">
        <v>29.986864360513135</v>
      </c>
      <c r="C9">
        <v>31.203317170082926</v>
      </c>
      <c r="D9">
        <f t="shared" si="0"/>
        <v>29.621766704770074</v>
      </c>
      <c r="E9">
        <v>29</v>
      </c>
      <c r="F9">
        <f t="shared" si="1"/>
        <v>0.62176670477007434</v>
      </c>
    </row>
    <row r="10" spans="1:9" x14ac:dyDescent="0.3">
      <c r="A10" t="s">
        <v>57</v>
      </c>
      <c r="B10">
        <v>32.857142759353984</v>
      </c>
      <c r="C10">
        <v>39.565243426386047</v>
      </c>
      <c r="D10">
        <f t="shared" si="0"/>
        <v>34.905510242636765</v>
      </c>
      <c r="E10">
        <v>21</v>
      </c>
      <c r="F10">
        <f t="shared" si="1"/>
        <v>13.905510242636765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58</v>
      </c>
      <c r="B2">
        <v>36.094339457633197</v>
      </c>
      <c r="C2">
        <v>32.433129930818673</v>
      </c>
      <c r="D2">
        <f>B2*$I$2+C2*$I$3</f>
        <v>42.201462478017213</v>
      </c>
      <c r="E2">
        <v>39</v>
      </c>
      <c r="F2">
        <f>ABS(D2-E2)</f>
        <v>3.2014624780172127</v>
      </c>
      <c r="H2" t="s">
        <v>7</v>
      </c>
      <c r="I2">
        <v>0.6229134715209339</v>
      </c>
    </row>
    <row r="3" spans="1:9" x14ac:dyDescent="0.3">
      <c r="A3" t="s">
        <v>59</v>
      </c>
      <c r="B3">
        <v>26.251427213350059</v>
      </c>
      <c r="C3">
        <v>30.337606291360139</v>
      </c>
      <c r="D3">
        <f>B3*$I$2+C3*$I$3</f>
        <v>34.796200376041384</v>
      </c>
      <c r="E3">
        <v>33</v>
      </c>
      <c r="F3">
        <f>ABS(D3-E3)</f>
        <v>1.7962003760413836</v>
      </c>
      <c r="H3" t="s">
        <v>9</v>
      </c>
      <c r="I3">
        <v>0.60795280092506876</v>
      </c>
    </row>
    <row r="4" spans="1:9" x14ac:dyDescent="0.3">
      <c r="A4" t="s">
        <v>60</v>
      </c>
      <c r="B4">
        <v>27.225232960610516</v>
      </c>
      <c r="C4">
        <v>29.952491380096529</v>
      </c>
      <c r="D4">
        <f>B4*$I$2+C4*$I$3</f>
        <v>35.168665405673707</v>
      </c>
      <c r="E4">
        <v>22</v>
      </c>
      <c r="F4">
        <f>ABS(D4-E4)</f>
        <v>13.168665405673707</v>
      </c>
    </row>
    <row r="5" spans="1:9" x14ac:dyDescent="0.3">
      <c r="A5" t="s">
        <v>61</v>
      </c>
      <c r="B5">
        <v>30.754806992986392</v>
      </c>
      <c r="C5">
        <v>28.142506642605579</v>
      </c>
      <c r="D5">
        <f>B5*$I$2+C5*$I$3</f>
        <v>36.266899328381861</v>
      </c>
      <c r="E5">
        <v>26</v>
      </c>
      <c r="F5">
        <f>ABS(D5-E5)</f>
        <v>10.266899328381861</v>
      </c>
      <c r="H5" t="s">
        <v>12</v>
      </c>
      <c r="I5" cm="1">
        <f t="array" ref="I5">(SUM(TableEVE[PP]-TableEVE[AP]))^2</f>
        <v>4.543838814073028E-28</v>
      </c>
    </row>
    <row r="6" spans="1:9" x14ac:dyDescent="0.3">
      <c r="A6" t="s">
        <v>62</v>
      </c>
      <c r="B6">
        <v>29.312644813863159</v>
      </c>
      <c r="C6">
        <v>25.178814947690153</v>
      </c>
      <c r="D6">
        <f>B6*$I$2+C6*$I$3</f>
        <v>33.566772411885815</v>
      </c>
      <c r="E6">
        <v>62</v>
      </c>
      <c r="F6">
        <f>ABS(D6-E6)</f>
        <v>28.433227588114185</v>
      </c>
    </row>
    <row r="7" spans="1:9" x14ac:dyDescent="0.3">
      <c r="H7" t="s">
        <v>15</v>
      </c>
      <c r="I7">
        <f>AVERAGE(TableEVE[DIFF])/10</f>
        <v>1.137329103524567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63</v>
      </c>
      <c r="B2">
        <v>25.081400794844193</v>
      </c>
      <c r="C2">
        <v>32.894291375832438</v>
      </c>
      <c r="D2">
        <f>B2*$I$2+C2*$I$3</f>
        <v>15.348817838445367</v>
      </c>
      <c r="E2">
        <v>20</v>
      </c>
      <c r="F2">
        <f>ABS(D2-E2)</f>
        <v>4.6511821615546332</v>
      </c>
      <c r="H2" t="s">
        <v>7</v>
      </c>
      <c r="I2">
        <v>0.34362103165719943</v>
      </c>
    </row>
    <row r="3" spans="1:9" x14ac:dyDescent="0.3">
      <c r="A3" t="s">
        <v>64</v>
      </c>
      <c r="B3">
        <v>35.117646935252921</v>
      </c>
      <c r="C3">
        <v>30.336770916562728</v>
      </c>
      <c r="D3">
        <f>B3*$I$2+C3*$I$3</f>
        <v>18.274202820011066</v>
      </c>
      <c r="E3">
        <v>34</v>
      </c>
      <c r="F3">
        <f>ABS(D3-E3)</f>
        <v>15.725797179988934</v>
      </c>
      <c r="H3" t="s">
        <v>9</v>
      </c>
      <c r="I3">
        <v>0.20460452985645089</v>
      </c>
    </row>
    <row r="4" spans="1:9" x14ac:dyDescent="0.3">
      <c r="A4" t="s">
        <v>65</v>
      </c>
      <c r="B4">
        <v>27.524329466107012</v>
      </c>
      <c r="C4">
        <v>32.773992452436765</v>
      </c>
      <c r="D4">
        <f>B4*$I$2+C4*$I$3</f>
        <v>16.163645804066039</v>
      </c>
      <c r="E4">
        <v>22</v>
      </c>
      <c r="F4">
        <f>ABS(D4-E4)</f>
        <v>5.8363541959339607</v>
      </c>
    </row>
    <row r="5" spans="1:9" x14ac:dyDescent="0.3">
      <c r="A5" t="s">
        <v>66</v>
      </c>
      <c r="B5">
        <v>155.05243569894066</v>
      </c>
      <c r="C5">
        <v>48.552471583183546</v>
      </c>
      <c r="D5">
        <f>B5*$I$2+C5*$I$3</f>
        <v>63.213333537477524</v>
      </c>
      <c r="E5">
        <v>37</v>
      </c>
      <c r="F5">
        <f>ABS(D5-E5)</f>
        <v>26.213333537477524</v>
      </c>
      <c r="H5" t="s">
        <v>12</v>
      </c>
      <c r="I5" cm="1">
        <f t="array" ref="I5">(SUM(TableFUL[PP]-TableFUL[AP]))^2</f>
        <v>1.2621774483536189E-29</v>
      </c>
    </row>
    <row r="7" spans="1:9" x14ac:dyDescent="0.3">
      <c r="H7" t="s">
        <v>15</v>
      </c>
      <c r="I7">
        <f>AVERAGE(TableFUL[DIFF])/10</f>
        <v>1.3106666768738762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67</v>
      </c>
      <c r="B2">
        <v>34.424411565624723</v>
      </c>
      <c r="C2">
        <v>41.74368176180721</v>
      </c>
      <c r="D2">
        <f>B2*$I$2+C2*$I$3</f>
        <v>33.992523169083483</v>
      </c>
      <c r="E2">
        <v>26</v>
      </c>
      <c r="F2">
        <f>ABS(D2-E2)</f>
        <v>7.9925231690834835</v>
      </c>
      <c r="H2" t="s">
        <v>7</v>
      </c>
      <c r="I2">
        <v>0.42969184419931616</v>
      </c>
    </row>
    <row r="3" spans="1:9" x14ac:dyDescent="0.3">
      <c r="A3" t="s">
        <v>68</v>
      </c>
      <c r="B3">
        <v>49.025671648422268</v>
      </c>
      <c r="C3">
        <v>34.318716180510464</v>
      </c>
      <c r="D3">
        <f>B3*$I$2+C3*$I$3</f>
        <v>36.851340946353346</v>
      </c>
      <c r="E3">
        <v>48</v>
      </c>
      <c r="F3">
        <f>ABS(D3-E3)</f>
        <v>11.148659053646654</v>
      </c>
      <c r="H3" t="s">
        <v>9</v>
      </c>
      <c r="I3">
        <v>0.45996504063858773</v>
      </c>
    </row>
    <row r="4" spans="1:9" x14ac:dyDescent="0.3">
      <c r="A4" t="s">
        <v>69</v>
      </c>
      <c r="B4">
        <v>21.748810721815843</v>
      </c>
      <c r="C4">
        <v>36.548102162340633</v>
      </c>
      <c r="D4">
        <f>B4*$I$2+C4*$I$3</f>
        <v>26.156135884563174</v>
      </c>
      <c r="E4">
        <v>23</v>
      </c>
      <c r="F4">
        <f>ABS(D4-E4)</f>
        <v>3.1561358845631737</v>
      </c>
    </row>
    <row r="5" spans="1:9" x14ac:dyDescent="0.3">
      <c r="H5" t="s">
        <v>12</v>
      </c>
      <c r="I5" cm="1">
        <f t="array" ref="I5">(SUM(TableLEE[PP]-TableLEE[AP]))^2</f>
        <v>1.2621774483536189E-29</v>
      </c>
    </row>
    <row r="7" spans="1:9" x14ac:dyDescent="0.3">
      <c r="H7" t="s">
        <v>15</v>
      </c>
      <c r="I7">
        <f>AVERAGE(TableLEE[DIFF])/10</f>
        <v>0.74324393690977708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70</v>
      </c>
      <c r="B2">
        <v>55.271831662966989</v>
      </c>
      <c r="C2">
        <v>38.962344575679822</v>
      </c>
      <c r="D2">
        <f>B2*$I$2+C2*$I$3</f>
        <v>29.594081425792744</v>
      </c>
      <c r="E2">
        <v>30</v>
      </c>
      <c r="F2">
        <f>ABS(D2-E2)</f>
        <v>0.40591857420725574</v>
      </c>
      <c r="H2" t="s">
        <v>7</v>
      </c>
      <c r="I2">
        <v>0.33047621877252081</v>
      </c>
    </row>
    <row r="3" spans="1:9" x14ac:dyDescent="0.3">
      <c r="A3" t="s">
        <v>71</v>
      </c>
      <c r="B3">
        <v>23.337527317175738</v>
      </c>
      <c r="C3">
        <v>31.092841835247768</v>
      </c>
      <c r="D3">
        <f>B3*$I$2+C3*$I$3</f>
        <v>16.752545079878381</v>
      </c>
      <c r="E3">
        <v>25</v>
      </c>
      <c r="F3">
        <f>ABS(D3-E3)</f>
        <v>8.2474549201216192</v>
      </c>
      <c r="H3" t="s">
        <v>9</v>
      </c>
      <c r="I3">
        <v>0.29074368127874578</v>
      </c>
    </row>
    <row r="4" spans="1:9" x14ac:dyDescent="0.3">
      <c r="A4" t="s">
        <v>72</v>
      </c>
      <c r="B4">
        <v>32.504235562779726</v>
      </c>
      <c r="C4">
        <v>33.96449382863463</v>
      </c>
      <c r="D4">
        <f>B4*$I$2+C4*$I$3</f>
        <v>20.61683883138522</v>
      </c>
      <c r="E4">
        <v>20</v>
      </c>
      <c r="F4">
        <f>ABS(D4-E4)</f>
        <v>0.61683883138521978</v>
      </c>
    </row>
    <row r="5" spans="1:9" x14ac:dyDescent="0.3">
      <c r="A5" t="s">
        <v>73</v>
      </c>
      <c r="B5">
        <v>45.717962286549721</v>
      </c>
      <c r="C5">
        <v>56.9879613330084</v>
      </c>
      <c r="D5">
        <f>B5*$I$2+C5*$I$3</f>
        <v>31.677588972973343</v>
      </c>
      <c r="E5">
        <v>32</v>
      </c>
      <c r="F5">
        <f>ABS(D5-E5)</f>
        <v>0.32241102702665714</v>
      </c>
      <c r="H5" t="s">
        <v>12</v>
      </c>
      <c r="I5" cm="1">
        <f t="array" ref="I5">(SUM(TableLEI[PP]-TableLEI[AP]))^2</f>
        <v>5.0487097934144756E-29</v>
      </c>
    </row>
    <row r="6" spans="1:9" x14ac:dyDescent="0.3">
      <c r="A6" t="s">
        <v>74</v>
      </c>
      <c r="B6">
        <v>61.500000049907833</v>
      </c>
      <c r="C6">
        <v>31.074306341691759</v>
      </c>
      <c r="D6">
        <f>B6*$I$2+C6*$I$3</f>
        <v>29.358945689970319</v>
      </c>
      <c r="E6">
        <v>21</v>
      </c>
      <c r="F6">
        <f>ABS(D6-E6)</f>
        <v>8.3589456899703194</v>
      </c>
    </row>
    <row r="7" spans="1:9" x14ac:dyDescent="0.3">
      <c r="H7" t="s">
        <v>15</v>
      </c>
      <c r="I7">
        <f>AVERAGE(TableLEI[DIFF])/10</f>
        <v>0.35903138085422143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75</v>
      </c>
      <c r="B2">
        <v>22.25172513896587</v>
      </c>
      <c r="C2">
        <v>24.075730428893927</v>
      </c>
      <c r="D2">
        <f t="shared" ref="D2:D9" si="0">B2*$I$2+C2*$I$3</f>
        <v>19.914497552738077</v>
      </c>
      <c r="E2">
        <v>30</v>
      </c>
      <c r="F2">
        <f t="shared" ref="F2:F9" si="1">ABS(D2-E2)</f>
        <v>10.085502447261923</v>
      </c>
      <c r="H2" t="s">
        <v>7</v>
      </c>
      <c r="I2">
        <v>0.47238553176174891</v>
      </c>
    </row>
    <row r="3" spans="1:9" x14ac:dyDescent="0.3">
      <c r="A3" t="s">
        <v>76</v>
      </c>
      <c r="B3">
        <v>62.943245195984368</v>
      </c>
      <c r="C3">
        <v>51.451442345627051</v>
      </c>
      <c r="D3">
        <f t="shared" si="0"/>
        <v>49.828540164304925</v>
      </c>
      <c r="E3">
        <v>36</v>
      </c>
      <c r="F3">
        <f t="shared" si="1"/>
        <v>13.828540164304925</v>
      </c>
      <c r="H3" t="s">
        <v>9</v>
      </c>
      <c r="I3">
        <v>0.39056362456469823</v>
      </c>
    </row>
    <row r="4" spans="1:9" x14ac:dyDescent="0.3">
      <c r="A4" t="s">
        <v>77</v>
      </c>
      <c r="B4">
        <v>44.518199735430855</v>
      </c>
      <c r="C4">
        <v>49.34250156107133</v>
      </c>
      <c r="D4">
        <f t="shared" si="0"/>
        <v>40.301139709878555</v>
      </c>
      <c r="E4">
        <v>47</v>
      </c>
      <c r="F4">
        <f t="shared" si="1"/>
        <v>6.6988602901214449</v>
      </c>
    </row>
    <row r="5" spans="1:9" x14ac:dyDescent="0.3">
      <c r="A5" t="s">
        <v>78</v>
      </c>
      <c r="B5">
        <v>82.066566077818081</v>
      </c>
      <c r="C5">
        <v>59.303769031884094</v>
      </c>
      <c r="D5">
        <f t="shared" si="0"/>
        <v>61.928953439971153</v>
      </c>
      <c r="E5">
        <v>83</v>
      </c>
      <c r="F5">
        <f t="shared" si="1"/>
        <v>21.071046560028847</v>
      </c>
      <c r="H5" t="s">
        <v>12</v>
      </c>
      <c r="I5" cm="1">
        <f t="array" ref="I5">(SUM(TableLIV[PP]-TableLIV[AP]))^2</f>
        <v>8.0779356694631609E-28</v>
      </c>
    </row>
    <row r="6" spans="1:9" x14ac:dyDescent="0.3">
      <c r="A6" t="s">
        <v>79</v>
      </c>
      <c r="B6">
        <v>66.729104071184025</v>
      </c>
      <c r="C6">
        <v>48.044997248330567</v>
      </c>
      <c r="D6">
        <f t="shared" si="0"/>
        <v>50.286491578160295</v>
      </c>
      <c r="E6">
        <v>37</v>
      </c>
      <c r="F6">
        <f t="shared" si="1"/>
        <v>13.286491578160295</v>
      </c>
    </row>
    <row r="7" spans="1:9" x14ac:dyDescent="0.3">
      <c r="A7" t="s">
        <v>80</v>
      </c>
      <c r="B7">
        <v>53.640202608234532</v>
      </c>
      <c r="C7">
        <v>45.886728855956896</v>
      </c>
      <c r="D7">
        <f t="shared" si="0"/>
        <v>43.26054277429887</v>
      </c>
      <c r="E7">
        <v>59</v>
      </c>
      <c r="F7">
        <f t="shared" si="1"/>
        <v>15.73945722570113</v>
      </c>
      <c r="H7" t="s">
        <v>15</v>
      </c>
      <c r="I7">
        <f>AVERAGE(TableLIV[DIFF])/10</f>
        <v>1.3398716630778336</v>
      </c>
    </row>
    <row r="8" spans="1:9" x14ac:dyDescent="0.3">
      <c r="A8" t="s">
        <v>81</v>
      </c>
      <c r="B8">
        <v>20.853210299949442</v>
      </c>
      <c r="C8">
        <v>28.69647160400854</v>
      </c>
      <c r="D8">
        <f t="shared" si="0"/>
        <v>21.058552798360715</v>
      </c>
      <c r="E8">
        <v>20</v>
      </c>
      <c r="F8">
        <f t="shared" si="1"/>
        <v>1.058552798360715</v>
      </c>
    </row>
    <row r="9" spans="1:9" x14ac:dyDescent="0.3">
      <c r="A9" t="s">
        <v>82</v>
      </c>
      <c r="B9">
        <v>80.7965452787424</v>
      </c>
      <c r="C9">
        <v>51.858805332551547</v>
      </c>
      <c r="D9">
        <f t="shared" si="0"/>
        <v>58.421281982287383</v>
      </c>
      <c r="E9">
        <v>33</v>
      </c>
      <c r="F9">
        <f t="shared" si="1"/>
        <v>25.421281982287383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83</v>
      </c>
      <c r="B2">
        <v>39.406944245343325</v>
      </c>
      <c r="C2">
        <v>39.316474990944847</v>
      </c>
      <c r="D2">
        <f t="shared" ref="D2:D9" si="0">B2*$I$2+C2*$I$3</f>
        <v>29.562879383465109</v>
      </c>
      <c r="E2">
        <v>58</v>
      </c>
      <c r="F2">
        <f t="shared" ref="F2:F9" si="1">ABS(D2-E2)</f>
        <v>28.437120616534891</v>
      </c>
      <c r="H2" t="s">
        <v>7</v>
      </c>
      <c r="I2">
        <v>0.44150110671968446</v>
      </c>
    </row>
    <row r="3" spans="1:9" x14ac:dyDescent="0.3">
      <c r="A3" t="s">
        <v>84</v>
      </c>
      <c r="B3">
        <v>57.767855713826172</v>
      </c>
      <c r="C3">
        <v>47.992297159919914</v>
      </c>
      <c r="D3">
        <f t="shared" si="0"/>
        <v>40.353575153286172</v>
      </c>
      <c r="E3">
        <v>72</v>
      </c>
      <c r="F3">
        <f t="shared" si="1"/>
        <v>31.646424846713828</v>
      </c>
      <c r="H3" t="s">
        <v>9</v>
      </c>
      <c r="I3">
        <v>0.30940387940441844</v>
      </c>
    </row>
    <row r="4" spans="1:9" x14ac:dyDescent="0.3">
      <c r="A4" t="s">
        <v>85</v>
      </c>
      <c r="B4">
        <v>97.254777125589385</v>
      </c>
      <c r="C4">
        <v>38.671446482890047</v>
      </c>
      <c r="D4">
        <f t="shared" si="0"/>
        <v>54.903187298710506</v>
      </c>
      <c r="E4">
        <v>35</v>
      </c>
      <c r="F4">
        <f t="shared" si="1"/>
        <v>19.903187298710506</v>
      </c>
    </row>
    <row r="5" spans="1:9" x14ac:dyDescent="0.3">
      <c r="A5" t="s">
        <v>86</v>
      </c>
      <c r="B5">
        <v>83.500000034816551</v>
      </c>
      <c r="C5">
        <v>43.630980344635631</v>
      </c>
      <c r="D5">
        <f t="shared" si="0"/>
        <v>50.364937007313394</v>
      </c>
      <c r="E5">
        <v>29</v>
      </c>
      <c r="F5">
        <f t="shared" si="1"/>
        <v>21.364937007313394</v>
      </c>
      <c r="H5" t="s">
        <v>12</v>
      </c>
      <c r="I5" cm="1">
        <f t="array" ref="I5">(SUM(TableMCI[PP]-TableMCI[AP]))^2</f>
        <v>1.2621774483536189E-27</v>
      </c>
    </row>
    <row r="6" spans="1:9" x14ac:dyDescent="0.3">
      <c r="A6" t="s">
        <v>87</v>
      </c>
      <c r="B6">
        <v>40.32496520866718</v>
      </c>
      <c r="C6">
        <v>45.696500559081109</v>
      </c>
      <c r="D6">
        <f t="shared" si="0"/>
        <v>31.942191316245204</v>
      </c>
      <c r="E6">
        <v>47</v>
      </c>
      <c r="F6">
        <f t="shared" si="1"/>
        <v>15.057808683754796</v>
      </c>
    </row>
    <row r="7" spans="1:9" x14ac:dyDescent="0.3">
      <c r="A7" t="s">
        <v>88</v>
      </c>
      <c r="B7">
        <v>59.847959026132834</v>
      </c>
      <c r="C7">
        <v>33.770744675044199</v>
      </c>
      <c r="D7">
        <f t="shared" si="0"/>
        <v>36.871739557786753</v>
      </c>
      <c r="E7">
        <v>27</v>
      </c>
      <c r="F7">
        <f t="shared" si="1"/>
        <v>9.8717395577867535</v>
      </c>
      <c r="H7" t="s">
        <v>15</v>
      </c>
      <c r="I7">
        <f>AVERAGE(TableMCI[DIFF])/10</f>
        <v>2.1161997792685892</v>
      </c>
    </row>
    <row r="8" spans="1:9" x14ac:dyDescent="0.3">
      <c r="A8" t="s">
        <v>89</v>
      </c>
      <c r="B8">
        <v>172.0036599158104</v>
      </c>
      <c r="C8">
        <v>111.72555806607222</v>
      </c>
      <c r="D8">
        <f t="shared" si="0"/>
        <v>110.50812730693289</v>
      </c>
      <c r="E8">
        <v>77</v>
      </c>
      <c r="F8">
        <f t="shared" si="1"/>
        <v>33.508127306932892</v>
      </c>
    </row>
    <row r="9" spans="1:9" x14ac:dyDescent="0.3">
      <c r="A9" t="s">
        <v>90</v>
      </c>
      <c r="B9">
        <v>28.629859901754553</v>
      </c>
      <c r="C9">
        <v>44.773996276557206</v>
      </c>
      <c r="D9">
        <f t="shared" si="0"/>
        <v>26.493362976259938</v>
      </c>
      <c r="E9">
        <v>36</v>
      </c>
      <c r="F9">
        <f t="shared" si="1"/>
        <v>9.5066370237400619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91</v>
      </c>
      <c r="B2">
        <v>38.679993836238005</v>
      </c>
      <c r="C2">
        <v>51.562969176284597</v>
      </c>
      <c r="D2">
        <f>B2*$I$2+C2*$I$3</f>
        <v>48.334249150545027</v>
      </c>
      <c r="E2">
        <v>46</v>
      </c>
      <c r="F2">
        <f>ABS(D2-E2)</f>
        <v>2.3342491505450269</v>
      </c>
      <c r="H2" t="s">
        <v>7</v>
      </c>
      <c r="I2">
        <v>0.51266554916251905</v>
      </c>
    </row>
    <row r="3" spans="1:9" x14ac:dyDescent="0.3">
      <c r="A3" t="s">
        <v>92</v>
      </c>
      <c r="B3">
        <v>40.644265218233819</v>
      </c>
      <c r="C3">
        <v>53.220886358831166</v>
      </c>
      <c r="D3">
        <f>B3*$I$2+C3*$I$3</f>
        <v>50.257770952106043</v>
      </c>
      <c r="E3">
        <v>40</v>
      </c>
      <c r="F3">
        <f>ABS(D3-E3)</f>
        <v>10.257770952106043</v>
      </c>
      <c r="H3" t="s">
        <v>9</v>
      </c>
      <c r="I3">
        <v>0.55280658434226182</v>
      </c>
    </row>
    <row r="4" spans="1:9" x14ac:dyDescent="0.3">
      <c r="A4" t="s">
        <v>93</v>
      </c>
      <c r="B4">
        <v>59.570118527375698</v>
      </c>
      <c r="C4">
        <v>44.985774542509049</v>
      </c>
      <c r="D4">
        <f>B4*$I$2+C4*$I$3</f>
        <v>55.407979897348916</v>
      </c>
      <c r="E4">
        <v>68</v>
      </c>
      <c r="F4">
        <f>ABS(D4-E4)</f>
        <v>12.592020102651084</v>
      </c>
    </row>
    <row r="5" spans="1:9" x14ac:dyDescent="0.3">
      <c r="H5" t="s">
        <v>12</v>
      </c>
      <c r="I5" cm="1">
        <f t="array" ref="I5">(SUM(TableMUN[PP]-TableMUN[AP]))^2</f>
        <v>2.0194839173657902E-28</v>
      </c>
    </row>
    <row r="7" spans="1:9" x14ac:dyDescent="0.3">
      <c r="H7" t="s">
        <v>15</v>
      </c>
      <c r="I7">
        <f>AVERAGE(TableMUN[DIFF])/10</f>
        <v>0.83946800684340506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94</v>
      </c>
      <c r="B2">
        <v>43.775817677874059</v>
      </c>
      <c r="C2">
        <v>41.665589359090752</v>
      </c>
      <c r="D2">
        <f t="shared" ref="D2:D13" si="0">B2*$I$2+C2*$I$3</f>
        <v>32.516494630599645</v>
      </c>
      <c r="E2">
        <v>65</v>
      </c>
      <c r="F2">
        <f t="shared" ref="F2:F13" si="1">ABS(D2-E2)</f>
        <v>32.483505369400355</v>
      </c>
      <c r="H2" t="s">
        <v>7</v>
      </c>
      <c r="I2">
        <v>0.40790411539869753</v>
      </c>
    </row>
    <row r="3" spans="1:9" x14ac:dyDescent="0.3">
      <c r="A3" t="s">
        <v>95</v>
      </c>
      <c r="B3">
        <v>52.080666292977696</v>
      </c>
      <c r="C3">
        <v>57.722838246728301</v>
      </c>
      <c r="D3">
        <f t="shared" si="0"/>
        <v>41.553866145079034</v>
      </c>
      <c r="E3">
        <v>29</v>
      </c>
      <c r="F3">
        <f t="shared" si="1"/>
        <v>12.553866145079034</v>
      </c>
      <c r="H3" t="s">
        <v>9</v>
      </c>
      <c r="I3">
        <v>0.35185289996751606</v>
      </c>
    </row>
    <row r="4" spans="1:9" x14ac:dyDescent="0.3">
      <c r="A4" t="s">
        <v>96</v>
      </c>
      <c r="B4">
        <v>29.564481092988537</v>
      </c>
      <c r="C4">
        <v>37.680087403634211</v>
      </c>
      <c r="D4">
        <f t="shared" si="0"/>
        <v>25.317321531455178</v>
      </c>
      <c r="E4">
        <v>21</v>
      </c>
      <c r="F4">
        <f t="shared" si="1"/>
        <v>4.3173215314551783</v>
      </c>
    </row>
    <row r="5" spans="1:9" x14ac:dyDescent="0.3">
      <c r="A5" t="s">
        <v>97</v>
      </c>
      <c r="B5">
        <v>46.530250750505374</v>
      </c>
      <c r="C5">
        <v>20.176417861030316</v>
      </c>
      <c r="D5">
        <f t="shared" si="0"/>
        <v>26.07901190702438</v>
      </c>
      <c r="E5">
        <v>35</v>
      </c>
      <c r="F5">
        <f t="shared" si="1"/>
        <v>8.9209880929756196</v>
      </c>
      <c r="H5" t="s">
        <v>12</v>
      </c>
      <c r="I5" cm="1">
        <f t="array" ref="I5">(SUM(TableNEW[PP]-TableNEW[AP]))^2</f>
        <v>0</v>
      </c>
    </row>
    <row r="6" spans="1:9" x14ac:dyDescent="0.3">
      <c r="A6" t="s">
        <v>98</v>
      </c>
      <c r="B6">
        <v>50.68518518518519</v>
      </c>
      <c r="C6">
        <v>41.363146149753781</v>
      </c>
      <c r="D6">
        <f t="shared" si="0"/>
        <v>35.2284385513532</v>
      </c>
      <c r="E6">
        <v>22</v>
      </c>
      <c r="F6">
        <f t="shared" si="1"/>
        <v>13.2284385513532</v>
      </c>
    </row>
    <row r="7" spans="1:9" x14ac:dyDescent="0.3">
      <c r="A7" t="s">
        <v>99</v>
      </c>
      <c r="B7">
        <v>61.285714264942307</v>
      </c>
      <c r="C7">
        <v>58.970511726825251</v>
      </c>
      <c r="D7">
        <f t="shared" si="0"/>
        <v>45.747640627470503</v>
      </c>
      <c r="E7">
        <v>37</v>
      </c>
      <c r="F7">
        <f t="shared" si="1"/>
        <v>8.7476406274705027</v>
      </c>
      <c r="H7" t="s">
        <v>15</v>
      </c>
      <c r="I7">
        <f>AVERAGE(TableNEW[DIFF])/10</f>
        <v>1.1427817307238906</v>
      </c>
    </row>
    <row r="8" spans="1:9" x14ac:dyDescent="0.3">
      <c r="A8" t="s">
        <v>100</v>
      </c>
      <c r="B8">
        <v>24.932552510213146</v>
      </c>
      <c r="C8">
        <v>26.653481660974801</v>
      </c>
      <c r="D8">
        <f t="shared" si="0"/>
        <v>19.548195592955061</v>
      </c>
      <c r="E8">
        <v>25</v>
      </c>
      <c r="F8">
        <f t="shared" si="1"/>
        <v>5.4518044070449392</v>
      </c>
    </row>
    <row r="9" spans="1:9" x14ac:dyDescent="0.3">
      <c r="A9" t="s">
        <v>101</v>
      </c>
      <c r="B9">
        <v>47.934426104991644</v>
      </c>
      <c r="C9">
        <v>27.672769925686435</v>
      </c>
      <c r="D9">
        <f t="shared" si="0"/>
        <v>29.289394025987491</v>
      </c>
      <c r="E9">
        <v>51</v>
      </c>
      <c r="F9">
        <f t="shared" si="1"/>
        <v>21.710605974012509</v>
      </c>
    </row>
    <row r="10" spans="1:9" x14ac:dyDescent="0.3">
      <c r="A10" t="s">
        <v>102</v>
      </c>
      <c r="B10">
        <v>59.173912997691787</v>
      </c>
      <c r="C10">
        <v>41.319379072858368</v>
      </c>
      <c r="D10">
        <f t="shared" si="0"/>
        <v>38.675625987645269</v>
      </c>
      <c r="E10">
        <v>34</v>
      </c>
      <c r="F10">
        <f t="shared" si="1"/>
        <v>4.6756259876452688</v>
      </c>
    </row>
    <row r="11" spans="1:9" x14ac:dyDescent="0.3">
      <c r="A11" t="s">
        <v>103</v>
      </c>
      <c r="B11">
        <v>44.09435685476415</v>
      </c>
      <c r="C11">
        <v>42.575166326029468</v>
      </c>
      <c r="D11">
        <f t="shared" si="0"/>
        <v>32.966465365329867</v>
      </c>
      <c r="E11">
        <v>32</v>
      </c>
      <c r="F11">
        <f t="shared" si="1"/>
        <v>0.96646536532986715</v>
      </c>
    </row>
    <row r="12" spans="1:9" x14ac:dyDescent="0.3">
      <c r="A12" t="s">
        <v>104</v>
      </c>
      <c r="B12">
        <v>42.110171037775856</v>
      </c>
      <c r="C12">
        <v>41.94250517147492</v>
      </c>
      <c r="D12">
        <f t="shared" si="0"/>
        <v>31.934504142937804</v>
      </c>
      <c r="E12">
        <v>31</v>
      </c>
      <c r="F12">
        <f t="shared" si="1"/>
        <v>0.93450414293780426</v>
      </c>
    </row>
    <row r="13" spans="1:9" x14ac:dyDescent="0.3">
      <c r="A13" t="s">
        <v>105</v>
      </c>
      <c r="B13">
        <v>62.909090890878375</v>
      </c>
      <c r="C13">
        <v>49.686003507137677</v>
      </c>
      <c r="D13">
        <f t="shared" si="0"/>
        <v>43.143041492162567</v>
      </c>
      <c r="E13">
        <v>20</v>
      </c>
      <c r="F13">
        <f t="shared" si="1"/>
        <v>23.143041492162567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106</v>
      </c>
      <c r="B2">
        <v>38.554348910331839</v>
      </c>
      <c r="C2">
        <v>47.146465489877073</v>
      </c>
      <c r="D2">
        <f>B2*$I$2+C2*$I$3</f>
        <v>40.883237176458394</v>
      </c>
      <c r="E2">
        <v>21</v>
      </c>
      <c r="F2">
        <f>ABS(D2-E2)</f>
        <v>19.883237176458394</v>
      </c>
      <c r="H2" t="s">
        <v>7</v>
      </c>
      <c r="I2">
        <v>0.41041710710963863</v>
      </c>
    </row>
    <row r="3" spans="1:9" x14ac:dyDescent="0.3">
      <c r="A3" t="s">
        <v>107</v>
      </c>
      <c r="B3">
        <v>22.420912379731821</v>
      </c>
      <c r="C3">
        <v>31.822778035742264</v>
      </c>
      <c r="D3">
        <f>B3*$I$2+C3*$I$3</f>
        <v>26.116762823541613</v>
      </c>
      <c r="E3">
        <v>46</v>
      </c>
      <c r="F3">
        <f>ABS(D3-E3)</f>
        <v>19.883237176458387</v>
      </c>
      <c r="H3" t="s">
        <v>9</v>
      </c>
      <c r="I3">
        <v>0.53153237617706495</v>
      </c>
    </row>
    <row r="5" spans="1:9" x14ac:dyDescent="0.3">
      <c r="H5" t="s">
        <v>12</v>
      </c>
      <c r="I5" cm="1">
        <f t="array" ref="I5">(SUM(TableNFO[PP]-TableNFO[AP]))^2</f>
        <v>5.0487097934144756E-29</v>
      </c>
    </row>
    <row r="7" spans="1:9" x14ac:dyDescent="0.3">
      <c r="H7" t="s">
        <v>15</v>
      </c>
      <c r="I7">
        <f>AVERAGE(TableNFO[DIFF])/10</f>
        <v>1.988323717645839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108</v>
      </c>
      <c r="B2">
        <v>37.250186930290006</v>
      </c>
      <c r="C2">
        <v>39.172501887787647</v>
      </c>
      <c r="D2">
        <f>B2*$I$2+C2*$I$3</f>
        <v>32.23363887120928</v>
      </c>
      <c r="E2">
        <v>38</v>
      </c>
      <c r="F2">
        <f>ABS(D2-E2)</f>
        <v>5.7663611287907202</v>
      </c>
      <c r="H2" t="s">
        <v>7</v>
      </c>
      <c r="I2">
        <v>0.41886517867661816</v>
      </c>
    </row>
    <row r="3" spans="1:9" x14ac:dyDescent="0.3">
      <c r="A3" t="s">
        <v>109</v>
      </c>
      <c r="B3">
        <v>36.848337075141465</v>
      </c>
      <c r="C3">
        <v>25.192938327459043</v>
      </c>
      <c r="D3">
        <f>B3*$I$2+C3*$I$3</f>
        <v>26.130241793536669</v>
      </c>
      <c r="E3">
        <v>20</v>
      </c>
      <c r="F3">
        <f>ABS(D3-E3)</f>
        <v>6.1302417935366691</v>
      </c>
      <c r="H3" t="s">
        <v>9</v>
      </c>
      <c r="I3">
        <v>0.42455375238875748</v>
      </c>
    </row>
    <row r="4" spans="1:9" x14ac:dyDescent="0.3">
      <c r="A4" t="s">
        <v>110</v>
      </c>
      <c r="B4">
        <v>24.819879759749696</v>
      </c>
      <c r="C4">
        <v>35.896363838987661</v>
      </c>
      <c r="D4">
        <f>B4*$I$2+C4*$I$3</f>
        <v>25.636119335254051</v>
      </c>
      <c r="E4">
        <v>26</v>
      </c>
      <c r="F4">
        <f>ABS(D4-E4)</f>
        <v>0.36388066474594893</v>
      </c>
    </row>
    <row r="5" spans="1:9" x14ac:dyDescent="0.3">
      <c r="H5" t="s">
        <v>12</v>
      </c>
      <c r="I5" cm="1">
        <f t="array" ref="I5">(SUM(TableSOU[PP]-TableSOU[AP]))^2</f>
        <v>0</v>
      </c>
    </row>
    <row r="7" spans="1:9" x14ac:dyDescent="0.3">
      <c r="H7" t="s">
        <v>15</v>
      </c>
      <c r="I7">
        <f>AVERAGE(TableSOU[DIFF])/10</f>
        <v>0.40868278623577792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111</v>
      </c>
      <c r="B2">
        <v>71.321002824578088</v>
      </c>
      <c r="C2">
        <v>63.424475325023757</v>
      </c>
      <c r="D2">
        <f t="shared" ref="D2:D7" si="0">B2*$I$2+C2*$I$3</f>
        <v>58.254459371107998</v>
      </c>
      <c r="E2">
        <v>77</v>
      </c>
      <c r="F2">
        <f t="shared" ref="F2:F7" si="1">ABS(D2-E2)</f>
        <v>18.745540628892002</v>
      </c>
      <c r="H2" t="s">
        <v>7</v>
      </c>
      <c r="I2">
        <v>0.43595537508582866</v>
      </c>
    </row>
    <row r="3" spans="1:9" x14ac:dyDescent="0.3">
      <c r="A3" t="s">
        <v>112</v>
      </c>
      <c r="B3">
        <v>65.391304286573828</v>
      </c>
      <c r="C3">
        <v>44.999268928874862</v>
      </c>
      <c r="D3">
        <f t="shared" si="0"/>
        <v>47.778736254249054</v>
      </c>
      <c r="E3">
        <v>57</v>
      </c>
      <c r="F3">
        <f t="shared" si="1"/>
        <v>9.2212637457509459</v>
      </c>
      <c r="H3" t="s">
        <v>9</v>
      </c>
      <c r="I3">
        <v>0.42825241665822866</v>
      </c>
    </row>
    <row r="4" spans="1:9" x14ac:dyDescent="0.3">
      <c r="A4" t="s">
        <v>113</v>
      </c>
      <c r="B4">
        <v>30.635235521335332</v>
      </c>
      <c r="C4">
        <v>37.024471579886068</v>
      </c>
      <c r="D4">
        <f t="shared" si="0"/>
        <v>29.211415022126559</v>
      </c>
      <c r="E4">
        <v>20</v>
      </c>
      <c r="F4">
        <f t="shared" si="1"/>
        <v>9.2114150221265589</v>
      </c>
    </row>
    <row r="5" spans="1:9" x14ac:dyDescent="0.3">
      <c r="A5" t="s">
        <v>114</v>
      </c>
      <c r="B5">
        <v>29.685447673108165</v>
      </c>
      <c r="C5">
        <v>37.627381643028919</v>
      </c>
      <c r="D5">
        <f t="shared" si="0"/>
        <v>29.055547596069218</v>
      </c>
      <c r="E5">
        <v>31</v>
      </c>
      <c r="F5">
        <f t="shared" si="1"/>
        <v>1.9444524039307822</v>
      </c>
      <c r="H5" t="s">
        <v>12</v>
      </c>
      <c r="I5" cm="1">
        <f t="array" ref="I5">(SUM(TableTOT[PP]-TableTOT[AP]))^2</f>
        <v>1.135959703518257E-28</v>
      </c>
    </row>
    <row r="6" spans="1:9" x14ac:dyDescent="0.3">
      <c r="A6" t="s">
        <v>115</v>
      </c>
      <c r="B6">
        <v>29.806735171734228</v>
      </c>
      <c r="C6">
        <v>38.158269777071546</v>
      </c>
      <c r="D6">
        <f t="shared" si="0"/>
        <v>29.335777659404894</v>
      </c>
      <c r="E6">
        <v>24</v>
      </c>
      <c r="F6">
        <f t="shared" si="1"/>
        <v>5.3357776594048936</v>
      </c>
    </row>
    <row r="7" spans="1:9" x14ac:dyDescent="0.3">
      <c r="A7" t="s">
        <v>116</v>
      </c>
      <c r="B7">
        <v>42.818181778367894</v>
      </c>
      <c r="C7">
        <v>43.65940943255022</v>
      </c>
      <c r="D7">
        <f t="shared" si="0"/>
        <v>37.364064097042267</v>
      </c>
      <c r="E7">
        <v>22</v>
      </c>
      <c r="F7">
        <f t="shared" si="1"/>
        <v>15.364064097042267</v>
      </c>
      <c r="H7" t="s">
        <v>15</v>
      </c>
      <c r="I7">
        <f>AVERAGE(TableTOT[DIFF])/10</f>
        <v>0.99704189261912413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117</v>
      </c>
      <c r="B2">
        <v>30.479116378707431</v>
      </c>
      <c r="C2">
        <v>31.770507763836889</v>
      </c>
      <c r="D2">
        <f t="shared" ref="D2:D9" si="0">B2*$I$2+C2*$I$3</f>
        <v>28.997904117270025</v>
      </c>
      <c r="E2">
        <v>26</v>
      </c>
      <c r="F2">
        <f t="shared" ref="F2:F9" si="1">ABS(D2-E2)</f>
        <v>2.9979041172700249</v>
      </c>
      <c r="H2" t="s">
        <v>7</v>
      </c>
      <c r="I2">
        <v>0.48576318305497385</v>
      </c>
    </row>
    <row r="3" spans="1:9" x14ac:dyDescent="0.3">
      <c r="A3" t="s">
        <v>118</v>
      </c>
      <c r="B3">
        <v>43.925447298053882</v>
      </c>
      <c r="C3">
        <v>35.819991374466532</v>
      </c>
      <c r="D3">
        <f t="shared" si="0"/>
        <v>37.338590116748847</v>
      </c>
      <c r="E3">
        <v>38</v>
      </c>
      <c r="F3">
        <f t="shared" si="1"/>
        <v>0.66140988325115302</v>
      </c>
      <c r="H3" t="s">
        <v>9</v>
      </c>
      <c r="I3">
        <v>0.44671214051544417</v>
      </c>
    </row>
    <row r="4" spans="1:9" x14ac:dyDescent="0.3">
      <c r="A4" t="s">
        <v>119</v>
      </c>
      <c r="B4">
        <v>30.585814185594717</v>
      </c>
      <c r="C4">
        <v>31.896539935334033</v>
      </c>
      <c r="D4">
        <f t="shared" si="0"/>
        <v>29.106034084671876</v>
      </c>
      <c r="E4">
        <v>33</v>
      </c>
      <c r="F4">
        <f t="shared" si="1"/>
        <v>3.8939659153281241</v>
      </c>
    </row>
    <row r="5" spans="1:9" x14ac:dyDescent="0.3">
      <c r="A5" t="s">
        <v>120</v>
      </c>
      <c r="B5">
        <v>35.195904747711062</v>
      </c>
      <c r="C5">
        <v>27.541791550528846</v>
      </c>
      <c r="D5">
        <f t="shared" si="0"/>
        <v>29.400127377914707</v>
      </c>
      <c r="E5">
        <v>29</v>
      </c>
      <c r="F5">
        <f t="shared" si="1"/>
        <v>0.40012737791470698</v>
      </c>
      <c r="H5" t="s">
        <v>12</v>
      </c>
      <c r="I5" cm="1">
        <f t="array" ref="I5">(SUM(TableWHU[PP]-TableWHU[AP]))^2</f>
        <v>5.0487097934144756E-29</v>
      </c>
    </row>
    <row r="6" spans="1:9" x14ac:dyDescent="0.3">
      <c r="A6" t="s">
        <v>121</v>
      </c>
      <c r="B6">
        <v>36.284201550047904</v>
      </c>
      <c r="C6">
        <v>35.179752278528433</v>
      </c>
      <c r="D6">
        <f t="shared" si="0"/>
        <v>33.340751682703996</v>
      </c>
      <c r="E6">
        <v>37</v>
      </c>
      <c r="F6">
        <f t="shared" si="1"/>
        <v>3.6592483172960044</v>
      </c>
    </row>
    <row r="7" spans="1:9" x14ac:dyDescent="0.3">
      <c r="A7" t="s">
        <v>122</v>
      </c>
      <c r="B7">
        <v>43.285308850548986</v>
      </c>
      <c r="C7">
        <v>45.55009723576228</v>
      </c>
      <c r="D7">
        <f t="shared" si="0"/>
        <v>41.374190843634295</v>
      </c>
      <c r="E7">
        <v>35</v>
      </c>
      <c r="F7">
        <f t="shared" si="1"/>
        <v>6.3741908436342953</v>
      </c>
      <c r="H7" t="s">
        <v>15</v>
      </c>
      <c r="I7">
        <f>AVERAGE(TableWHU[DIFF])/10</f>
        <v>0.40246385212575297</v>
      </c>
    </row>
    <row r="8" spans="1:9" x14ac:dyDescent="0.3">
      <c r="A8" t="s">
        <v>123</v>
      </c>
      <c r="B8">
        <v>38.295597484276726</v>
      </c>
      <c r="C8">
        <v>30.721664290165659</v>
      </c>
      <c r="D8">
        <f t="shared" si="0"/>
        <v>32.326331746211096</v>
      </c>
      <c r="E8">
        <v>26</v>
      </c>
      <c r="F8">
        <f t="shared" si="1"/>
        <v>6.3263317462110962</v>
      </c>
    </row>
    <row r="9" spans="1:9" x14ac:dyDescent="0.3">
      <c r="A9" t="s">
        <v>124</v>
      </c>
      <c r="B9">
        <v>33.060121738534981</v>
      </c>
      <c r="C9">
        <v>29.228397616155831</v>
      </c>
      <c r="D9">
        <f t="shared" si="0"/>
        <v>29.116070030845165</v>
      </c>
      <c r="E9">
        <v>37</v>
      </c>
      <c r="F9">
        <f t="shared" si="1"/>
        <v>7.8839299691548348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125</v>
      </c>
      <c r="B2">
        <v>41.182633253441772</v>
      </c>
      <c r="C2">
        <v>39.93136659532999</v>
      </c>
      <c r="D2">
        <f>B2*$I$2+C2*$I$3</f>
        <v>41.590364233810917</v>
      </c>
      <c r="E2">
        <v>50</v>
      </c>
      <c r="F2">
        <f>ABS(D2-E2)</f>
        <v>8.4096357661890835</v>
      </c>
      <c r="H2" t="s">
        <v>7</v>
      </c>
      <c r="I2">
        <v>0.38135576458051612</v>
      </c>
    </row>
    <row r="3" spans="1:9" x14ac:dyDescent="0.3">
      <c r="A3" t="s">
        <v>126</v>
      </c>
      <c r="B3">
        <v>38.047430245935011</v>
      </c>
      <c r="C3">
        <v>46.37685506814347</v>
      </c>
      <c r="D3">
        <f>B3*$I$2+C3*$I$3</f>
        <v>44.572963260100202</v>
      </c>
      <c r="E3">
        <v>32</v>
      </c>
      <c r="F3">
        <f>ABS(D3-E3)</f>
        <v>12.572963260100202</v>
      </c>
      <c r="H3" t="s">
        <v>9</v>
      </c>
      <c r="I3">
        <v>0.64824051488968892</v>
      </c>
    </row>
    <row r="4" spans="1:9" x14ac:dyDescent="0.3">
      <c r="A4" t="s">
        <v>127</v>
      </c>
      <c r="B4">
        <v>-22.47348259102084</v>
      </c>
      <c r="C4">
        <v>30.217735161328296</v>
      </c>
      <c r="D4">
        <f>B4*$I$2+C4*$I$3</f>
        <v>11.01796806349404</v>
      </c>
      <c r="E4">
        <v>20</v>
      </c>
      <c r="F4">
        <f>ABS(D4-E4)</f>
        <v>8.98203193650596</v>
      </c>
    </row>
    <row r="5" spans="1:9" x14ac:dyDescent="0.3">
      <c r="A5" t="s">
        <v>128</v>
      </c>
      <c r="B5">
        <v>32.236842105263158</v>
      </c>
      <c r="C5">
        <v>34.747903527310214</v>
      </c>
      <c r="D5">
        <f>B5*$I$2+C5*$I$3</f>
        <v>34.818704442594822</v>
      </c>
      <c r="E5">
        <v>30</v>
      </c>
      <c r="F5">
        <f>ABS(D5-E5)</f>
        <v>4.8187044425948216</v>
      </c>
      <c r="H5" t="s">
        <v>12</v>
      </c>
      <c r="I5" cm="1">
        <f t="array" ref="I5">(SUM(TableWOL[PP]-TableWOL[AP]))^2</f>
        <v>3.8180867812696971E-28</v>
      </c>
    </row>
    <row r="7" spans="1:9" x14ac:dyDescent="0.3">
      <c r="H7" t="s">
        <v>15</v>
      </c>
      <c r="I7">
        <f>AVERAGE(TableWOL[DIFF])/10</f>
        <v>0.86958338513475175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2023-05-19T14:28:49Z</dcterms:created>
  <dcterms:modified xsi:type="dcterms:W3CDTF">2023-05-19T14:36:09Z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90e8b466-55f3-4ad6-b128-8d263ce2e972</vt:lpwstr>
  </property>
</Properties>
</file>