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2-23\"/>
    </mc:Choice>
  </mc:AlternateContent>
  <xr:revisionPtr revIDLastSave="0" documentId="13_ncr:1_{2386A2CB-8809-4F15-8CDF-575153469AA6}" xr6:coauthVersionLast="47" xr6:coauthVersionMax="47" xr10:uidLastSave="{00000000-0000-0000-0000-000000000000}"/>
  <bookViews>
    <workbookView xWindow="-108" yWindow="-108" windowWidth="23256" windowHeight="12576" firstSheet="3" activeTab="19" xr2:uid="{78621216-F327-4432-B203-2A7C40055676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FO" sheetId="16" r:id="rId16"/>
    <sheet name="SOU" sheetId="17" r:id="rId17"/>
    <sheet name="TOT" sheetId="19" r:id="rId18"/>
    <sheet name="WHU" sheetId="20" r:id="rId19"/>
    <sheet name="WOL" sheetId="21" r:id="rId20"/>
  </sheets>
  <definedNames>
    <definedName name="solver_adj" localSheetId="0" hidden="1">ARS!$N$4:$N$5</definedName>
    <definedName name="solver_adj" localSheetId="1" hidden="1">AVL!$N$4:$N$5</definedName>
    <definedName name="solver_adj" localSheetId="4" hidden="1">BHA!$N$4:$N$5</definedName>
    <definedName name="solver_adj" localSheetId="2" hidden="1">BOU!$N$4:$N$5</definedName>
    <definedName name="solver_adj" localSheetId="3" hidden="1">BRE!$N$4:$N$5</definedName>
    <definedName name="solver_adj" localSheetId="5" hidden="1">CHE!$N$4:$N$5</definedName>
    <definedName name="solver_adj" localSheetId="6" hidden="1">CRY!$N$4:$N$5</definedName>
    <definedName name="solver_adj" localSheetId="7" hidden="1">EVE!$N$4:$N$5</definedName>
    <definedName name="solver_adj" localSheetId="8" hidden="1">FUL!$N$4:$N$5</definedName>
    <definedName name="solver_adj" localSheetId="9" hidden="1">LEE!$N$4:$N$5</definedName>
    <definedName name="solver_adj" localSheetId="10" hidden="1">LEI!$N$4:$N$5</definedName>
    <definedName name="solver_adj" localSheetId="11" hidden="1">LIV!$N$4:$N$5</definedName>
    <definedName name="solver_adj" localSheetId="12" hidden="1">MCI!$N$4:$N$5</definedName>
    <definedName name="solver_adj" localSheetId="13" hidden="1">MUN!$N$4:$N$5</definedName>
    <definedName name="solver_adj" localSheetId="14" hidden="1">NEW!$N$4:$N$5</definedName>
    <definedName name="solver_adj" localSheetId="15" hidden="1">NFO!$N$4:$N$5</definedName>
    <definedName name="solver_adj" localSheetId="16" hidden="1">SOU!$N$4:$N$5</definedName>
    <definedName name="solver_adj" localSheetId="17" hidden="1">TOT!$N$4:$N$5</definedName>
    <definedName name="solver_adj" localSheetId="18" hidden="1">WHU!$N$4:$N$5</definedName>
    <definedName name="solver_adj" localSheetId="19" hidden="1">WOL!$N$4:$N$5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itr" localSheetId="19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eg" localSheetId="19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num" localSheetId="19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opt" localSheetId="0" hidden="1">ARS!$N$7</definedName>
    <definedName name="solver_opt" localSheetId="1" hidden="1">AVL!$N$7</definedName>
    <definedName name="solver_opt" localSheetId="4" hidden="1">BHA!$N$7</definedName>
    <definedName name="solver_opt" localSheetId="2" hidden="1">BOU!$N$7</definedName>
    <definedName name="solver_opt" localSheetId="3" hidden="1">BRE!$N$7</definedName>
    <definedName name="solver_opt" localSheetId="5" hidden="1">CHE!$N$7</definedName>
    <definedName name="solver_opt" localSheetId="6" hidden="1">CRY!$N$7</definedName>
    <definedName name="solver_opt" localSheetId="7" hidden="1">EVE!$N$7</definedName>
    <definedName name="solver_opt" localSheetId="8" hidden="1">FUL!$N$7</definedName>
    <definedName name="solver_opt" localSheetId="9" hidden="1">LEE!$N$7</definedName>
    <definedName name="solver_opt" localSheetId="10" hidden="1">LEI!$N$7</definedName>
    <definedName name="solver_opt" localSheetId="11" hidden="1">LIV!$N$7</definedName>
    <definedName name="solver_opt" localSheetId="12" hidden="1">MCI!$N$7</definedName>
    <definedName name="solver_opt" localSheetId="13" hidden="1">MUN!$N$7</definedName>
    <definedName name="solver_opt" localSheetId="14" hidden="1">NEW!$N$7</definedName>
    <definedName name="solver_opt" localSheetId="15" hidden="1">NFO!$N$7</definedName>
    <definedName name="solver_opt" localSheetId="16" hidden="1">SOU!$N$7</definedName>
    <definedName name="solver_opt" localSheetId="17" hidden="1">TOT!$N$7</definedName>
    <definedName name="solver_opt" localSheetId="18" hidden="1">WHU!$N$7</definedName>
    <definedName name="solver_opt" localSheetId="19" hidden="1">WOL!$N$7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lx" localSheetId="19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cl" localSheetId="19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im" localSheetId="19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ol" localSheetId="19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" i="21" l="1"/>
  <c r="K18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" i="14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9" i="14"/>
  <c r="K20" i="14"/>
  <c r="K21" i="14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2" i="19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" i="21"/>
  <c r="K3" i="21"/>
  <c r="K4" i="21"/>
  <c r="K5" i="21"/>
  <c r="K6" i="21"/>
  <c r="K7" i="21"/>
  <c r="K8" i="21"/>
  <c r="K9" i="21"/>
  <c r="K10" i="21"/>
  <c r="K12" i="21"/>
  <c r="K13" i="21"/>
  <c r="K14" i="21"/>
  <c r="K15" i="21"/>
  <c r="K16" i="21"/>
  <c r="K17" i="21"/>
  <c r="F3" i="21"/>
  <c r="G3" i="21" s="1"/>
  <c r="I3" i="21" s="1"/>
  <c r="F4" i="21"/>
  <c r="G4" i="21" s="1"/>
  <c r="I4" i="21" s="1"/>
  <c r="F5" i="21"/>
  <c r="G5" i="21" s="1"/>
  <c r="I5" i="21" s="1"/>
  <c r="F6" i="21"/>
  <c r="G6" i="21" s="1"/>
  <c r="I6" i="21" s="1"/>
  <c r="F7" i="21"/>
  <c r="G7" i="21" s="1"/>
  <c r="I7" i="21" s="1"/>
  <c r="F8" i="21"/>
  <c r="G8" i="21" s="1"/>
  <c r="I8" i="21" s="1"/>
  <c r="F9" i="21"/>
  <c r="G9" i="21" s="1"/>
  <c r="I9" i="21" s="1"/>
  <c r="F10" i="21"/>
  <c r="G10" i="21" s="1"/>
  <c r="I10" i="21" s="1"/>
  <c r="F11" i="21"/>
  <c r="G11" i="21" s="1"/>
  <c r="I11" i="21" s="1"/>
  <c r="F12" i="21"/>
  <c r="G12" i="21" s="1"/>
  <c r="I12" i="21" s="1"/>
  <c r="F13" i="21"/>
  <c r="G13" i="21" s="1"/>
  <c r="I13" i="21" s="1"/>
  <c r="F14" i="21"/>
  <c r="G14" i="21" s="1"/>
  <c r="I14" i="21" s="1"/>
  <c r="F15" i="21"/>
  <c r="G15" i="21" s="1"/>
  <c r="I15" i="21" s="1"/>
  <c r="F16" i="21"/>
  <c r="G16" i="21" s="1"/>
  <c r="I16" i="21" s="1"/>
  <c r="F17" i="21"/>
  <c r="G17" i="21" s="1"/>
  <c r="I17" i="21" s="1"/>
  <c r="F2" i="21"/>
  <c r="F3" i="20"/>
  <c r="G3" i="20" s="1"/>
  <c r="I3" i="20" s="1"/>
  <c r="F4" i="20"/>
  <c r="G4" i="20" s="1"/>
  <c r="I4" i="20" s="1"/>
  <c r="F5" i="20"/>
  <c r="G5" i="20" s="1"/>
  <c r="I5" i="20" s="1"/>
  <c r="F6" i="20"/>
  <c r="G6" i="20" s="1"/>
  <c r="I6" i="20" s="1"/>
  <c r="F7" i="20"/>
  <c r="G7" i="20" s="1"/>
  <c r="I7" i="20" s="1"/>
  <c r="F8" i="20"/>
  <c r="G8" i="20" s="1"/>
  <c r="I8" i="20" s="1"/>
  <c r="F9" i="20"/>
  <c r="G9" i="20" s="1"/>
  <c r="I9" i="20" s="1"/>
  <c r="F10" i="20"/>
  <c r="G10" i="20" s="1"/>
  <c r="I10" i="20" s="1"/>
  <c r="F11" i="20"/>
  <c r="G11" i="20" s="1"/>
  <c r="I11" i="20" s="1"/>
  <c r="F12" i="20"/>
  <c r="G12" i="20" s="1"/>
  <c r="I12" i="20" s="1"/>
  <c r="F13" i="20"/>
  <c r="G13" i="20" s="1"/>
  <c r="I13" i="20" s="1"/>
  <c r="F14" i="20"/>
  <c r="G14" i="20" s="1"/>
  <c r="I14" i="20" s="1"/>
  <c r="F15" i="20"/>
  <c r="G15" i="20" s="1"/>
  <c r="I15" i="20" s="1"/>
  <c r="F16" i="20"/>
  <c r="G16" i="20" s="1"/>
  <c r="I16" i="20" s="1"/>
  <c r="F17" i="20"/>
  <c r="G17" i="20" s="1"/>
  <c r="I17" i="20" s="1"/>
  <c r="F18" i="20"/>
  <c r="G18" i="20" s="1"/>
  <c r="I18" i="20" s="1"/>
  <c r="F19" i="20"/>
  <c r="G19" i="20" s="1"/>
  <c r="I19" i="20" s="1"/>
  <c r="F20" i="20"/>
  <c r="G20" i="20" s="1"/>
  <c r="I20" i="20" s="1"/>
  <c r="F21" i="20"/>
  <c r="G21" i="20" s="1"/>
  <c r="I21" i="20" s="1"/>
  <c r="F2" i="20"/>
  <c r="G2" i="20" s="1"/>
  <c r="I2" i="20" s="1"/>
  <c r="F3" i="19"/>
  <c r="G3" i="19" s="1"/>
  <c r="I3" i="19" s="1"/>
  <c r="F4" i="19"/>
  <c r="G4" i="19" s="1"/>
  <c r="I4" i="19" s="1"/>
  <c r="F5" i="19"/>
  <c r="G5" i="19" s="1"/>
  <c r="I5" i="19" s="1"/>
  <c r="F6" i="19"/>
  <c r="G6" i="19" s="1"/>
  <c r="I6" i="19" s="1"/>
  <c r="F7" i="19"/>
  <c r="G7" i="19" s="1"/>
  <c r="I7" i="19" s="1"/>
  <c r="F8" i="19"/>
  <c r="G8" i="19" s="1"/>
  <c r="I8" i="19" s="1"/>
  <c r="F9" i="19"/>
  <c r="G9" i="19" s="1"/>
  <c r="I9" i="19" s="1"/>
  <c r="F10" i="19"/>
  <c r="G10" i="19" s="1"/>
  <c r="I10" i="19" s="1"/>
  <c r="F11" i="19"/>
  <c r="G11" i="19" s="1"/>
  <c r="I11" i="19" s="1"/>
  <c r="F12" i="19"/>
  <c r="G12" i="19" s="1"/>
  <c r="I12" i="19" s="1"/>
  <c r="F13" i="19"/>
  <c r="G13" i="19" s="1"/>
  <c r="I13" i="19" s="1"/>
  <c r="F14" i="19"/>
  <c r="G14" i="19" s="1"/>
  <c r="I14" i="19" s="1"/>
  <c r="F15" i="19"/>
  <c r="G15" i="19" s="1"/>
  <c r="I15" i="19" s="1"/>
  <c r="F16" i="19"/>
  <c r="G16" i="19" s="1"/>
  <c r="I16" i="19" s="1"/>
  <c r="F17" i="19"/>
  <c r="G17" i="19" s="1"/>
  <c r="I17" i="19" s="1"/>
  <c r="F18" i="19"/>
  <c r="G18" i="19" s="1"/>
  <c r="I18" i="19" s="1"/>
  <c r="F19" i="19"/>
  <c r="G19" i="19" s="1"/>
  <c r="I19" i="19" s="1"/>
  <c r="F20" i="19"/>
  <c r="G20" i="19" s="1"/>
  <c r="I20" i="19" s="1"/>
  <c r="F2" i="19"/>
  <c r="G2" i="19" s="1"/>
  <c r="I2" i="19" s="1"/>
  <c r="F3" i="17"/>
  <c r="G3" i="17" s="1"/>
  <c r="I3" i="17" s="1"/>
  <c r="F4" i="17"/>
  <c r="G4" i="17" s="1"/>
  <c r="I4" i="17" s="1"/>
  <c r="F5" i="17"/>
  <c r="G5" i="17" s="1"/>
  <c r="I5" i="17" s="1"/>
  <c r="F6" i="17"/>
  <c r="G6" i="17" s="1"/>
  <c r="I6" i="17" s="1"/>
  <c r="F7" i="17"/>
  <c r="G7" i="17" s="1"/>
  <c r="I7" i="17" s="1"/>
  <c r="F8" i="17"/>
  <c r="G8" i="17" s="1"/>
  <c r="I8" i="17" s="1"/>
  <c r="F9" i="17"/>
  <c r="G9" i="17" s="1"/>
  <c r="I9" i="17" s="1"/>
  <c r="F10" i="17"/>
  <c r="G10" i="17" s="1"/>
  <c r="I10" i="17" s="1"/>
  <c r="F11" i="17"/>
  <c r="G11" i="17" s="1"/>
  <c r="I11" i="17" s="1"/>
  <c r="F12" i="17"/>
  <c r="G12" i="17" s="1"/>
  <c r="I12" i="17" s="1"/>
  <c r="F13" i="17"/>
  <c r="G13" i="17" s="1"/>
  <c r="I13" i="17" s="1"/>
  <c r="F14" i="17"/>
  <c r="G14" i="17" s="1"/>
  <c r="I14" i="17" s="1"/>
  <c r="F15" i="17"/>
  <c r="G15" i="17" s="1"/>
  <c r="I15" i="17" s="1"/>
  <c r="F16" i="17"/>
  <c r="G16" i="17" s="1"/>
  <c r="I16" i="17" s="1"/>
  <c r="F17" i="17"/>
  <c r="G17" i="17" s="1"/>
  <c r="I17" i="17" s="1"/>
  <c r="F18" i="17"/>
  <c r="G18" i="17" s="1"/>
  <c r="I18" i="17" s="1"/>
  <c r="F2" i="17"/>
  <c r="G2" i="17" s="1"/>
  <c r="I2" i="17" s="1"/>
  <c r="F3" i="16"/>
  <c r="G3" i="16" s="1"/>
  <c r="I3" i="16" s="1"/>
  <c r="F4" i="16"/>
  <c r="G4" i="16" s="1"/>
  <c r="I4" i="16" s="1"/>
  <c r="F5" i="16"/>
  <c r="G5" i="16" s="1"/>
  <c r="I5" i="16" s="1"/>
  <c r="F6" i="16"/>
  <c r="G6" i="16" s="1"/>
  <c r="I6" i="16" s="1"/>
  <c r="F7" i="16"/>
  <c r="G7" i="16" s="1"/>
  <c r="I7" i="16" s="1"/>
  <c r="F8" i="16"/>
  <c r="G8" i="16" s="1"/>
  <c r="I8" i="16" s="1"/>
  <c r="F9" i="16"/>
  <c r="G9" i="16" s="1"/>
  <c r="I9" i="16" s="1"/>
  <c r="F10" i="16"/>
  <c r="G10" i="16" s="1"/>
  <c r="I10" i="16" s="1"/>
  <c r="F11" i="16"/>
  <c r="G11" i="16" s="1"/>
  <c r="I11" i="16" s="1"/>
  <c r="F12" i="16"/>
  <c r="G12" i="16" s="1"/>
  <c r="I12" i="16" s="1"/>
  <c r="F13" i="16"/>
  <c r="G13" i="16" s="1"/>
  <c r="I13" i="16" s="1"/>
  <c r="F14" i="16"/>
  <c r="G14" i="16" s="1"/>
  <c r="I14" i="16" s="1"/>
  <c r="F15" i="16"/>
  <c r="G15" i="16" s="1"/>
  <c r="I15" i="16" s="1"/>
  <c r="F16" i="16"/>
  <c r="G16" i="16" s="1"/>
  <c r="I16" i="16" s="1"/>
  <c r="F17" i="16"/>
  <c r="G17" i="16" s="1"/>
  <c r="I17" i="16" s="1"/>
  <c r="F18" i="16"/>
  <c r="G18" i="16" s="1"/>
  <c r="I18" i="16" s="1"/>
  <c r="F19" i="16"/>
  <c r="G19" i="16" s="1"/>
  <c r="I19" i="16" s="1"/>
  <c r="F20" i="16"/>
  <c r="G20" i="16" s="1"/>
  <c r="I20" i="16" s="1"/>
  <c r="F21" i="16"/>
  <c r="G21" i="16" s="1"/>
  <c r="I21" i="16" s="1"/>
  <c r="F22" i="16"/>
  <c r="G22" i="16" s="1"/>
  <c r="I22" i="16" s="1"/>
  <c r="F2" i="16"/>
  <c r="G2" i="16" s="1"/>
  <c r="I2" i="16" s="1"/>
  <c r="F3" i="15"/>
  <c r="G3" i="15" s="1"/>
  <c r="I3" i="15" s="1"/>
  <c r="F4" i="15"/>
  <c r="G4" i="15" s="1"/>
  <c r="I4" i="15" s="1"/>
  <c r="F5" i="15"/>
  <c r="G5" i="15" s="1"/>
  <c r="I5" i="15" s="1"/>
  <c r="F6" i="15"/>
  <c r="G6" i="15" s="1"/>
  <c r="I6" i="15" s="1"/>
  <c r="F7" i="15"/>
  <c r="G7" i="15" s="1"/>
  <c r="I7" i="15" s="1"/>
  <c r="F8" i="15"/>
  <c r="G8" i="15" s="1"/>
  <c r="I8" i="15" s="1"/>
  <c r="F9" i="15"/>
  <c r="G9" i="15" s="1"/>
  <c r="I9" i="15" s="1"/>
  <c r="F10" i="15"/>
  <c r="G10" i="15" s="1"/>
  <c r="I10" i="15" s="1"/>
  <c r="F11" i="15"/>
  <c r="G11" i="15" s="1"/>
  <c r="I11" i="15" s="1"/>
  <c r="F12" i="15"/>
  <c r="G12" i="15" s="1"/>
  <c r="I12" i="15" s="1"/>
  <c r="F13" i="15"/>
  <c r="G13" i="15" s="1"/>
  <c r="I13" i="15" s="1"/>
  <c r="F14" i="15"/>
  <c r="G14" i="15" s="1"/>
  <c r="I14" i="15" s="1"/>
  <c r="F15" i="15"/>
  <c r="G15" i="15" s="1"/>
  <c r="I15" i="15" s="1"/>
  <c r="F16" i="15"/>
  <c r="G16" i="15" s="1"/>
  <c r="I16" i="15" s="1"/>
  <c r="F17" i="15"/>
  <c r="G17" i="15" s="1"/>
  <c r="I17" i="15" s="1"/>
  <c r="F18" i="15"/>
  <c r="G18" i="15" s="1"/>
  <c r="I18" i="15" s="1"/>
  <c r="F19" i="15"/>
  <c r="G19" i="15" s="1"/>
  <c r="I19" i="15" s="1"/>
  <c r="F20" i="15"/>
  <c r="G20" i="15" s="1"/>
  <c r="I20" i="15" s="1"/>
  <c r="F2" i="15"/>
  <c r="G2" i="15" s="1"/>
  <c r="I2" i="15" s="1"/>
  <c r="F3" i="14"/>
  <c r="G3" i="14" s="1"/>
  <c r="I3" i="14" s="1"/>
  <c r="F4" i="14"/>
  <c r="G4" i="14" s="1"/>
  <c r="I4" i="14" s="1"/>
  <c r="F5" i="14"/>
  <c r="G5" i="14" s="1"/>
  <c r="I5" i="14" s="1"/>
  <c r="F6" i="14"/>
  <c r="G6" i="14" s="1"/>
  <c r="I6" i="14" s="1"/>
  <c r="F7" i="14"/>
  <c r="G7" i="14" s="1"/>
  <c r="I7" i="14" s="1"/>
  <c r="F8" i="14"/>
  <c r="G8" i="14" s="1"/>
  <c r="I8" i="14" s="1"/>
  <c r="F9" i="14"/>
  <c r="G9" i="14" s="1"/>
  <c r="I9" i="14" s="1"/>
  <c r="F10" i="14"/>
  <c r="G10" i="14" s="1"/>
  <c r="I10" i="14" s="1"/>
  <c r="F11" i="14"/>
  <c r="G11" i="14" s="1"/>
  <c r="I11" i="14" s="1"/>
  <c r="F12" i="14"/>
  <c r="G12" i="14" s="1"/>
  <c r="I12" i="14" s="1"/>
  <c r="F13" i="14"/>
  <c r="G13" i="14" s="1"/>
  <c r="I13" i="14" s="1"/>
  <c r="F14" i="14"/>
  <c r="G14" i="14" s="1"/>
  <c r="I14" i="14" s="1"/>
  <c r="F15" i="14"/>
  <c r="G15" i="14" s="1"/>
  <c r="I15" i="14" s="1"/>
  <c r="F16" i="14"/>
  <c r="G16" i="14" s="1"/>
  <c r="I16" i="14" s="1"/>
  <c r="F17" i="14"/>
  <c r="G17" i="14" s="1"/>
  <c r="I17" i="14" s="1"/>
  <c r="F18" i="14"/>
  <c r="G18" i="14" s="1"/>
  <c r="I18" i="14" s="1"/>
  <c r="F19" i="14"/>
  <c r="G19" i="14" s="1"/>
  <c r="I19" i="14" s="1"/>
  <c r="F20" i="14"/>
  <c r="G20" i="14" s="1"/>
  <c r="I20" i="14" s="1"/>
  <c r="F21" i="14"/>
  <c r="G21" i="14" s="1"/>
  <c r="I21" i="14" s="1"/>
  <c r="F2" i="14"/>
  <c r="G2" i="14" s="1"/>
  <c r="I2" i="14" s="1"/>
  <c r="F3" i="13"/>
  <c r="G3" i="13" s="1"/>
  <c r="I3" i="13" s="1"/>
  <c r="F4" i="13"/>
  <c r="G4" i="13" s="1"/>
  <c r="I4" i="13" s="1"/>
  <c r="F5" i="13"/>
  <c r="G5" i="13" s="1"/>
  <c r="I5" i="13" s="1"/>
  <c r="F6" i="13"/>
  <c r="G6" i="13" s="1"/>
  <c r="I6" i="13" s="1"/>
  <c r="F7" i="13"/>
  <c r="G7" i="13" s="1"/>
  <c r="I7" i="13" s="1"/>
  <c r="F8" i="13"/>
  <c r="G8" i="13" s="1"/>
  <c r="I8" i="13" s="1"/>
  <c r="F9" i="13"/>
  <c r="G9" i="13" s="1"/>
  <c r="I9" i="13" s="1"/>
  <c r="F10" i="13"/>
  <c r="G10" i="13" s="1"/>
  <c r="I10" i="13" s="1"/>
  <c r="F11" i="13"/>
  <c r="G11" i="13" s="1"/>
  <c r="I11" i="13" s="1"/>
  <c r="F12" i="13"/>
  <c r="G12" i="13" s="1"/>
  <c r="I12" i="13" s="1"/>
  <c r="F13" i="13"/>
  <c r="G13" i="13" s="1"/>
  <c r="I13" i="13" s="1"/>
  <c r="F14" i="13"/>
  <c r="G14" i="13" s="1"/>
  <c r="I14" i="13" s="1"/>
  <c r="F15" i="13"/>
  <c r="G15" i="13" s="1"/>
  <c r="I15" i="13" s="1"/>
  <c r="F16" i="13"/>
  <c r="G16" i="13" s="1"/>
  <c r="I16" i="13" s="1"/>
  <c r="F17" i="13"/>
  <c r="G17" i="13" s="1"/>
  <c r="I17" i="13" s="1"/>
  <c r="F18" i="13"/>
  <c r="G18" i="13" s="1"/>
  <c r="I18" i="13" s="1"/>
  <c r="F19" i="13"/>
  <c r="G19" i="13" s="1"/>
  <c r="I19" i="13" s="1"/>
  <c r="F20" i="13"/>
  <c r="G20" i="13" s="1"/>
  <c r="I20" i="13" s="1"/>
  <c r="F2" i="13"/>
  <c r="G2" i="13" s="1"/>
  <c r="I2" i="13" s="1"/>
  <c r="F3" i="12"/>
  <c r="G3" i="12" s="1"/>
  <c r="I3" i="12" s="1"/>
  <c r="F4" i="12"/>
  <c r="G4" i="12" s="1"/>
  <c r="I4" i="12" s="1"/>
  <c r="F5" i="12"/>
  <c r="G5" i="12" s="1"/>
  <c r="I5" i="12" s="1"/>
  <c r="F6" i="12"/>
  <c r="G6" i="12" s="1"/>
  <c r="I6" i="12" s="1"/>
  <c r="F7" i="12"/>
  <c r="G7" i="12" s="1"/>
  <c r="I7" i="12" s="1"/>
  <c r="F8" i="12"/>
  <c r="G8" i="12" s="1"/>
  <c r="I8" i="12" s="1"/>
  <c r="F9" i="12"/>
  <c r="G9" i="12" s="1"/>
  <c r="I9" i="12" s="1"/>
  <c r="F10" i="12"/>
  <c r="G10" i="12" s="1"/>
  <c r="I10" i="12" s="1"/>
  <c r="F11" i="12"/>
  <c r="G11" i="12" s="1"/>
  <c r="I11" i="12" s="1"/>
  <c r="F12" i="12"/>
  <c r="G12" i="12" s="1"/>
  <c r="I12" i="12" s="1"/>
  <c r="F13" i="12"/>
  <c r="G13" i="12" s="1"/>
  <c r="I13" i="12" s="1"/>
  <c r="F14" i="12"/>
  <c r="G14" i="12" s="1"/>
  <c r="I14" i="12" s="1"/>
  <c r="F15" i="12"/>
  <c r="G15" i="12" s="1"/>
  <c r="I15" i="12" s="1"/>
  <c r="F16" i="12"/>
  <c r="G16" i="12" s="1"/>
  <c r="I16" i="12" s="1"/>
  <c r="F17" i="12"/>
  <c r="G17" i="12" s="1"/>
  <c r="I17" i="12" s="1"/>
  <c r="F18" i="12"/>
  <c r="G18" i="12" s="1"/>
  <c r="I18" i="12" s="1"/>
  <c r="F19" i="12"/>
  <c r="G19" i="12" s="1"/>
  <c r="I19" i="12" s="1"/>
  <c r="F20" i="12"/>
  <c r="G20" i="12" s="1"/>
  <c r="I20" i="12" s="1"/>
  <c r="F21" i="12"/>
  <c r="G21" i="12" s="1"/>
  <c r="I21" i="12" s="1"/>
  <c r="F2" i="12"/>
  <c r="G2" i="12" s="1"/>
  <c r="I2" i="12" s="1"/>
  <c r="F3" i="11"/>
  <c r="G3" i="11" s="1"/>
  <c r="I3" i="11" s="1"/>
  <c r="F4" i="11"/>
  <c r="G4" i="11" s="1"/>
  <c r="I4" i="11" s="1"/>
  <c r="F5" i="11"/>
  <c r="G5" i="11" s="1"/>
  <c r="I5" i="11" s="1"/>
  <c r="F6" i="11"/>
  <c r="G6" i="11" s="1"/>
  <c r="I6" i="11" s="1"/>
  <c r="F7" i="11"/>
  <c r="G7" i="11" s="1"/>
  <c r="I7" i="11" s="1"/>
  <c r="F8" i="11"/>
  <c r="G8" i="11" s="1"/>
  <c r="I8" i="11" s="1"/>
  <c r="F9" i="11"/>
  <c r="G9" i="11" s="1"/>
  <c r="I9" i="11" s="1"/>
  <c r="F10" i="11"/>
  <c r="G10" i="11" s="1"/>
  <c r="I10" i="11" s="1"/>
  <c r="F11" i="11"/>
  <c r="G11" i="11" s="1"/>
  <c r="I11" i="11" s="1"/>
  <c r="F12" i="11"/>
  <c r="G12" i="11" s="1"/>
  <c r="I12" i="11" s="1"/>
  <c r="F13" i="11"/>
  <c r="G13" i="11" s="1"/>
  <c r="I13" i="11" s="1"/>
  <c r="F14" i="11"/>
  <c r="G14" i="11" s="1"/>
  <c r="I14" i="11" s="1"/>
  <c r="F15" i="11"/>
  <c r="G15" i="11" s="1"/>
  <c r="I15" i="11" s="1"/>
  <c r="F16" i="11"/>
  <c r="G16" i="11" s="1"/>
  <c r="I16" i="11" s="1"/>
  <c r="F17" i="11"/>
  <c r="G17" i="11" s="1"/>
  <c r="I17" i="11" s="1"/>
  <c r="F18" i="11"/>
  <c r="G18" i="11" s="1"/>
  <c r="I18" i="11" s="1"/>
  <c r="F2" i="11"/>
  <c r="G2" i="11" s="1"/>
  <c r="I2" i="11" s="1"/>
  <c r="F3" i="10"/>
  <c r="G3" i="10" s="1"/>
  <c r="I3" i="10" s="1"/>
  <c r="F4" i="10"/>
  <c r="G4" i="10" s="1"/>
  <c r="I4" i="10" s="1"/>
  <c r="F5" i="10"/>
  <c r="G5" i="10" s="1"/>
  <c r="I5" i="10" s="1"/>
  <c r="F6" i="10"/>
  <c r="G6" i="10" s="1"/>
  <c r="I6" i="10" s="1"/>
  <c r="F7" i="10"/>
  <c r="G7" i="10" s="1"/>
  <c r="I7" i="10" s="1"/>
  <c r="F8" i="10"/>
  <c r="G8" i="10" s="1"/>
  <c r="I8" i="10" s="1"/>
  <c r="F9" i="10"/>
  <c r="G9" i="10" s="1"/>
  <c r="I9" i="10" s="1"/>
  <c r="F10" i="10"/>
  <c r="G10" i="10" s="1"/>
  <c r="I10" i="10" s="1"/>
  <c r="F11" i="10"/>
  <c r="G11" i="10" s="1"/>
  <c r="I11" i="10" s="1"/>
  <c r="F12" i="10"/>
  <c r="G12" i="10" s="1"/>
  <c r="I12" i="10" s="1"/>
  <c r="F13" i="10"/>
  <c r="G13" i="10" s="1"/>
  <c r="I13" i="10" s="1"/>
  <c r="F14" i="10"/>
  <c r="G14" i="10" s="1"/>
  <c r="I14" i="10" s="1"/>
  <c r="F15" i="10"/>
  <c r="G15" i="10" s="1"/>
  <c r="I15" i="10" s="1"/>
  <c r="F16" i="10"/>
  <c r="G16" i="10" s="1"/>
  <c r="I16" i="10" s="1"/>
  <c r="F17" i="10"/>
  <c r="G17" i="10" s="1"/>
  <c r="I17" i="10" s="1"/>
  <c r="F2" i="10"/>
  <c r="G2" i="10" s="1"/>
  <c r="I2" i="10" s="1"/>
  <c r="F3" i="9"/>
  <c r="G3" i="9" s="1"/>
  <c r="I3" i="9" s="1"/>
  <c r="F4" i="9"/>
  <c r="G4" i="9" s="1"/>
  <c r="I4" i="9" s="1"/>
  <c r="F5" i="9"/>
  <c r="G5" i="9" s="1"/>
  <c r="I5" i="9" s="1"/>
  <c r="F6" i="9"/>
  <c r="G6" i="9" s="1"/>
  <c r="I6" i="9" s="1"/>
  <c r="F7" i="9"/>
  <c r="G7" i="9" s="1"/>
  <c r="I7" i="9" s="1"/>
  <c r="F8" i="9"/>
  <c r="G8" i="9" s="1"/>
  <c r="I8" i="9" s="1"/>
  <c r="F9" i="9"/>
  <c r="G9" i="9" s="1"/>
  <c r="I9" i="9" s="1"/>
  <c r="F10" i="9"/>
  <c r="G10" i="9" s="1"/>
  <c r="I10" i="9" s="1"/>
  <c r="F11" i="9"/>
  <c r="G11" i="9" s="1"/>
  <c r="I11" i="9" s="1"/>
  <c r="F12" i="9"/>
  <c r="G12" i="9" s="1"/>
  <c r="I12" i="9" s="1"/>
  <c r="F13" i="9"/>
  <c r="G13" i="9" s="1"/>
  <c r="I13" i="9" s="1"/>
  <c r="F14" i="9"/>
  <c r="G14" i="9" s="1"/>
  <c r="I14" i="9" s="1"/>
  <c r="F15" i="9"/>
  <c r="G15" i="9" s="1"/>
  <c r="I15" i="9" s="1"/>
  <c r="F16" i="9"/>
  <c r="G16" i="9" s="1"/>
  <c r="I16" i="9" s="1"/>
  <c r="F17" i="9"/>
  <c r="G17" i="9" s="1"/>
  <c r="I17" i="9" s="1"/>
  <c r="F18" i="9"/>
  <c r="G18" i="9" s="1"/>
  <c r="I18" i="9" s="1"/>
  <c r="F19" i="9"/>
  <c r="G19" i="9" s="1"/>
  <c r="I19" i="9" s="1"/>
  <c r="F20" i="9"/>
  <c r="G20" i="9" s="1"/>
  <c r="I20" i="9" s="1"/>
  <c r="F21" i="9"/>
  <c r="G21" i="9" s="1"/>
  <c r="I21" i="9" s="1"/>
  <c r="F2" i="9"/>
  <c r="G2" i="9" s="1"/>
  <c r="I2" i="9" s="1"/>
  <c r="F3" i="8"/>
  <c r="G3" i="8" s="1"/>
  <c r="I3" i="8" s="1"/>
  <c r="F4" i="8"/>
  <c r="G4" i="8" s="1"/>
  <c r="I4" i="8" s="1"/>
  <c r="F5" i="8"/>
  <c r="G5" i="8" s="1"/>
  <c r="I5" i="8" s="1"/>
  <c r="F6" i="8"/>
  <c r="G6" i="8" s="1"/>
  <c r="I6" i="8" s="1"/>
  <c r="F7" i="8"/>
  <c r="G7" i="8" s="1"/>
  <c r="I7" i="8" s="1"/>
  <c r="F8" i="8"/>
  <c r="G8" i="8" s="1"/>
  <c r="I8" i="8" s="1"/>
  <c r="F9" i="8"/>
  <c r="G9" i="8" s="1"/>
  <c r="I9" i="8" s="1"/>
  <c r="F10" i="8"/>
  <c r="G10" i="8" s="1"/>
  <c r="I10" i="8" s="1"/>
  <c r="F11" i="8"/>
  <c r="G11" i="8" s="1"/>
  <c r="I11" i="8" s="1"/>
  <c r="F12" i="8"/>
  <c r="G12" i="8" s="1"/>
  <c r="I12" i="8" s="1"/>
  <c r="F13" i="8"/>
  <c r="G13" i="8" s="1"/>
  <c r="I13" i="8" s="1"/>
  <c r="F14" i="8"/>
  <c r="G14" i="8" s="1"/>
  <c r="I14" i="8" s="1"/>
  <c r="F15" i="8"/>
  <c r="G15" i="8" s="1"/>
  <c r="I15" i="8" s="1"/>
  <c r="F16" i="8"/>
  <c r="G16" i="8" s="1"/>
  <c r="I16" i="8" s="1"/>
  <c r="F17" i="8"/>
  <c r="G17" i="8" s="1"/>
  <c r="I17" i="8" s="1"/>
  <c r="F18" i="8"/>
  <c r="G18" i="8" s="1"/>
  <c r="I18" i="8" s="1"/>
  <c r="F19" i="8"/>
  <c r="G19" i="8" s="1"/>
  <c r="I19" i="8" s="1"/>
  <c r="F2" i="8"/>
  <c r="G2" i="8" s="1"/>
  <c r="I2" i="8" s="1"/>
  <c r="F3" i="7"/>
  <c r="G3" i="7" s="1"/>
  <c r="I3" i="7" s="1"/>
  <c r="F4" i="7"/>
  <c r="G4" i="7" s="1"/>
  <c r="I4" i="7" s="1"/>
  <c r="F5" i="7"/>
  <c r="G5" i="7" s="1"/>
  <c r="I5" i="7" s="1"/>
  <c r="F6" i="7"/>
  <c r="G6" i="7" s="1"/>
  <c r="I6" i="7" s="1"/>
  <c r="F7" i="7"/>
  <c r="G7" i="7" s="1"/>
  <c r="I7" i="7" s="1"/>
  <c r="F8" i="7"/>
  <c r="G8" i="7" s="1"/>
  <c r="I8" i="7" s="1"/>
  <c r="F9" i="7"/>
  <c r="G9" i="7" s="1"/>
  <c r="I9" i="7" s="1"/>
  <c r="F10" i="7"/>
  <c r="G10" i="7" s="1"/>
  <c r="I10" i="7" s="1"/>
  <c r="F11" i="7"/>
  <c r="G11" i="7" s="1"/>
  <c r="I11" i="7" s="1"/>
  <c r="F12" i="7"/>
  <c r="G12" i="7" s="1"/>
  <c r="I12" i="7" s="1"/>
  <c r="F13" i="7"/>
  <c r="G13" i="7" s="1"/>
  <c r="I13" i="7" s="1"/>
  <c r="F14" i="7"/>
  <c r="G14" i="7" s="1"/>
  <c r="I14" i="7" s="1"/>
  <c r="F15" i="7"/>
  <c r="G15" i="7" s="1"/>
  <c r="I15" i="7" s="1"/>
  <c r="F16" i="7"/>
  <c r="G16" i="7" s="1"/>
  <c r="I16" i="7" s="1"/>
  <c r="F17" i="7"/>
  <c r="G17" i="7" s="1"/>
  <c r="I17" i="7" s="1"/>
  <c r="F18" i="7"/>
  <c r="G18" i="7" s="1"/>
  <c r="I18" i="7" s="1"/>
  <c r="F19" i="7"/>
  <c r="G19" i="7" s="1"/>
  <c r="I19" i="7" s="1"/>
  <c r="F2" i="7"/>
  <c r="G2" i="7" s="1"/>
  <c r="I2" i="7" s="1"/>
  <c r="F3" i="6"/>
  <c r="G3" i="6" s="1"/>
  <c r="I3" i="6" s="1"/>
  <c r="F4" i="6"/>
  <c r="G4" i="6" s="1"/>
  <c r="I4" i="6" s="1"/>
  <c r="F5" i="6"/>
  <c r="G5" i="6" s="1"/>
  <c r="I5" i="6" s="1"/>
  <c r="F6" i="6"/>
  <c r="G6" i="6" s="1"/>
  <c r="I6" i="6" s="1"/>
  <c r="F7" i="6"/>
  <c r="G7" i="6" s="1"/>
  <c r="I7" i="6" s="1"/>
  <c r="F8" i="6"/>
  <c r="G8" i="6" s="1"/>
  <c r="I8" i="6" s="1"/>
  <c r="F9" i="6"/>
  <c r="G9" i="6" s="1"/>
  <c r="I9" i="6" s="1"/>
  <c r="F10" i="6"/>
  <c r="G10" i="6" s="1"/>
  <c r="I10" i="6" s="1"/>
  <c r="F11" i="6"/>
  <c r="G11" i="6" s="1"/>
  <c r="I11" i="6" s="1"/>
  <c r="F12" i="6"/>
  <c r="G12" i="6" s="1"/>
  <c r="I12" i="6" s="1"/>
  <c r="F13" i="6"/>
  <c r="G13" i="6" s="1"/>
  <c r="I13" i="6" s="1"/>
  <c r="F14" i="6"/>
  <c r="G14" i="6" s="1"/>
  <c r="I14" i="6" s="1"/>
  <c r="F15" i="6"/>
  <c r="G15" i="6" s="1"/>
  <c r="I15" i="6" s="1"/>
  <c r="F16" i="6"/>
  <c r="G16" i="6" s="1"/>
  <c r="I16" i="6" s="1"/>
  <c r="F17" i="6"/>
  <c r="G17" i="6" s="1"/>
  <c r="I17" i="6" s="1"/>
  <c r="F18" i="6"/>
  <c r="G18" i="6" s="1"/>
  <c r="I18" i="6" s="1"/>
  <c r="F19" i="6"/>
  <c r="G19" i="6" s="1"/>
  <c r="I19" i="6" s="1"/>
  <c r="F20" i="6"/>
  <c r="G20" i="6" s="1"/>
  <c r="I20" i="6" s="1"/>
  <c r="F2" i="6"/>
  <c r="G2" i="6" s="1"/>
  <c r="I2" i="6" s="1"/>
  <c r="F3" i="5"/>
  <c r="G3" i="5" s="1"/>
  <c r="I3" i="5" s="1"/>
  <c r="F4" i="5"/>
  <c r="G4" i="5" s="1"/>
  <c r="I4" i="5" s="1"/>
  <c r="F5" i="5"/>
  <c r="G5" i="5" s="1"/>
  <c r="I5" i="5" s="1"/>
  <c r="F6" i="5"/>
  <c r="G6" i="5" s="1"/>
  <c r="I6" i="5" s="1"/>
  <c r="F7" i="5"/>
  <c r="G7" i="5" s="1"/>
  <c r="I7" i="5" s="1"/>
  <c r="F8" i="5"/>
  <c r="G8" i="5" s="1"/>
  <c r="I8" i="5" s="1"/>
  <c r="F9" i="5"/>
  <c r="G9" i="5" s="1"/>
  <c r="I9" i="5" s="1"/>
  <c r="F10" i="5"/>
  <c r="G10" i="5" s="1"/>
  <c r="I10" i="5" s="1"/>
  <c r="F11" i="5"/>
  <c r="G11" i="5" s="1"/>
  <c r="I11" i="5" s="1"/>
  <c r="F12" i="5"/>
  <c r="G12" i="5" s="1"/>
  <c r="I12" i="5" s="1"/>
  <c r="F13" i="5"/>
  <c r="G13" i="5" s="1"/>
  <c r="I13" i="5" s="1"/>
  <c r="F14" i="5"/>
  <c r="G14" i="5" s="1"/>
  <c r="I14" i="5" s="1"/>
  <c r="F15" i="5"/>
  <c r="G15" i="5" s="1"/>
  <c r="I15" i="5" s="1"/>
  <c r="F16" i="5"/>
  <c r="G16" i="5" s="1"/>
  <c r="I16" i="5" s="1"/>
  <c r="F17" i="5"/>
  <c r="G17" i="5" s="1"/>
  <c r="I17" i="5" s="1"/>
  <c r="F18" i="5"/>
  <c r="G18" i="5" s="1"/>
  <c r="I18" i="5" s="1"/>
  <c r="F19" i="5"/>
  <c r="G19" i="5" s="1"/>
  <c r="I19" i="5" s="1"/>
  <c r="F2" i="5"/>
  <c r="G2" i="5" s="1"/>
  <c r="I2" i="5" s="1"/>
  <c r="F3" i="4"/>
  <c r="G3" i="4" s="1"/>
  <c r="I3" i="4" s="1"/>
  <c r="F4" i="4"/>
  <c r="G4" i="4" s="1"/>
  <c r="I4" i="4" s="1"/>
  <c r="F5" i="4"/>
  <c r="G5" i="4" s="1"/>
  <c r="I5" i="4" s="1"/>
  <c r="F6" i="4"/>
  <c r="G6" i="4" s="1"/>
  <c r="I6" i="4" s="1"/>
  <c r="F7" i="4"/>
  <c r="G7" i="4" s="1"/>
  <c r="I7" i="4" s="1"/>
  <c r="F8" i="4"/>
  <c r="G8" i="4" s="1"/>
  <c r="I8" i="4" s="1"/>
  <c r="F9" i="4"/>
  <c r="G9" i="4" s="1"/>
  <c r="I9" i="4" s="1"/>
  <c r="F10" i="4"/>
  <c r="G10" i="4" s="1"/>
  <c r="I10" i="4" s="1"/>
  <c r="F11" i="4"/>
  <c r="G11" i="4" s="1"/>
  <c r="I11" i="4" s="1"/>
  <c r="F12" i="4"/>
  <c r="G12" i="4" s="1"/>
  <c r="I12" i="4" s="1"/>
  <c r="F13" i="4"/>
  <c r="G13" i="4" s="1"/>
  <c r="I13" i="4" s="1"/>
  <c r="F14" i="4"/>
  <c r="G14" i="4" s="1"/>
  <c r="I14" i="4" s="1"/>
  <c r="F15" i="4"/>
  <c r="G15" i="4" s="1"/>
  <c r="I15" i="4" s="1"/>
  <c r="F16" i="4"/>
  <c r="G16" i="4" s="1"/>
  <c r="I16" i="4" s="1"/>
  <c r="F17" i="4"/>
  <c r="G17" i="4" s="1"/>
  <c r="I17" i="4" s="1"/>
  <c r="F18" i="4"/>
  <c r="G18" i="4" s="1"/>
  <c r="I18" i="4" s="1"/>
  <c r="F19" i="4"/>
  <c r="G19" i="4" s="1"/>
  <c r="I19" i="4" s="1"/>
  <c r="F20" i="4"/>
  <c r="G20" i="4" s="1"/>
  <c r="I20" i="4" s="1"/>
  <c r="F2" i="4"/>
  <c r="G2" i="4" s="1"/>
  <c r="I2" i="4" s="1"/>
  <c r="F3" i="3"/>
  <c r="G3" i="3" s="1"/>
  <c r="I3" i="3" s="1"/>
  <c r="F4" i="3"/>
  <c r="G4" i="3" s="1"/>
  <c r="I4" i="3" s="1"/>
  <c r="F5" i="3"/>
  <c r="G5" i="3" s="1"/>
  <c r="I5" i="3" s="1"/>
  <c r="F6" i="3"/>
  <c r="G6" i="3" s="1"/>
  <c r="I6" i="3" s="1"/>
  <c r="F7" i="3"/>
  <c r="G7" i="3" s="1"/>
  <c r="I7" i="3" s="1"/>
  <c r="F8" i="3"/>
  <c r="G8" i="3" s="1"/>
  <c r="I8" i="3" s="1"/>
  <c r="F9" i="3"/>
  <c r="G9" i="3" s="1"/>
  <c r="I9" i="3" s="1"/>
  <c r="F10" i="3"/>
  <c r="G10" i="3" s="1"/>
  <c r="I10" i="3" s="1"/>
  <c r="F11" i="3"/>
  <c r="G11" i="3" s="1"/>
  <c r="I11" i="3" s="1"/>
  <c r="F12" i="3"/>
  <c r="G12" i="3" s="1"/>
  <c r="I12" i="3" s="1"/>
  <c r="F13" i="3"/>
  <c r="G13" i="3" s="1"/>
  <c r="I13" i="3" s="1"/>
  <c r="F14" i="3"/>
  <c r="G14" i="3" s="1"/>
  <c r="I14" i="3" s="1"/>
  <c r="F15" i="3"/>
  <c r="G15" i="3" s="1"/>
  <c r="I15" i="3" s="1"/>
  <c r="F16" i="3"/>
  <c r="G16" i="3" s="1"/>
  <c r="I16" i="3" s="1"/>
  <c r="F17" i="3"/>
  <c r="G17" i="3" s="1"/>
  <c r="I17" i="3" s="1"/>
  <c r="F18" i="3"/>
  <c r="G18" i="3" s="1"/>
  <c r="I18" i="3" s="1"/>
  <c r="F19" i="3"/>
  <c r="G19" i="3" s="1"/>
  <c r="I19" i="3" s="1"/>
  <c r="F20" i="3"/>
  <c r="G20" i="3" s="1"/>
  <c r="I20" i="3" s="1"/>
  <c r="F21" i="3"/>
  <c r="G21" i="3" s="1"/>
  <c r="I21" i="3" s="1"/>
  <c r="F22" i="3"/>
  <c r="G22" i="3" s="1"/>
  <c r="I22" i="3" s="1"/>
  <c r="F23" i="3"/>
  <c r="G23" i="3" s="1"/>
  <c r="I23" i="3" s="1"/>
  <c r="F24" i="3"/>
  <c r="G24" i="3" s="1"/>
  <c r="I24" i="3" s="1"/>
  <c r="F2" i="3"/>
  <c r="G2" i="3" s="1"/>
  <c r="I2" i="3" s="1"/>
  <c r="F3" i="2"/>
  <c r="G3" i="2" s="1"/>
  <c r="I3" i="2" s="1"/>
  <c r="F4" i="2"/>
  <c r="G4" i="2" s="1"/>
  <c r="I4" i="2" s="1"/>
  <c r="F5" i="2"/>
  <c r="G5" i="2" s="1"/>
  <c r="I5" i="2" s="1"/>
  <c r="F6" i="2"/>
  <c r="G6" i="2" s="1"/>
  <c r="I6" i="2" s="1"/>
  <c r="F7" i="2"/>
  <c r="G7" i="2" s="1"/>
  <c r="I7" i="2" s="1"/>
  <c r="F8" i="2"/>
  <c r="G8" i="2" s="1"/>
  <c r="I8" i="2" s="1"/>
  <c r="F9" i="2"/>
  <c r="G9" i="2" s="1"/>
  <c r="I9" i="2" s="1"/>
  <c r="F10" i="2"/>
  <c r="G10" i="2" s="1"/>
  <c r="I10" i="2" s="1"/>
  <c r="F11" i="2"/>
  <c r="G11" i="2" s="1"/>
  <c r="I11" i="2" s="1"/>
  <c r="F12" i="2"/>
  <c r="G12" i="2" s="1"/>
  <c r="I12" i="2" s="1"/>
  <c r="F13" i="2"/>
  <c r="G13" i="2" s="1"/>
  <c r="I13" i="2" s="1"/>
  <c r="F14" i="2"/>
  <c r="G14" i="2" s="1"/>
  <c r="I14" i="2" s="1"/>
  <c r="F15" i="2"/>
  <c r="G15" i="2" s="1"/>
  <c r="I15" i="2" s="1"/>
  <c r="F16" i="2"/>
  <c r="G16" i="2" s="1"/>
  <c r="I16" i="2" s="1"/>
  <c r="F17" i="2"/>
  <c r="G17" i="2" s="1"/>
  <c r="I17" i="2" s="1"/>
  <c r="F18" i="2"/>
  <c r="G18" i="2" s="1"/>
  <c r="I18" i="2" s="1"/>
  <c r="F19" i="2"/>
  <c r="G19" i="2" s="1"/>
  <c r="I19" i="2" s="1"/>
  <c r="F20" i="2"/>
  <c r="G20" i="2" s="1"/>
  <c r="I20" i="2" s="1"/>
  <c r="F2" i="2"/>
  <c r="G2" i="2" s="1"/>
  <c r="I2" i="2" s="1"/>
  <c r="F3" i="1"/>
  <c r="G3" i="1" s="1"/>
  <c r="I3" i="1" s="1"/>
  <c r="F4" i="1"/>
  <c r="G4" i="1" s="1"/>
  <c r="I4" i="1" s="1"/>
  <c r="F5" i="1"/>
  <c r="G5" i="1" s="1"/>
  <c r="I5" i="1" s="1"/>
  <c r="F6" i="1"/>
  <c r="G6" i="1" s="1"/>
  <c r="I6" i="1" s="1"/>
  <c r="F7" i="1"/>
  <c r="G7" i="1" s="1"/>
  <c r="I7" i="1" s="1"/>
  <c r="F8" i="1"/>
  <c r="G8" i="1" s="1"/>
  <c r="I8" i="1" s="1"/>
  <c r="F9" i="1"/>
  <c r="G9" i="1" s="1"/>
  <c r="I9" i="1" s="1"/>
  <c r="F10" i="1"/>
  <c r="G10" i="1" s="1"/>
  <c r="I10" i="1" s="1"/>
  <c r="F11" i="1"/>
  <c r="G11" i="1" s="1"/>
  <c r="I11" i="1" s="1"/>
  <c r="F12" i="1"/>
  <c r="G12" i="1" s="1"/>
  <c r="I12" i="1" s="1"/>
  <c r="F13" i="1"/>
  <c r="G13" i="1" s="1"/>
  <c r="I13" i="1" s="1"/>
  <c r="F14" i="1"/>
  <c r="G14" i="1" s="1"/>
  <c r="I14" i="1" s="1"/>
  <c r="F15" i="1"/>
  <c r="G15" i="1" s="1"/>
  <c r="I15" i="1" s="1"/>
  <c r="F16" i="1"/>
  <c r="G16" i="1" s="1"/>
  <c r="I16" i="1" s="1"/>
  <c r="F17" i="1"/>
  <c r="G17" i="1" s="1"/>
  <c r="I17" i="1" s="1"/>
  <c r="F18" i="1"/>
  <c r="G18" i="1" s="1"/>
  <c r="I18" i="1" s="1"/>
  <c r="F2" i="1"/>
  <c r="G2" i="1" s="1"/>
  <c r="I2" i="1" s="1"/>
  <c r="G2" i="21"/>
  <c r="I2" i="21" s="1"/>
  <c r="N7" i="15" l="1" a="1"/>
  <c r="N7" i="15" s="1"/>
  <c r="N7" i="8" a="1"/>
  <c r="N7" i="8" s="1"/>
  <c r="N7" i="20" a="1"/>
  <c r="N7" i="20" s="1"/>
  <c r="N7" i="19" a="1"/>
  <c r="N7" i="19" s="1"/>
  <c r="N7" i="17" a="1"/>
  <c r="N7" i="17" s="1"/>
  <c r="N7" i="16" a="1"/>
  <c r="N7" i="16" s="1"/>
  <c r="N7" i="14" a="1"/>
  <c r="N7" i="14" s="1"/>
  <c r="N7" i="13" a="1"/>
  <c r="N7" i="13" s="1"/>
  <c r="N7" i="12" a="1"/>
  <c r="N7" i="12" s="1"/>
  <c r="N7" i="11" a="1"/>
  <c r="N7" i="11" s="1"/>
  <c r="N7" i="10" a="1"/>
  <c r="N7" i="10" s="1"/>
  <c r="N7" i="9" a="1"/>
  <c r="N7" i="9" s="1"/>
  <c r="N7" i="7" a="1"/>
  <c r="N7" i="7" s="1"/>
  <c r="N7" i="6" a="1"/>
  <c r="N7" i="6" s="1"/>
  <c r="N7" i="5" a="1"/>
  <c r="N7" i="5" s="1"/>
  <c r="N7" i="4" a="1"/>
  <c r="N7" i="4" s="1"/>
  <c r="N7" i="3" a="1"/>
  <c r="N7" i="3" s="1"/>
  <c r="N7" i="2" a="1"/>
  <c r="N7" i="2" s="1"/>
  <c r="N7" i="1" l="1" a="1"/>
  <c r="N7" i="1" s="1"/>
  <c r="N7" i="21" a="1"/>
  <c r="N7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<sst xmlns="http://schemas.openxmlformats.org/spreadsheetml/2006/main" count="1425" uniqueCount="402">
  <si>
    <t>Web Name</t>
  </si>
  <si>
    <t>Position</t>
  </si>
  <si>
    <t>Team</t>
  </si>
  <si>
    <t>ARIMAPP</t>
  </si>
  <si>
    <t>LSTMPP</t>
  </si>
  <si>
    <t>PP</t>
  </si>
  <si>
    <t>PPG</t>
  </si>
  <si>
    <t>Plays</t>
  </si>
  <si>
    <t>Tot</t>
  </si>
  <si>
    <t>APP</t>
  </si>
  <si>
    <t>APPG</t>
  </si>
  <si>
    <t>Leno</t>
  </si>
  <si>
    <t>GKP</t>
  </si>
  <si>
    <t>ARS</t>
  </si>
  <si>
    <t>Total Games</t>
  </si>
  <si>
    <t>FWD</t>
  </si>
  <si>
    <t>DEF</t>
  </si>
  <si>
    <t>ARIMA</t>
  </si>
  <si>
    <t>Xhaka</t>
  </si>
  <si>
    <t>MID</t>
  </si>
  <si>
    <t>LSTM</t>
  </si>
  <si>
    <t>Chambers</t>
  </si>
  <si>
    <t>OFF</t>
  </si>
  <si>
    <t>Elneny</t>
  </si>
  <si>
    <t>Holding</t>
  </si>
  <si>
    <t>Partey</t>
  </si>
  <si>
    <t>Tierney</t>
  </si>
  <si>
    <t>Smith Rowe</t>
  </si>
  <si>
    <t>Saka</t>
  </si>
  <si>
    <t>Gabriel</t>
  </si>
  <si>
    <t>Martinelli</t>
  </si>
  <si>
    <t>White</t>
  </si>
  <si>
    <t>Ødegaard</t>
  </si>
  <si>
    <t>Ramsdale</t>
  </si>
  <si>
    <t>Tomiyasu</t>
  </si>
  <si>
    <t>Sambi</t>
  </si>
  <si>
    <t>Saliba</t>
  </si>
  <si>
    <t>Jesus</t>
  </si>
  <si>
    <t>Zinchenko</t>
  </si>
  <si>
    <t>Smith</t>
  </si>
  <si>
    <t>Coutinho</t>
  </si>
  <si>
    <t>AVL</t>
  </si>
  <si>
    <t>Ings</t>
  </si>
  <si>
    <t>Martínez</t>
  </si>
  <si>
    <t>Digne</t>
  </si>
  <si>
    <t>McGinn</t>
  </si>
  <si>
    <t>Mings</t>
  </si>
  <si>
    <t>Watkins</t>
  </si>
  <si>
    <t>Buendía</t>
  </si>
  <si>
    <t>Cash</t>
  </si>
  <si>
    <t>Konsa</t>
  </si>
  <si>
    <t>Bailey</t>
  </si>
  <si>
    <t>Douglas Luiz</t>
  </si>
  <si>
    <t>Ramsey</t>
  </si>
  <si>
    <t>Diego Carlos</t>
  </si>
  <si>
    <t>Kamara</t>
  </si>
  <si>
    <t>Archer</t>
  </si>
  <si>
    <t>Bednarek</t>
  </si>
  <si>
    <t>Dendoncker</t>
  </si>
  <si>
    <t>Lallana</t>
  </si>
  <si>
    <t>BHA</t>
  </si>
  <si>
    <t>Welbeck</t>
  </si>
  <si>
    <t>Groß</t>
  </si>
  <si>
    <t>Dunk</t>
  </si>
  <si>
    <t>March</t>
  </si>
  <si>
    <t>Webster</t>
  </si>
  <si>
    <t>Veltman</t>
  </si>
  <si>
    <t>Trossard</t>
  </si>
  <si>
    <t>Sánchez</t>
  </si>
  <si>
    <t>Lamptey</t>
  </si>
  <si>
    <t>Mac Allister</t>
  </si>
  <si>
    <t>Mwepu</t>
  </si>
  <si>
    <t>Caicedo</t>
  </si>
  <si>
    <t>Richards</t>
  </si>
  <si>
    <t>Undav</t>
  </si>
  <si>
    <t>Mitoma</t>
  </si>
  <si>
    <t>Van Hecke</t>
  </si>
  <si>
    <t>Colwill</t>
  </si>
  <si>
    <t>Estupiñán</t>
  </si>
  <si>
    <t>BOU</t>
  </si>
  <si>
    <t>Stanislas</t>
  </si>
  <si>
    <t>Fredericks</t>
  </si>
  <si>
    <t>Lowe</t>
  </si>
  <si>
    <t>Moore</t>
  </si>
  <si>
    <t>Marcondes</t>
  </si>
  <si>
    <t>Lerma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</si>
  <si>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</si>
  <si>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</si>
  <si>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</si>
  <si>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</si>
  <si>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</si>
  <si>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</si>
  <si>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</si>
  <si>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</si>
  <si>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</si>
  <si>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Anthony</t>
  </si>
  <si>
    <t>Zemura</t>
  </si>
  <si>
    <t>Dennis</t>
  </si>
  <si>
    <t>Stephens</t>
  </si>
  <si>
    <t>Tavernier</t>
  </si>
  <si>
    <t>Neto</t>
  </si>
  <si>
    <t>Senesi</t>
  </si>
  <si>
    <t>Bevan</t>
  </si>
  <si>
    <t>Jansson</t>
  </si>
  <si>
    <t>BRE</t>
  </si>
  <si>
    <t>Nørgaard</t>
  </si>
  <si>
    <t>Toney</t>
  </si>
  <si>
    <t>Raya</t>
  </si>
  <si>
    <t>Dasilva</t>
  </si>
  <si>
    <t>Henry</t>
  </si>
  <si>
    <t>Janelt</t>
  </si>
  <si>
    <t>Ghoddos</t>
  </si>
  <si>
    <t>Jensen</t>
  </si>
  <si>
    <t>Wissa</t>
  </si>
  <si>
    <t>Roerslev</t>
  </si>
  <si>
    <t>Onyeka</t>
  </si>
  <si>
    <t>Baptiste</t>
  </si>
  <si>
    <t>Mbeumo</t>
  </si>
  <si>
    <t>Hickey</t>
  </si>
  <si>
    <t>Lewis-Potter</t>
  </si>
  <si>
    <t>Mee</t>
  </si>
  <si>
    <t>Damsgaard</t>
  </si>
  <si>
    <t>Zanka</t>
  </si>
  <si>
    <t>CHE</t>
  </si>
  <si>
    <t>Cucurella</t>
  </si>
  <si>
    <t>Azpilicueta</t>
  </si>
  <si>
    <t>Thiago Silva</t>
  </si>
  <si>
    <t>Jorginho</t>
  </si>
  <si>
    <t>Kovacic</t>
  </si>
  <si>
    <t>Kanté</t>
  </si>
  <si>
    <t>Ziyech</t>
  </si>
  <si>
    <t>Loftus-Cheek</t>
  </si>
  <si>
    <t>Chilwell</t>
  </si>
  <si>
    <t>Pulisic</t>
  </si>
  <si>
    <t>Chalobah</t>
  </si>
  <si>
    <t>Mount</t>
  </si>
  <si>
    <t>Havertz</t>
  </si>
  <si>
    <t>James</t>
  </si>
  <si>
    <t>Mendy</t>
  </si>
  <si>
    <t>Gallagher</t>
  </si>
  <si>
    <t>Broja</t>
  </si>
  <si>
    <t>Sterling</t>
  </si>
  <si>
    <t>Koulibaly</t>
  </si>
  <si>
    <t>Guaita</t>
  </si>
  <si>
    <t>CRY</t>
  </si>
  <si>
    <t>Ward</t>
  </si>
  <si>
    <t>Clyne</t>
  </si>
  <si>
    <t>Milivojevic</t>
  </si>
  <si>
    <t>Ayew</t>
  </si>
  <si>
    <t>Zaha</t>
  </si>
  <si>
    <t>Schlupp</t>
  </si>
  <si>
    <t>Hughes</t>
  </si>
  <si>
    <t>Andersen</t>
  </si>
  <si>
    <t>Edouard</t>
  </si>
  <si>
    <t>Guéhi</t>
  </si>
  <si>
    <t>Mateta</t>
  </si>
  <si>
    <t>Eze</t>
  </si>
  <si>
    <t>Mitchell</t>
  </si>
  <si>
    <t>Olise</t>
  </si>
  <si>
    <t>Ebiowei</t>
  </si>
  <si>
    <t>C.Doucouré</t>
  </si>
  <si>
    <t>Phillips</t>
  </si>
  <si>
    <t>EVE</t>
  </si>
  <si>
    <t>Rondón</t>
  </si>
  <si>
    <t>Keane</t>
  </si>
  <si>
    <t>Pickford</t>
  </si>
  <si>
    <t>A.Doucouré</t>
  </si>
  <si>
    <t>Iwobi</t>
  </si>
  <si>
    <t>Mina</t>
  </si>
  <si>
    <t>Gray</t>
  </si>
  <si>
    <t>Davies</t>
  </si>
  <si>
    <t>Holgate</t>
  </si>
  <si>
    <t>Godfrey</t>
  </si>
  <si>
    <t>Mykolenko</t>
  </si>
  <si>
    <t>Gordon</t>
  </si>
  <si>
    <t>Patterson</t>
  </si>
  <si>
    <t>Tarkowski</t>
  </si>
  <si>
    <t>Coady</t>
  </si>
  <si>
    <t>Vinagre</t>
  </si>
  <si>
    <t>McNeil</t>
  </si>
  <si>
    <t>Onana</t>
  </si>
  <si>
    <t>FUL</t>
  </si>
  <si>
    <t>Duffy</t>
  </si>
  <si>
    <t>Ream</t>
  </si>
  <si>
    <t>Kebano</t>
  </si>
  <si>
    <t>De Cordova-Reid</t>
  </si>
  <si>
    <t>Tosin</t>
  </si>
  <si>
    <t>Mitrović</t>
  </si>
  <si>
    <t>Reed</t>
  </si>
  <si>
    <t>Wilson</t>
  </si>
  <si>
    <t>Rodák</t>
  </si>
  <si>
    <t>Tete</t>
  </si>
  <si>
    <t>Robinson</t>
  </si>
  <si>
    <t>Stansfield</t>
  </si>
  <si>
    <t>Palhinha</t>
  </si>
  <si>
    <t>Andreas</t>
  </si>
  <si>
    <t>Diop</t>
  </si>
  <si>
    <t>Francois</t>
  </si>
  <si>
    <t>Mbabu</t>
  </si>
  <si>
    <t>Solomon</t>
  </si>
  <si>
    <t>LEE</t>
  </si>
  <si>
    <t>Forshaw</t>
  </si>
  <si>
    <t>Rodrigo</t>
  </si>
  <si>
    <t>Bamford</t>
  </si>
  <si>
    <t>Llorente</t>
  </si>
  <si>
    <t>Koch</t>
  </si>
  <si>
    <t>Harrison</t>
  </si>
  <si>
    <t>Struijk</t>
  </si>
  <si>
    <t>Greenwood</t>
  </si>
  <si>
    <t>Meslier</t>
  </si>
  <si>
    <t>Summerville</t>
  </si>
  <si>
    <t>Gelhardt</t>
  </si>
  <si>
    <t>Kristensen</t>
  </si>
  <si>
    <t>Roca</t>
  </si>
  <si>
    <t>Aaronson</t>
  </si>
  <si>
    <t>Adams</t>
  </si>
  <si>
    <t>Sinisterra</t>
  </si>
  <si>
    <t>LEI</t>
  </si>
  <si>
    <t>Evans</t>
  </si>
  <si>
    <t>Vardy</t>
  </si>
  <si>
    <t>Amartey</t>
  </si>
  <si>
    <t>Castagne</t>
  </si>
  <si>
    <t>Tielemans</t>
  </si>
  <si>
    <t>Pérez</t>
  </si>
  <si>
    <t>Maddison</t>
  </si>
  <si>
    <t>Iheanacho</t>
  </si>
  <si>
    <t>Barnes</t>
  </si>
  <si>
    <t>Ndidi</t>
  </si>
  <si>
    <t>Dewsbury-Hall</t>
  </si>
  <si>
    <t>Justin</t>
  </si>
  <si>
    <t>Soumaré</t>
  </si>
  <si>
    <t>Thomas</t>
  </si>
  <si>
    <t>Daka</t>
  </si>
  <si>
    <t>Praet</t>
  </si>
  <si>
    <t>Milner</t>
  </si>
  <si>
    <t>LIV</t>
  </si>
  <si>
    <t>Henderson</t>
  </si>
  <si>
    <t>Matip</t>
  </si>
  <si>
    <t>Thiago</t>
  </si>
  <si>
    <t>Firmino</t>
  </si>
  <si>
    <t>Van Dijk</t>
  </si>
  <si>
    <t>Alisson</t>
  </si>
  <si>
    <t>Fabinho</t>
  </si>
  <si>
    <t>Salah</t>
  </si>
  <si>
    <t>Robertson</t>
  </si>
  <si>
    <t>Alexander-Arnold</t>
  </si>
  <si>
    <t>Gomez</t>
  </si>
  <si>
    <t>Tsimikas</t>
  </si>
  <si>
    <t>Luis Díaz</t>
  </si>
  <si>
    <t>Elliott</t>
  </si>
  <si>
    <t>Carvalho</t>
  </si>
  <si>
    <t>Darwin</t>
  </si>
  <si>
    <t>Bajcetic</t>
  </si>
  <si>
    <t>Clark</t>
  </si>
  <si>
    <t>Walker</t>
  </si>
  <si>
    <t>MCI</t>
  </si>
  <si>
    <t>Gündogan</t>
  </si>
  <si>
    <t>De Bruyne</t>
  </si>
  <si>
    <t>Stones</t>
  </si>
  <si>
    <t>Mahrez</t>
  </si>
  <si>
    <t>Grealish</t>
  </si>
  <si>
    <t>Cancelo</t>
  </si>
  <si>
    <t>Ederson</t>
  </si>
  <si>
    <t>Aké</t>
  </si>
  <si>
    <t>Bernardo</t>
  </si>
  <si>
    <t>Dias</t>
  </si>
  <si>
    <t>Foden</t>
  </si>
  <si>
    <t>Rodri</t>
  </si>
  <si>
    <t>Palmer</t>
  </si>
  <si>
    <t>Haaland</t>
  </si>
  <si>
    <t>Álvarez</t>
  </si>
  <si>
    <t>Lewis</t>
  </si>
  <si>
    <t>Sergio Gómez</t>
  </si>
  <si>
    <t>Ronaldo</t>
  </si>
  <si>
    <t>MUN</t>
  </si>
  <si>
    <t>De Gea</t>
  </si>
  <si>
    <t>Varane</t>
  </si>
  <si>
    <t>Maguire</t>
  </si>
  <si>
    <t>Fred</t>
  </si>
  <si>
    <t>Shaw</t>
  </si>
  <si>
    <t>Fernandes</t>
  </si>
  <si>
    <t>Rashford</t>
  </si>
  <si>
    <t>Van de Beek</t>
  </si>
  <si>
    <t>McTominay</t>
  </si>
  <si>
    <t>Sancho</t>
  </si>
  <si>
    <t>Wan-Bissaka</t>
  </si>
  <si>
    <t>Dalot</t>
  </si>
  <si>
    <t>Elanga</t>
  </si>
  <si>
    <t>Martial</t>
  </si>
  <si>
    <t>Malacia</t>
  </si>
  <si>
    <t>Eriksen</t>
  </si>
  <si>
    <t>Garnacho</t>
  </si>
  <si>
    <t>Casemiro</t>
  </si>
  <si>
    <t>NEW</t>
  </si>
  <si>
    <t>Ritchie</t>
  </si>
  <si>
    <t>Wood</t>
  </si>
  <si>
    <t>Trippier</t>
  </si>
  <si>
    <t>Burn</t>
  </si>
  <si>
    <t>Fraser</t>
  </si>
  <si>
    <t>Krafth</t>
  </si>
  <si>
    <t>Schär</t>
  </si>
  <si>
    <t>Targett</t>
  </si>
  <si>
    <t>Saint-Maximin</t>
  </si>
  <si>
    <t>Almirón</t>
  </si>
  <si>
    <t>S.Longstaff</t>
  </si>
  <si>
    <t>Joelinton</t>
  </si>
  <si>
    <t>Willock</t>
  </si>
  <si>
    <t>Bruno Guimarães</t>
  </si>
  <si>
    <t>Pope</t>
  </si>
  <si>
    <t>Botman</t>
  </si>
  <si>
    <t>Anderson</t>
  </si>
  <si>
    <t>Isak</t>
  </si>
  <si>
    <t>N.Williams</t>
  </si>
  <si>
    <t>NFO</t>
  </si>
  <si>
    <t>Colback</t>
  </si>
  <si>
    <t>Cafú</t>
  </si>
  <si>
    <t>McKenna</t>
  </si>
  <si>
    <t>Yates</t>
  </si>
  <si>
    <t>Worrall</t>
  </si>
  <si>
    <t>Surridge</t>
  </si>
  <si>
    <t>Johnson</t>
  </si>
  <si>
    <t>Awoniyi</t>
  </si>
  <si>
    <t>Biancone</t>
  </si>
  <si>
    <t>Gibbs-White</t>
  </si>
  <si>
    <t>Niakhaté</t>
  </si>
  <si>
    <t>Toffolo</t>
  </si>
  <si>
    <t>O'Brien</t>
  </si>
  <si>
    <t>Lingard</t>
  </si>
  <si>
    <t>Mangala</t>
  </si>
  <si>
    <t>Freuler</t>
  </si>
  <si>
    <t>Kouyaté</t>
  </si>
  <si>
    <t>SOU</t>
  </si>
  <si>
    <t>Lavia</t>
  </si>
  <si>
    <t>Redmond</t>
  </si>
  <si>
    <t>S.Armstrong</t>
  </si>
  <si>
    <t>Elyounoussi</t>
  </si>
  <si>
    <t>Ward-Prowse</t>
  </si>
  <si>
    <t>A.Armstrong</t>
  </si>
  <si>
    <t>Walker-Peters</t>
  </si>
  <si>
    <t>Lyanco</t>
  </si>
  <si>
    <t>Diallo</t>
  </si>
  <si>
    <t>Perraud</t>
  </si>
  <si>
    <t>Djenepo</t>
  </si>
  <si>
    <t>Salisu</t>
  </si>
  <si>
    <t>Bazunu</t>
  </si>
  <si>
    <t>Bella-Kotchap</t>
  </si>
  <si>
    <t>Aribo</t>
  </si>
  <si>
    <t>Mara</t>
  </si>
  <si>
    <t>Lloris</t>
  </si>
  <si>
    <t>TOT</t>
  </si>
  <si>
    <t>Kane</t>
  </si>
  <si>
    <t>Son</t>
  </si>
  <si>
    <t>Doherty</t>
  </si>
  <si>
    <t>Dier</t>
  </si>
  <si>
    <t>Lucas Moura</t>
  </si>
  <si>
    <t>Højbjerg</t>
  </si>
  <si>
    <t>R.Sessegnon</t>
  </si>
  <si>
    <t>Bentancur</t>
  </si>
  <si>
    <t>Romero</t>
  </si>
  <si>
    <t>Bissouma</t>
  </si>
  <si>
    <t>Emerson Royal</t>
  </si>
  <si>
    <t>Kulusevski</t>
  </si>
  <si>
    <t>Perišić</t>
  </si>
  <si>
    <t>Richarlison</t>
  </si>
  <si>
    <t>Lenglet</t>
  </si>
  <si>
    <t>Spence</t>
  </si>
  <si>
    <t>Fabianski</t>
  </si>
  <si>
    <t>WHU</t>
  </si>
  <si>
    <t>Ogbonna</t>
  </si>
  <si>
    <t>Cresswell</t>
  </si>
  <si>
    <t>Antonio</t>
  </si>
  <si>
    <t>Lanzini</t>
  </si>
  <si>
    <t>Zouma</t>
  </si>
  <si>
    <t>Coufal</t>
  </si>
  <si>
    <t>Benrahma</t>
  </si>
  <si>
    <t>Bowen</t>
  </si>
  <si>
    <t>Rice</t>
  </si>
  <si>
    <t>Soucek</t>
  </si>
  <si>
    <t>Fornals</t>
  </si>
  <si>
    <t>Areola</t>
  </si>
  <si>
    <t>Downes</t>
  </si>
  <si>
    <t>Scamacca</t>
  </si>
  <si>
    <t>Emerson</t>
  </si>
  <si>
    <t>Coventry</t>
  </si>
  <si>
    <t>Cornet</t>
  </si>
  <si>
    <t>Kehrer</t>
  </si>
  <si>
    <t>Jiménez</t>
  </si>
  <si>
    <t>WOL</t>
  </si>
  <si>
    <t>Jonny</t>
  </si>
  <si>
    <t>Sá</t>
  </si>
  <si>
    <t>Neves</t>
  </si>
  <si>
    <t>Hwang</t>
  </si>
  <si>
    <t>Semedo</t>
  </si>
  <si>
    <t>Podence</t>
  </si>
  <si>
    <t>Kilman</t>
  </si>
  <si>
    <t>Aït-Nouri</t>
  </si>
  <si>
    <t>Adama</t>
  </si>
  <si>
    <t>Moutinho</t>
  </si>
  <si>
    <t>Collins</t>
  </si>
  <si>
    <t>Campbell</t>
  </si>
  <si>
    <t>Guedes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</si>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</sst>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0" borderId="2" xfId="0" applyFont="1" applyBorder="1"/>
    <xf numFmtId="0" fontId="2" fillId="3" borderId="3" xfId="0" applyFont="1" applyFill="1" applyBorder="1"/>
    <xf numFmtId="0" fontId="2" fillId="3" borderId="2" xfId="0" applyNumberFormat="1" applyFont="1" applyFill="1" applyBorder="1"/>
    <xf numFmtId="11" fontId="0" fillId="0" borderId="0" xfId="0" applyNumberFormat="1"/>
  </cellXfs>
  <cellStyles count="1">
    <cellStyle name="Normal" xfId="0" builtinId="0"/>
  </cellStyles>
  <dxfs count="3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border outline="0">
        <right style="thin">
          <color rgb="FF8EA9DB"/>
        </right>
        <top style="thin">
          <color rgb="FF8EA9DB"/>
        </top>
        <bottom style="thin">
          <color rgb="FF8EA9D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01B7B-B119-4638-937F-CE9DE4A9A7D7}" name="Table22" displayName="Table22" ref="A1:K18" totalsRowShown="0" headerRowDxfId="319" dataDxfId="318" headerRowBorderDxfId="316" tableBorderDxfId="317" totalsRowBorderDxfId="315">
  <autoFilter ref="A1:K18" xr:uid="{35401B7B-B119-4638-937F-CE9DE4A9A7D7}"/>
  <tableColumns count="11">
    <tableColumn id="1" xr3:uid="{5105B398-0373-4373-B539-332EABA394DA}" name="Web Name" dataDxfId="314"/>
    <tableColumn id="2" xr3:uid="{0FE7C962-D990-4266-A431-2E7047182214}" name="Position" dataDxfId="313"/>
    <tableColumn id="3" xr3:uid="{2E084277-3E7E-445E-989F-EC5F8A244D6E}" name="Team" dataDxfId="312"/>
    <tableColumn id="4" xr3:uid="{825BFC2A-20AC-4148-8903-59ADFB87B43D}" name="ARIMAPP" dataDxfId="311"/>
    <tableColumn id="5" xr3:uid="{FA2D1D63-A175-47CA-BEB4-466721CFB01C}" name="LSTMPP" dataDxfId="310"/>
    <tableColumn id="6" xr3:uid="{D1C87345-7A69-4F86-95D3-1099D3C74E6C}" name="PP" dataDxfId="309">
      <calculatedColumnFormula>Table22[[#This Row],[ARIMAPP]]*$N$4+Table22[[#This Row],[LSTMPP]]*$N$5</calculatedColumnFormula>
    </tableColumn>
    <tableColumn id="14" xr3:uid="{30104AF8-B249-40D8-B45F-1A810294FD86}" name="PPG" dataDxfId="62">
      <calculatedColumnFormula>Table22[[#This Row],[PP]]/$N$2</calculatedColumnFormula>
    </tableColumn>
    <tableColumn id="7" xr3:uid="{54D278C4-FC94-403A-860F-91487A9BD7C6}" name="Plays" dataDxfId="308"/>
    <tableColumn id="15" xr3:uid="{D9E4FABC-A195-4EAE-9F38-11B3500100A9}" name="Tot" dataDxfId="42">
      <calculatedColumnFormula>Table22[[#This Row],[PPG]]*Table22[[#This Row],[Plays]]</calculatedColumnFormula>
    </tableColumn>
    <tableColumn id="8" xr3:uid="{00DCC790-9E0E-4D54-AD66-E2F5B3E43D53}" name="APP" dataDxfId="307"/>
    <tableColumn id="16" xr3:uid="{1137773F-D1CC-46F0-9C4F-806E17E4112E}" name="APPG" dataDxfId="3">
      <calculatedColumnFormula>Table22[[#This Row],[APP]]/Table22[[#This Row],[Plays]]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7891E-3CFD-49A2-AA07-85A9C1C0FF44}" name="Table223" displayName="Table223" ref="A1:K20" totalsRowShown="0" headerRowDxfId="306" dataDxfId="305" headerRowBorderDxfId="303" tableBorderDxfId="304" totalsRowBorderDxfId="302">
  <autoFilter ref="A1:K20" xr:uid="{35401B7B-B119-4638-937F-CE9DE4A9A7D7}"/>
  <tableColumns count="11">
    <tableColumn id="1" xr3:uid="{EA23A893-23DC-4815-B01A-C9F3D80621DA}" name="Web Name" dataDxfId="301"/>
    <tableColumn id="2" xr3:uid="{56CCC341-2C3B-419E-AC0C-4980121402F0}" name="Position" dataDxfId="300"/>
    <tableColumn id="3" xr3:uid="{83F62233-9FDD-42DB-ACEC-2573F6387F22}" name="Team" dataDxfId="299"/>
    <tableColumn id="4" xr3:uid="{38F172E6-8327-4178-89FC-5336386D1907}" name="ARIMAPP" dataDxfId="298"/>
    <tableColumn id="5" xr3:uid="{7D7EF479-EE21-4415-BBB5-1907ADDBE958}" name="LSTMPP" dataDxfId="297"/>
    <tableColumn id="6" xr3:uid="{C58BA5D2-2EFD-4E31-A69A-E0D40F56FC24}" name="PP" dataDxfId="296">
      <calculatedColumnFormula>Table223[[#This Row],[ARIMAPP]]*$N$4+Table223[[#This Row],[LSTMPP]]*$N$5</calculatedColumnFormula>
    </tableColumn>
    <tableColumn id="14" xr3:uid="{90740C12-0C18-4874-813B-51F5DF8F5E0C}" name="PPG" dataDxfId="61">
      <calculatedColumnFormula>Table223[[#This Row],[PP]]/$N$2</calculatedColumnFormula>
    </tableColumn>
    <tableColumn id="7" xr3:uid="{362C0225-B59F-469E-B7E3-8AD179EC5700}" name="Plays" dataDxfId="295"/>
    <tableColumn id="15" xr3:uid="{48C3EFE8-1DCC-453B-A4DB-8F568D0604FE}" name="Tot" dataDxfId="41">
      <calculatedColumnFormula>Table223[[#This Row],[PPG]]*Table223[[#This Row],[Plays]]</calculatedColumnFormula>
    </tableColumn>
    <tableColumn id="8" xr3:uid="{74DEFEBB-43C8-4AAA-BC30-85D375B2D673}" name="APP" dataDxfId="294"/>
    <tableColumn id="16" xr3:uid="{160F5ED3-A673-4950-8D21-5BE5A10FBF04}" name="APPG" dataDxfId="4">
      <calculatedColumnFormula>Table223[[#This Row],[APP]]/Table223[[#This Row],[Plays]]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9DD75-375C-49D0-8B35-B6A1D8CE570C}" name="Table2234" displayName="Table2234" ref="A1:K24" totalsRowShown="0" headerRowDxfId="293" dataDxfId="292" headerRowBorderDxfId="290" tableBorderDxfId="291" totalsRowBorderDxfId="289">
  <autoFilter ref="A1:K24" xr:uid="{35401B7B-B119-4638-937F-CE9DE4A9A7D7}"/>
  <tableColumns count="11">
    <tableColumn id="1" xr3:uid="{207634EA-DBDD-4580-AC76-C0FBEB744142}" name="Web Name" dataDxfId="288"/>
    <tableColumn id="2" xr3:uid="{7DB4FC52-04EA-4163-BBE9-C53F45BC2F53}" name="Position" dataDxfId="287"/>
    <tableColumn id="3" xr3:uid="{E00403BE-F745-4495-AB81-57902BC0D1EE}" name="Team" dataDxfId="286"/>
    <tableColumn id="4" xr3:uid="{CCC35739-08E2-41DA-9347-B88FA46F3198}" name="ARIMAPP" dataDxfId="285"/>
    <tableColumn id="5" xr3:uid="{A3D1685D-392C-4AFD-B83D-9450B3274ED1}" name="LSTMPP" dataDxfId="284"/>
    <tableColumn id="6" xr3:uid="{FE4B42A2-68E0-4A6A-AC49-5A0542CC0316}" name="PP" dataDxfId="283">
      <calculatedColumnFormula>Table2234[[#This Row],[ARIMAPP]]*$N$4+Table2234[[#This Row],[LSTMPP]]*$N$5</calculatedColumnFormula>
    </tableColumn>
    <tableColumn id="14" xr3:uid="{423CEDC8-DFFB-4F13-B0D8-61A69CB0A9A4}" name="PPG" dataDxfId="60">
      <calculatedColumnFormula>Table2234[[#This Row],[PP]]/$N$2</calculatedColumnFormula>
    </tableColumn>
    <tableColumn id="7" xr3:uid="{01209C1A-AE71-414F-8505-BF0B06350A25}" name="Plays" dataDxfId="282"/>
    <tableColumn id="15" xr3:uid="{551EB836-E0EB-4AF5-A90F-E10135700353}" name="Tot" dataDxfId="40">
      <calculatedColumnFormula>Table2234[[#This Row],[PPG]]*Table2234[[#This Row],[Plays]]</calculatedColumnFormula>
    </tableColumn>
    <tableColumn id="8" xr3:uid="{FFB0B3F9-B998-444E-B7A9-F1640877014C}" name="APP" dataDxfId="281"/>
    <tableColumn id="16" xr3:uid="{88A81849-D0C7-44F3-89DB-DD4E1CBEFF53}" name="APPG" dataDxfId="5">
      <calculatedColumnFormula>Table2234[[#This Row],[APP]]/Table2234[[#This Row],[Plays]]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289133-D919-4F75-9385-88D4B3C8E17E}" name="Table22345" displayName="Table22345" ref="A1:K20" totalsRowShown="0" headerRowDxfId="280" dataDxfId="279" headerRowBorderDxfId="277" tableBorderDxfId="278" totalsRowBorderDxfId="276">
  <autoFilter ref="A1:K20" xr:uid="{35401B7B-B119-4638-937F-CE9DE4A9A7D7}"/>
  <tableColumns count="11">
    <tableColumn id="1" xr3:uid="{B584CA6C-4B5C-4E86-B714-7011A99CD621}" name="Web Name" dataDxfId="275"/>
    <tableColumn id="2" xr3:uid="{6EDDB838-B35C-437E-A4D2-C42122D76EDE}" name="Position" dataDxfId="274"/>
    <tableColumn id="3" xr3:uid="{71BD90F1-42AF-4ABF-9935-F8DAB43CE448}" name="Team" dataDxfId="273"/>
    <tableColumn id="4" xr3:uid="{8B16287D-4E09-4ECF-A8FA-2E53D8DF8D61}" name="ARIMAPP" dataDxfId="272"/>
    <tableColumn id="5" xr3:uid="{2E8E5718-F5B2-4968-A4FA-EBA3ADA4FD71}" name="LSTMPP" dataDxfId="271"/>
    <tableColumn id="6" xr3:uid="{026F79BF-9754-43AC-8158-C76CF221F31D}" name="PP" dataDxfId="270">
      <calculatedColumnFormula>Table22345[[#This Row],[ARIMAPP]]*$N$4+Table22345[[#This Row],[LSTMPP]]*$N$5</calculatedColumnFormula>
    </tableColumn>
    <tableColumn id="14" xr3:uid="{BA239495-D03A-4E41-8792-7D9A15967A0A}" name="PPG" dataDxfId="59">
      <calculatedColumnFormula>Table22345[[#This Row],[PP]]/$N$2</calculatedColumnFormula>
    </tableColumn>
    <tableColumn id="7" xr3:uid="{FBB1B621-4675-4E18-86C5-E46FA8BD5E4B}" name="Plays" dataDxfId="269"/>
    <tableColumn id="15" xr3:uid="{9EBD0097-FA76-4E09-AD96-62CC0E85C5DF}" name="Tot" dataDxfId="39">
      <calculatedColumnFormula>Table22345[[#This Row],[PPG]]*Table22345[[#This Row],[Plays]]</calculatedColumnFormula>
    </tableColumn>
    <tableColumn id="8" xr3:uid="{EE4C16C2-7D56-42F9-B3A9-533337F917FD}" name="APP" dataDxfId="268"/>
    <tableColumn id="16" xr3:uid="{DEEA896D-7FDA-4294-8A6B-6256B4BA687B}" name="APPG" dataDxfId="6">
      <calculatedColumnFormula>Table22345[[#This Row],[APP]]/Table22345[[#This Row],[Plays]]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31BE58-4DF2-44F3-B6BB-EBC1447A2DB0}" name="Table223456" displayName="Table223456" ref="A1:K19" totalsRowShown="0" headerRowDxfId="267" dataDxfId="266" headerRowBorderDxfId="264" tableBorderDxfId="265" totalsRowBorderDxfId="263">
  <autoFilter ref="A1:K19" xr:uid="{35401B7B-B119-4638-937F-CE9DE4A9A7D7}"/>
  <tableColumns count="11">
    <tableColumn id="1" xr3:uid="{947A5CB1-5D2A-4BDC-A1DC-7D6B7A25B741}" name="Web Name" dataDxfId="262"/>
    <tableColumn id="2" xr3:uid="{5AF52FAB-9E36-4DAF-B8BC-9E866B2A16A1}" name="Position" dataDxfId="261"/>
    <tableColumn id="3" xr3:uid="{53EFC01C-BE36-4F9E-A8CF-4F61EDA10060}" name="Team" dataDxfId="260"/>
    <tableColumn id="4" xr3:uid="{CAC2A2B9-89A0-4D96-8AA9-5BC6A9AE2823}" name="ARIMAPP" dataDxfId="259"/>
    <tableColumn id="5" xr3:uid="{24B6E9DC-5B8D-44A1-B0D0-9818CD3A5552}" name="LSTMPP" dataDxfId="258"/>
    <tableColumn id="6" xr3:uid="{8B795EEC-E7DB-42B0-AAAD-CCE3E7887ABE}" name="PP" dataDxfId="257">
      <calculatedColumnFormula>Table223456[[#This Row],[ARIMAPP]]*$N$4+Table223456[[#This Row],[LSTMPP]]*$N$5</calculatedColumnFormula>
    </tableColumn>
    <tableColumn id="14" xr3:uid="{94C7F386-883B-4B4D-AF8C-F4FAA0B8DE20}" name="PPG" dataDxfId="58">
      <calculatedColumnFormula>Table223456[[#This Row],[PP]]/$N$2</calculatedColumnFormula>
    </tableColumn>
    <tableColumn id="7" xr3:uid="{C47D1C53-D8BF-4DD3-96FF-57F53E43CF0D}" name="Plays" dataDxfId="256"/>
    <tableColumn id="15" xr3:uid="{C9D51935-FE21-4CE4-AFE5-3BBBF31EB099}" name="Tot" dataDxfId="38">
      <calculatedColumnFormula>Table223456[[#This Row],[PPG]]*Table223456[[#This Row],[Plays]]</calculatedColumnFormula>
    </tableColumn>
    <tableColumn id="8" xr3:uid="{2D1DD6F8-E5C6-4BB5-B3D4-9CE4DA9EC80F}" name="APP" dataDxfId="255"/>
    <tableColumn id="16" xr3:uid="{CC13A371-ED02-4BA7-9363-FD08BBB7C275}" name="APPG" dataDxfId="7">
      <calculatedColumnFormula>Table223456[[#This Row],[APP]]/Table223456[[#This Row],[Plays]]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B4A72C-7A5B-4FF5-8E28-72CEA8CCE26E}" name="Table2234567" displayName="Table2234567" ref="A1:K20" totalsRowShown="0" headerRowDxfId="254" dataDxfId="253" headerRowBorderDxfId="251" tableBorderDxfId="252" totalsRowBorderDxfId="250">
  <autoFilter ref="A1:K20" xr:uid="{35401B7B-B119-4638-937F-CE9DE4A9A7D7}"/>
  <tableColumns count="11">
    <tableColumn id="1" xr3:uid="{92B64CDC-BDEF-46AB-98E1-56A7563A5984}" name="Web Name" dataDxfId="249"/>
    <tableColumn id="2" xr3:uid="{59A8601E-6B91-4E18-8E3E-53078DBAE6CA}" name="Position" dataDxfId="248"/>
    <tableColumn id="3" xr3:uid="{6698F30B-7DBE-431C-A267-228AC12E6D9F}" name="Team" dataDxfId="247"/>
    <tableColumn id="4" xr3:uid="{165ED360-BFF3-497C-872F-2F347BD801FC}" name="ARIMAPP" dataDxfId="246"/>
    <tableColumn id="5" xr3:uid="{97075044-B3A6-4823-831C-DFBCAC08E21F}" name="LSTMPP" dataDxfId="245"/>
    <tableColumn id="6" xr3:uid="{A8688EBF-544C-4768-90D4-C2246CEC6DAD}" name="PP" dataDxfId="244">
      <calculatedColumnFormula>Table2234567[[#This Row],[ARIMAPP]]*$N$4+Table2234567[[#This Row],[LSTMPP]]*$N$5</calculatedColumnFormula>
    </tableColumn>
    <tableColumn id="14" xr3:uid="{78303DAB-2DC9-4CB7-8001-5F4D42494F9D}" name="PPG" dataDxfId="57">
      <calculatedColumnFormula>Table2234567[[#This Row],[PP]]/$N$2</calculatedColumnFormula>
    </tableColumn>
    <tableColumn id="7" xr3:uid="{0EE411D9-0DAA-4372-AF7B-04D40F1D02DF}" name="Plays" dataDxfId="243"/>
    <tableColumn id="15" xr3:uid="{FAD58F07-01F5-4FB7-84F3-BC15E72BA07D}" name="Tot" dataDxfId="37">
      <calculatedColumnFormula>Table2234567[[#This Row],[PPG]]*Table2234567[[#This Row],[Plays]]</calculatedColumnFormula>
    </tableColumn>
    <tableColumn id="8" xr3:uid="{3E285DAD-20F6-4599-A7BA-230FC811FCAB}" name="APP" dataDxfId="242"/>
    <tableColumn id="16" xr3:uid="{9657D3F3-9925-48D1-835C-EC425EA3A7C8}" name="APPG" dataDxfId="8">
      <calculatedColumnFormula>Table2234567[[#This Row],[APP]]/Table2234567[[#This Row],[Plays]]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1D6259-D31C-4DA0-9EDC-95EA33B83278}" name="Table22345678" displayName="Table22345678" ref="A1:K19" totalsRowShown="0" headerRowDxfId="241" dataDxfId="240" headerRowBorderDxfId="238" tableBorderDxfId="239" totalsRowBorderDxfId="237">
  <autoFilter ref="A1:K19" xr:uid="{35401B7B-B119-4638-937F-CE9DE4A9A7D7}"/>
  <tableColumns count="11">
    <tableColumn id="1" xr3:uid="{83D01593-2A24-47F1-85B7-2704FC540E82}" name="Web Name" dataDxfId="236"/>
    <tableColumn id="2" xr3:uid="{3895F700-0B6E-48E1-AD41-72BE6FCF3B50}" name="Position" dataDxfId="235"/>
    <tableColumn id="3" xr3:uid="{F7FDD87E-C6A0-4D8D-A545-DB4DF8D99212}" name="Team" dataDxfId="234"/>
    <tableColumn id="4" xr3:uid="{360282B5-7625-42BB-9449-9C6F9D7A1B73}" name="ARIMAPP" dataDxfId="233"/>
    <tableColumn id="5" xr3:uid="{94A25E47-3A89-4C33-81B2-5A5D7A1B8A59}" name="LSTMPP" dataDxfId="232"/>
    <tableColumn id="6" xr3:uid="{A99DDCD6-D2E5-4B68-8D82-413C1C121E36}" name="PP" dataDxfId="231">
      <calculatedColumnFormula>Table22345678[[#This Row],[ARIMAPP]]*$N$4+Table22345678[[#This Row],[LSTMPP]]*$N$5</calculatedColumnFormula>
    </tableColumn>
    <tableColumn id="14" xr3:uid="{3613FEFB-9A00-450C-B444-C85733DAEB97}" name="PPG" dataDxfId="56">
      <calculatedColumnFormula>Table22345678[[#This Row],[PP]]/$N$2</calculatedColumnFormula>
    </tableColumn>
    <tableColumn id="7" xr3:uid="{A6BCE9FB-EC4A-4F13-AF57-6AAAC277A94A}" name="Plays" dataDxfId="230"/>
    <tableColumn id="15" xr3:uid="{D369F723-D297-4884-82D4-2A6EB1FD4ACE}" name="Tot" dataDxfId="36">
      <calculatedColumnFormula>Table22345678[[#This Row],[PPG]]*Table22345678[[#This Row],[Plays]]</calculatedColumnFormula>
    </tableColumn>
    <tableColumn id="8" xr3:uid="{47B9EF6A-6F32-4383-996B-1EC380F1ACCA}" name="APP" dataDxfId="229"/>
    <tableColumn id="16" xr3:uid="{E60BBF65-554E-44EA-9A6E-5EF19C319D54}" name="APPG" dataDxfId="9">
      <calculatedColumnFormula>Table22345678[[#This Row],[APP]]/Table22345678[[#This Row],[Plays]]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A08694-A6C9-497C-9C06-B63D909A5074}" name="Table223456789" displayName="Table223456789" ref="A1:K19" totalsRowShown="0" headerRowDxfId="228" dataDxfId="227" headerRowBorderDxfId="225" tableBorderDxfId="226" totalsRowBorderDxfId="224">
  <autoFilter ref="A1:K19" xr:uid="{35401B7B-B119-4638-937F-CE9DE4A9A7D7}"/>
  <tableColumns count="11">
    <tableColumn id="1" xr3:uid="{19615B73-92B4-4CE5-8B0C-A2A632675B3C}" name="Web Name" dataDxfId="223"/>
    <tableColumn id="2" xr3:uid="{FAC3DE9F-4023-44A8-8F5D-E570E99B30D2}" name="Position" dataDxfId="222"/>
    <tableColumn id="3" xr3:uid="{5B33343A-98D6-4BA6-B6C4-1EE32CFFD401}" name="Team" dataDxfId="221"/>
    <tableColumn id="4" xr3:uid="{F3529AC9-3679-414A-A54A-5E85179F4034}" name="ARIMAPP" dataDxfId="220"/>
    <tableColumn id="5" xr3:uid="{43707FF0-E3A2-43AC-8A12-5CFF591178DD}" name="LSTMPP" dataDxfId="219"/>
    <tableColumn id="6" xr3:uid="{B3E4781B-D123-4E11-BF6E-E67E9DB737F2}" name="PP" dataDxfId="218">
      <calculatedColumnFormula>Table223456789[[#This Row],[ARIMAPP]]*$N$4+Table223456789[[#This Row],[LSTMPP]]*$N$5</calculatedColumnFormula>
    </tableColumn>
    <tableColumn id="14" xr3:uid="{AB7E7A06-943D-4CD2-AB98-17D5FD966BA2}" name="PPG" dataDxfId="55">
      <calculatedColumnFormula>Table223456789[[#This Row],[PP]]/$N$2</calculatedColumnFormula>
    </tableColumn>
    <tableColumn id="7" xr3:uid="{EF35AB76-B5CA-4898-81F1-B1E7A85C0F5C}" name="Plays" dataDxfId="217"/>
    <tableColumn id="15" xr3:uid="{71D64565-AAAD-41EB-8A6C-80AEB218D948}" name="Tot" dataDxfId="35">
      <calculatedColumnFormula>Table223456789[[#This Row],[PPG]]*Table223456789[[#This Row],[Plays]]</calculatedColumnFormula>
    </tableColumn>
    <tableColumn id="8" xr3:uid="{287D5E3A-09D3-4AD2-874B-096F651410E0}" name="APP" dataDxfId="216"/>
    <tableColumn id="16" xr3:uid="{56401914-67F2-4876-8450-5A22B561DB5B}" name="APPG" dataDxfId="10">
      <calculatedColumnFormula>Table223456789[[#This Row],[APP]]/Table223456789[[#This Row],[Plays]]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862E13-8992-4985-8109-44B21E5BCDA3}" name="Table22345678910" displayName="Table22345678910" ref="A1:K21" totalsRowShown="0" headerRowDxfId="215" dataDxfId="214" headerRowBorderDxfId="212" tableBorderDxfId="213" totalsRowBorderDxfId="211">
  <autoFilter ref="A1:K21" xr:uid="{35401B7B-B119-4638-937F-CE9DE4A9A7D7}"/>
  <tableColumns count="11">
    <tableColumn id="1" xr3:uid="{C073B668-BF49-40BC-AAAD-25D47D9F8A10}" name="Web Name" dataDxfId="210"/>
    <tableColumn id="2" xr3:uid="{60C16658-D054-4648-A53C-BE3691BEFB55}" name="Position" dataDxfId="209"/>
    <tableColumn id="3" xr3:uid="{54DDBCD1-6039-4707-BCB0-399C167AB313}" name="Team" dataDxfId="208"/>
    <tableColumn id="4" xr3:uid="{A7C43B96-5DE3-47CB-8BAD-7C9CFBC4764E}" name="ARIMAPP" dataDxfId="207"/>
    <tableColumn id="5" xr3:uid="{B9DE3540-228B-4F67-B43F-605D757F2673}" name="LSTMPP" dataDxfId="206"/>
    <tableColumn id="6" xr3:uid="{2964A8E4-6A16-4775-BC97-019F347D94D0}" name="PP" dataDxfId="205">
      <calculatedColumnFormula>Table22345678910[[#This Row],[ARIMAPP]]*$N$4+Table22345678910[[#This Row],[LSTMPP]]*$N$5</calculatedColumnFormula>
    </tableColumn>
    <tableColumn id="14" xr3:uid="{E45BF22B-5F15-43B2-A8A1-C8BC50F4DCF0}" name="PPG" dataDxfId="54">
      <calculatedColumnFormula>Table22345678910[[#This Row],[PP]]/$N$2</calculatedColumnFormula>
    </tableColumn>
    <tableColumn id="7" xr3:uid="{E84469A1-C6B9-4469-B80B-6F2B967A7089}" name="Plays" dataDxfId="204"/>
    <tableColumn id="15" xr3:uid="{CEF4E9CB-7ECB-4A4C-8762-1B5333A402D0}" name="Tot" dataDxfId="34">
      <calculatedColumnFormula>Table22345678910[[#This Row],[PPG]]*Table22345678910[[#This Row],[Plays]]</calculatedColumnFormula>
    </tableColumn>
    <tableColumn id="8" xr3:uid="{CAD0DBFC-C763-441D-A9EA-99A408417117}" name="APP" dataDxfId="203"/>
    <tableColumn id="16" xr3:uid="{935AD2C1-15DB-4AD9-A39F-8208A7C26DDD}" name="APPG" dataDxfId="11">
      <calculatedColumnFormula>Table22345678910[[#This Row],[APP]]/Table22345678910[[#This Row],[Plays]]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56DEF82-B64A-4A46-942B-73484DE2D369}" name="Table2234567891011" displayName="Table2234567891011" ref="A1:K17" totalsRowShown="0" headerRowDxfId="202" dataDxfId="201" headerRowBorderDxfId="199" tableBorderDxfId="200" totalsRowBorderDxfId="198">
  <autoFilter ref="A1:K17" xr:uid="{35401B7B-B119-4638-937F-CE9DE4A9A7D7}"/>
  <tableColumns count="11">
    <tableColumn id="1" xr3:uid="{179E9A9C-6927-4E8B-9793-CA0F21F77179}" name="Web Name" dataDxfId="197"/>
    <tableColumn id="2" xr3:uid="{9B495BF0-FF23-4B41-9444-31AC76E8798D}" name="Position" dataDxfId="196"/>
    <tableColumn id="3" xr3:uid="{D8D91A11-EF22-433A-B7C3-EEA8C8D60781}" name="Team" dataDxfId="195"/>
    <tableColumn id="4" xr3:uid="{4CE2FE21-0D81-4511-8773-9CA2668DD779}" name="ARIMAPP" dataDxfId="194"/>
    <tableColumn id="5" xr3:uid="{5A209CD6-0FCB-44DD-8793-A176881B861A}" name="LSTMPP" dataDxfId="193"/>
    <tableColumn id="6" xr3:uid="{47D47858-3341-4EF5-AAA5-075DFE9D93A5}" name="PP" dataDxfId="192">
      <calculatedColumnFormula>Table2234567891011[[#This Row],[ARIMAPP]]*$N$4+Table2234567891011[[#This Row],[LSTMPP]]*$N$5</calculatedColumnFormula>
    </tableColumn>
    <tableColumn id="14" xr3:uid="{A1BBA0F1-F458-4531-BCD8-7B75601317A0}" name="PPG" dataDxfId="53">
      <calculatedColumnFormula>Table2234567891011[[#This Row],[PP]]/$N$2</calculatedColumnFormula>
    </tableColumn>
    <tableColumn id="7" xr3:uid="{84F736D7-86DA-4016-B60C-33DA18F39FB4}" name="Plays" dataDxfId="191"/>
    <tableColumn id="15" xr3:uid="{BB1CF30E-DAA2-4150-9A73-7BE96B8C32BA}" name="Tot" dataDxfId="33">
      <calculatedColumnFormula>Table2234567891011[[#This Row],[PPG]]*Table2234567891011[[#This Row],[Plays]]</calculatedColumnFormula>
    </tableColumn>
    <tableColumn id="8" xr3:uid="{47020393-5206-41B9-A573-F83BF2127755}" name="APP" dataDxfId="190"/>
    <tableColumn id="16" xr3:uid="{1BD33983-C112-45C6-A7F4-F1490D427483}" name="APPG" dataDxfId="12">
      <calculatedColumnFormula>Table2234567891011[[#This Row],[APP]]/Table2234567891011[[#This Row],[Plays]]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3E8273-FA08-4BDF-96F6-662C09BE1759}" name="Table223456789101112" displayName="Table223456789101112" ref="A1:K18" totalsRowShown="0" headerRowDxfId="189" dataDxfId="188" headerRowBorderDxfId="186" tableBorderDxfId="187" totalsRowBorderDxfId="185">
  <autoFilter ref="A1:K18" xr:uid="{35401B7B-B119-4638-937F-CE9DE4A9A7D7}"/>
  <tableColumns count="11">
    <tableColumn id="1" xr3:uid="{74F22D83-5155-4177-960F-22717C036D10}" name="Web Name" dataDxfId="184"/>
    <tableColumn id="2" xr3:uid="{08A3B928-BF21-4B02-BA56-BAEF97FB93D7}" name="Position" dataDxfId="183"/>
    <tableColumn id="3" xr3:uid="{FA58C81D-A608-468D-9902-E1B7983B0691}" name="Team" dataDxfId="182"/>
    <tableColumn id="4" xr3:uid="{8CE0AE3B-1E98-4064-9D87-A3D2386F2719}" name="ARIMAPP" dataDxfId="181"/>
    <tableColumn id="5" xr3:uid="{FA6B301D-A234-462A-B9B3-199C30A6C858}" name="LSTMPP" dataDxfId="180"/>
    <tableColumn id="6" xr3:uid="{DC43EB65-483F-4819-B53E-0EEF341BE275}" name="PP" dataDxfId="179">
      <calculatedColumnFormula>Table223456789101112[[#This Row],[ARIMAPP]]*$N$4+Table223456789101112[[#This Row],[LSTMPP]]*$N$5</calculatedColumnFormula>
    </tableColumn>
    <tableColumn id="14" xr3:uid="{AC81D569-AFDD-47EC-B24D-ED5FD78A68AA}" name="PPG" dataDxfId="52">
      <calculatedColumnFormula>Table223456789101112[[#This Row],[PP]]/$N$2</calculatedColumnFormula>
    </tableColumn>
    <tableColumn id="7" xr3:uid="{247B569D-97C1-4880-B9AC-CB05283E6D13}" name="Plays" dataDxfId="1"/>
    <tableColumn id="15" xr3:uid="{CA483F70-E53B-4C0B-AE68-6F13D2FA39BB}" name="Tot" dataDxfId="0">
      <calculatedColumnFormula>Table223456789101112[[#This Row],[PPG]]*Table223456789101112[[#This Row],[Plays]]</calculatedColumnFormula>
    </tableColumn>
    <tableColumn id="8" xr3:uid="{9F74961F-23F9-4F1E-8EA4-2DEF1027EF75}" name="APP" dataDxfId="2"/>
    <tableColumn id="16" xr3:uid="{85356509-8F31-47A7-AD2B-61DCD30DCD64}" name="APPG" dataDxfId="13">
      <calculatedColumnFormula>Table223456789101112[[#This Row],[APP]]/Table223456789101112[[#This Row],[Plays]]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1D4F18-675A-468F-A32C-C915FB4EBEAD}" name="Table22345678910111213" displayName="Table22345678910111213" ref="A1:K21" totalsRowShown="0" headerRowDxfId="178" dataDxfId="177" headerRowBorderDxfId="175" tableBorderDxfId="176" totalsRowBorderDxfId="174">
  <autoFilter ref="A1:K21" xr:uid="{35401B7B-B119-4638-937F-CE9DE4A9A7D7}"/>
  <tableColumns count="11">
    <tableColumn id="1" xr3:uid="{A84D6BFB-A2FB-45DD-A252-ABF4355E2BA2}" name="Web Name" dataDxfId="173"/>
    <tableColumn id="2" xr3:uid="{D3E79AD3-5D30-4A75-8351-5957E8F6D7D5}" name="Position" dataDxfId="172"/>
    <tableColumn id="3" xr3:uid="{6E4B9839-8C8A-4B59-9500-0EAAEDFB862B}" name="Team" dataDxfId="171"/>
    <tableColumn id="4" xr3:uid="{B144937D-8D53-479C-A2D6-B1AE473BE5EC}" name="ARIMAPP" dataDxfId="170"/>
    <tableColumn id="5" xr3:uid="{005074C5-19CA-4CDB-8852-75F664EE2544}" name="LSTMPP" dataDxfId="169"/>
    <tableColumn id="6" xr3:uid="{817AD439-A4DE-4789-A650-DD0A8130B8C3}" name="PP" dataDxfId="168">
      <calculatedColumnFormula>Table22345678910111213[[#This Row],[ARIMAPP]]*$N$4+Table22345678910111213[[#This Row],[LSTMPP]]*$N$5</calculatedColumnFormula>
    </tableColumn>
    <tableColumn id="14" xr3:uid="{D5B68BE3-BA2D-45F7-B7FF-33E9C742BF8C}" name="PPG" dataDxfId="51">
      <calculatedColumnFormula>Table22345678910111213[[#This Row],[PP]]/$N$2</calculatedColumnFormula>
    </tableColumn>
    <tableColumn id="7" xr3:uid="{402EEBE6-DD23-4B43-B87E-664C310EA043}" name="Plays" dataDxfId="167"/>
    <tableColumn id="15" xr3:uid="{4462F7B8-5E50-4630-89C7-A368834E439F}" name="Tot" dataDxfId="32">
      <calculatedColumnFormula>Table22345678910111213[[#This Row],[PPG]]*Table22345678910111213[[#This Row],[Plays]]</calculatedColumnFormula>
    </tableColumn>
    <tableColumn id="8" xr3:uid="{3D74B9DF-9678-4057-BB70-B0C6F19C33C5}" name="APP" dataDxfId="166"/>
    <tableColumn id="16" xr3:uid="{08115C22-B6B3-47C2-ACC8-85B6EACCCD67}" name="APPG" dataDxfId="14">
      <calculatedColumnFormula>Table22345678910111213[[#This Row],[APP]]/Table22345678910111213[[#This Row],[Plays]]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F954D63-408A-471E-AC8A-DBEC2BB8E580}" name="Table2234567891011121314" displayName="Table2234567891011121314" ref="A1:K20" totalsRowShown="0" headerRowDxfId="165" dataDxfId="164" headerRowBorderDxfId="162" tableBorderDxfId="163" totalsRowBorderDxfId="161">
  <autoFilter ref="A1:K20" xr:uid="{35401B7B-B119-4638-937F-CE9DE4A9A7D7}"/>
  <tableColumns count="11">
    <tableColumn id="1" xr3:uid="{135EBBA2-3E01-4AC1-A3B4-A2A671F80611}" name="Web Name" dataDxfId="160"/>
    <tableColumn id="2" xr3:uid="{8C6C143E-2ED9-42EE-9BF9-FBD57B05EF50}" name="Position" dataDxfId="159"/>
    <tableColumn id="3" xr3:uid="{90B95D74-6404-42D5-BC36-568838E72233}" name="Team" dataDxfId="158"/>
    <tableColumn id="4" xr3:uid="{AD6A5071-6975-40B4-8C8D-B74EE473C569}" name="ARIMAPP" dataDxfId="157"/>
    <tableColumn id="5" xr3:uid="{35C065CA-585E-4013-91C4-12E30C57CFC1}" name="LSTMPP" dataDxfId="156"/>
    <tableColumn id="6" xr3:uid="{8C22DC00-0610-4710-AB2E-C154652FA9E5}" name="PP" dataDxfId="155">
      <calculatedColumnFormula>Table2234567891011121314[[#This Row],[ARIMAPP]]*$N$4+Table2234567891011121314[[#This Row],[LSTMPP]]*$N$5</calculatedColumnFormula>
    </tableColumn>
    <tableColumn id="14" xr3:uid="{2AD6F465-2BAB-48C8-BE76-81A91856A98B}" name="PPG" dataDxfId="50">
      <calculatedColumnFormula>Table2234567891011121314[[#This Row],[PP]]/$N$2</calculatedColumnFormula>
    </tableColumn>
    <tableColumn id="7" xr3:uid="{3D5CD42E-3803-4807-AC01-62CD3615974B}" name="Plays" dataDxfId="154"/>
    <tableColumn id="15" xr3:uid="{884F0C6A-7D1E-48F2-87B2-3B54AA753F65}" name="Tot" dataDxfId="31">
      <calculatedColumnFormula>Table2234567891011121314[[#This Row],[PPG]]*Table2234567891011121314[[#This Row],[Plays]]</calculatedColumnFormula>
    </tableColumn>
    <tableColumn id="8" xr3:uid="{065775BD-CDBD-4608-B04D-5E375A5D7D1E}" name="APP" dataDxfId="153"/>
    <tableColumn id="16" xr3:uid="{1BA96898-DCD2-449A-BED3-A2148B4C410F}" name="APPG" dataDxfId="15">
      <calculatedColumnFormula>Table2234567891011121314[[#This Row],[APP]]/Table2234567891011121314[[#This Row],[Plays]]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8C36FF-C4F7-40C6-9DDC-9818720EF583}" name="Table223456789101112131415" displayName="Table223456789101112131415" ref="A1:K21" totalsRowShown="0" headerRowDxfId="152" dataDxfId="151" headerRowBorderDxfId="149" tableBorderDxfId="150" totalsRowBorderDxfId="148">
  <autoFilter ref="A1:K21" xr:uid="{35401B7B-B119-4638-937F-CE9DE4A9A7D7}"/>
  <tableColumns count="11">
    <tableColumn id="1" xr3:uid="{873D8F5D-2FEC-493C-AAC6-4D9EDE1FF014}" name="Web Name" dataDxfId="147"/>
    <tableColumn id="2" xr3:uid="{98216DD1-9053-479C-B02B-BF900BFA6107}" name="Position" dataDxfId="146"/>
    <tableColumn id="3" xr3:uid="{61C93D63-05A4-48C2-85A7-158425198803}" name="Team" dataDxfId="145"/>
    <tableColumn id="4" xr3:uid="{E26E1D86-610A-45A1-ACE1-ED46B0689A90}" name="ARIMAPP" dataDxfId="144"/>
    <tableColumn id="5" xr3:uid="{A69CD377-2BEA-49E6-B00E-F69C2BA9766D}" name="LSTMPP" dataDxfId="143"/>
    <tableColumn id="6" xr3:uid="{6C347233-1FEB-4699-8849-A37F2A2DFDD1}" name="PP" dataDxfId="142">
      <calculatedColumnFormula>Table223456789101112131415[[#This Row],[ARIMAPP]]*$N$4+Table223456789101112131415[[#This Row],[LSTMPP]]*$N$5</calculatedColumnFormula>
    </tableColumn>
    <tableColumn id="14" xr3:uid="{62871303-4894-400F-AFF3-97F56BE5729F}" name="PPG" dataDxfId="49">
      <calculatedColumnFormula>Table223456789101112131415[[#This Row],[PP]]/$N$2</calculatedColumnFormula>
    </tableColumn>
    <tableColumn id="7" xr3:uid="{6B76BCD4-D437-448E-AB86-D0142ABE91AF}" name="Plays" dataDxfId="141"/>
    <tableColumn id="15" xr3:uid="{DA9C50CA-7A10-4FD3-97EF-A998A7C1905B}" name="Tot" dataDxfId="30">
      <calculatedColumnFormula>Table223456789101112131415[[#This Row],[PPG]]*Table223456789101112131415[[#This Row],[Plays]]</calculatedColumnFormula>
    </tableColumn>
    <tableColumn id="8" xr3:uid="{4BA3A5B7-C68D-480B-AA1C-40DE3483E86C}" name="APP" dataDxfId="140"/>
    <tableColumn id="16" xr3:uid="{4F85A831-1B98-431E-8AB5-0836A15A31F9}" name="APPG" dataDxfId="16">
      <calculatedColumnFormula>Table223456789101112131415[[#This Row],[APP]]/Table223456789101112131415[[#This Row],[Plays]]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0232A47-3FDB-4085-8755-22C8DDDAAB88}" name="Table22345678910111213141516" displayName="Table22345678910111213141516" ref="A1:K20" totalsRowShown="0" headerRowDxfId="139" dataDxfId="138" headerRowBorderDxfId="136" tableBorderDxfId="137" totalsRowBorderDxfId="135">
  <autoFilter ref="A1:K20" xr:uid="{35401B7B-B119-4638-937F-CE9DE4A9A7D7}"/>
  <tableColumns count="11">
    <tableColumn id="1" xr3:uid="{7768BC6E-22C8-4368-96DA-3BA045C3A4D0}" name="Web Name" dataDxfId="134"/>
    <tableColumn id="2" xr3:uid="{4E17AAE2-48A4-42C6-8D99-AFA1C8A45748}" name="Position" dataDxfId="133"/>
    <tableColumn id="3" xr3:uid="{44B8DDD9-5A7F-4A56-B41B-259C9E45C012}" name="Team" dataDxfId="132"/>
    <tableColumn id="4" xr3:uid="{7E8AA508-CDCF-418A-BB07-6957D8633B56}" name="ARIMAPP" dataDxfId="131"/>
    <tableColumn id="5" xr3:uid="{A6E28033-1051-4CBA-A495-B4CFD47307C7}" name="LSTMPP" dataDxfId="130"/>
    <tableColumn id="6" xr3:uid="{034A3352-7315-4891-BC8E-4068DC84AE1D}" name="PP" dataDxfId="129">
      <calculatedColumnFormula>Table22345678910111213141516[[#This Row],[ARIMAPP]]*$N$4+Table22345678910111213141516[[#This Row],[LSTMPP]]*$N$5</calculatedColumnFormula>
    </tableColumn>
    <tableColumn id="14" xr3:uid="{E62CB82B-C9D2-4A1F-8879-04F074C079E7}" name="PPG" dataDxfId="48">
      <calculatedColumnFormula>Table22345678910111213141516[[#This Row],[PP]]/$N$2</calculatedColumnFormula>
    </tableColumn>
    <tableColumn id="7" xr3:uid="{CE1E851E-6BDC-407B-BC14-90961DCB3919}" name="Plays" dataDxfId="128"/>
    <tableColumn id="15" xr3:uid="{11EF8A40-166A-4529-ADAE-C8E45DC746A3}" name="Tot" dataDxfId="29">
      <calculatedColumnFormula>Table22345678910111213141516[[#This Row],[PPG]]*Table22345678910111213141516[[#This Row],[Plays]]</calculatedColumnFormula>
    </tableColumn>
    <tableColumn id="8" xr3:uid="{FCA137C9-A7B0-4F9B-ADBE-047A9AFE4501}" name="APP" dataDxfId="127"/>
    <tableColumn id="16" xr3:uid="{31ADD1F3-9C73-4005-9DFC-49E8E455E3FF}" name="APPG" dataDxfId="17">
      <calculatedColumnFormula>Table22345678910111213141516[[#This Row],[APP]]/Table22345678910111213141516[[#This Row],[Plays]]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A604BD-C7AD-4406-A17B-66C9466F5CFB}" name="Table2234567891011121314151617" displayName="Table2234567891011121314151617" ref="A1:K22" totalsRowShown="0" headerRowDxfId="126" dataDxfId="125" headerRowBorderDxfId="123" tableBorderDxfId="124" totalsRowBorderDxfId="122">
  <autoFilter ref="A1:K22" xr:uid="{35401B7B-B119-4638-937F-CE9DE4A9A7D7}"/>
  <tableColumns count="11">
    <tableColumn id="1" xr3:uid="{67E5355C-A861-41EA-B9F4-6A5566EB6B60}" name="Web Name" dataDxfId="121"/>
    <tableColumn id="2" xr3:uid="{74102E2A-2111-402F-9B07-E7EFE960CD5F}" name="Position" dataDxfId="120"/>
    <tableColumn id="3" xr3:uid="{E87971B0-1509-474D-9EB7-AA5DD41BF939}" name="Team" dataDxfId="119"/>
    <tableColumn id="4" xr3:uid="{59A7B1E3-124E-45B8-B058-2AAED742FD4C}" name="ARIMAPP" dataDxfId="118"/>
    <tableColumn id="5" xr3:uid="{1D348969-AA84-440A-BED0-7AF3767F1464}" name="LSTMPP" dataDxfId="117"/>
    <tableColumn id="6" xr3:uid="{025F7D30-93F6-483C-A249-36507B94627F}" name="PP" dataDxfId="116">
      <calculatedColumnFormula>Table2234567891011121314151617[[#This Row],[ARIMAPP]]*$N$4+Table2234567891011121314151617[[#This Row],[LSTMPP]]*$N$5</calculatedColumnFormula>
    </tableColumn>
    <tableColumn id="14" xr3:uid="{A07BC02C-C734-4B45-B7F4-990F20B2DC55}" name="PPG" dataDxfId="47">
      <calculatedColumnFormula>Table2234567891011121314151617[[#This Row],[PP]]/$N$2</calculatedColumnFormula>
    </tableColumn>
    <tableColumn id="7" xr3:uid="{281F844F-6BA0-4278-AF27-A901650F4650}" name="Plays" dataDxfId="115"/>
    <tableColumn id="15" xr3:uid="{1E16C574-AF11-4E45-AD33-D8F6473CA315}" name="Tot" dataDxfId="28">
      <calculatedColumnFormula>Table2234567891011121314151617[[#This Row],[PPG]]*Table2234567891011121314151617[[#This Row],[Plays]]</calculatedColumnFormula>
    </tableColumn>
    <tableColumn id="8" xr3:uid="{1BCA604A-8828-4FD2-BC6B-62929ACACE4C}" name="APP" dataDxfId="114"/>
    <tableColumn id="16" xr3:uid="{E0BF44F5-9716-43E5-8F38-B0DEA0DB1497}" name="APPG" dataDxfId="18">
      <calculatedColumnFormula>Table2234567891011121314151617[[#This Row],[APP]]/Table2234567891011121314151617[[#This Row],[Plays]]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8722151-1B54-410D-99ED-4325C9D92892}" name="Table223456789101112131415161718" displayName="Table223456789101112131415161718" ref="A1:K18" totalsRowShown="0" headerRowDxfId="113" dataDxfId="112" headerRowBorderDxfId="110" tableBorderDxfId="111" totalsRowBorderDxfId="109">
  <autoFilter ref="A1:K18" xr:uid="{35401B7B-B119-4638-937F-CE9DE4A9A7D7}"/>
  <tableColumns count="11">
    <tableColumn id="1" xr3:uid="{B621FFC8-9B5D-4767-92EA-3337F4794099}" name="Web Name" dataDxfId="108"/>
    <tableColumn id="2" xr3:uid="{14B765B6-8060-4FEE-B1DE-1D1E532D3E15}" name="Position" dataDxfId="107"/>
    <tableColumn id="3" xr3:uid="{80906128-3D94-4661-8F77-22C30A90E455}" name="Team" dataDxfId="106"/>
    <tableColumn id="4" xr3:uid="{4BA5706C-C7C9-4507-A879-8377734814C7}" name="ARIMAPP" dataDxfId="105"/>
    <tableColumn id="5" xr3:uid="{F3A35883-D321-47DB-A5E0-86E10491E829}" name="LSTMPP" dataDxfId="104"/>
    <tableColumn id="6" xr3:uid="{4613BD4E-CE7F-4DA5-AF64-085882C7A684}" name="PP" dataDxfId="103">
      <calculatedColumnFormula>Table223456789101112131415161718[[#This Row],[ARIMAPP]]*$N$4+Table223456789101112131415161718[[#This Row],[LSTMPP]]*$N$5</calculatedColumnFormula>
    </tableColumn>
    <tableColumn id="14" xr3:uid="{2DBBB0F7-4A17-4B10-BEAF-9C806F2052DB}" name="PPG" dataDxfId="46">
      <calculatedColumnFormula>Table223456789101112131415161718[[#This Row],[PP]]/$N$2</calculatedColumnFormula>
    </tableColumn>
    <tableColumn id="7" xr3:uid="{91CEF253-2397-4731-B571-C89226A8E8DC}" name="Plays" dataDxfId="102"/>
    <tableColumn id="15" xr3:uid="{EED4D0A3-3937-47E8-979D-80E63DF5B465}" name="Tot" dataDxfId="27">
      <calculatedColumnFormula>Table223456789101112131415161718[[#This Row],[PPG]]*Table223456789101112131415161718[[#This Row],[Plays]]</calculatedColumnFormula>
    </tableColumn>
    <tableColumn id="8" xr3:uid="{37F04E25-1BC4-455E-AA1B-4B15D185A4C6}" name="APP" dataDxfId="101"/>
    <tableColumn id="16" xr3:uid="{B07CB776-0DA2-4D0C-B990-142BFC9D0910}" name="APPG" dataDxfId="19">
      <calculatedColumnFormula>Table223456789101112131415161718[[#This Row],[APP]]/Table223456789101112131415161718[[#This Row],[Plays]]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277E900-B672-4C5E-9616-B7E28A7906CF}" name="Table22345678910111213141516171819" displayName="Table22345678910111213141516171819" ref="A1:K20" totalsRowShown="0" headerRowDxfId="100" dataDxfId="99" headerRowBorderDxfId="97" tableBorderDxfId="98" totalsRowBorderDxfId="96">
  <autoFilter ref="A1:K20" xr:uid="{35401B7B-B119-4638-937F-CE9DE4A9A7D7}"/>
  <tableColumns count="11">
    <tableColumn id="1" xr3:uid="{1B6E4301-FD22-4C9B-8979-C32A2CF4B48F}" name="Web Name" dataDxfId="95"/>
    <tableColumn id="2" xr3:uid="{0B7F7BA1-AB90-46D9-B9E9-E66CF32EEEAD}" name="Position" dataDxfId="94"/>
    <tableColumn id="3" xr3:uid="{85FD5780-648A-4FB5-BDE9-D8D6CE13771C}" name="Team" dataDxfId="93"/>
    <tableColumn id="4" xr3:uid="{2CF759DF-23A8-4F70-9BAE-B787CECFB332}" name="ARIMAPP" dataDxfId="92"/>
    <tableColumn id="5" xr3:uid="{2C801E41-F47C-4B7F-B6F9-831DBEA4A288}" name="LSTMPP" dataDxfId="91"/>
    <tableColumn id="6" xr3:uid="{94DCAC50-5BE8-499C-A899-BD3634ABC0C6}" name="PP" dataDxfId="90">
      <calculatedColumnFormula>Table22345678910111213141516171819[[#This Row],[ARIMAPP]]*$N$4+Table22345678910111213141516171819[[#This Row],[LSTMPP]]*$N$5</calculatedColumnFormula>
    </tableColumn>
    <tableColumn id="14" xr3:uid="{8BBC7197-87F8-48E0-B1BC-10814C6E74B6}" name="PPG" dataDxfId="45">
      <calculatedColumnFormula>Table22345678910111213141516171819[[#This Row],[PP]]/$N$2</calculatedColumnFormula>
    </tableColumn>
    <tableColumn id="7" xr3:uid="{D584EBEF-1D5D-485A-A589-5D93755828A4}" name="Plays" dataDxfId="89"/>
    <tableColumn id="15" xr3:uid="{9BB21CB7-7AAB-48E7-BD06-BE73EC873070}" name="Tot" dataDxfId="26">
      <calculatedColumnFormula>Table22345678910111213141516171819[[#This Row],[PPG]]*Table22345678910111213141516171819[[#This Row],[Plays]]</calculatedColumnFormula>
    </tableColumn>
    <tableColumn id="8" xr3:uid="{67322B81-3C98-47E8-99D1-E480B36C503D}" name="APP" dataDxfId="88"/>
    <tableColumn id="16" xr3:uid="{39193F6A-A99D-468C-8DBF-A2BF9DDDF99C}" name="APPG" dataDxfId="20">
      <calculatedColumnFormula>Table22345678910111213141516171819[[#This Row],[APP]]/Table22345678910111213141516171819[[#This Row],[Plays]]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6451D0C-D854-44DC-B89D-1A703BDE3619}" name="Table2234567891011121314151617181920" displayName="Table2234567891011121314151617181920" ref="A1:K21" totalsRowShown="0" headerRowDxfId="87" dataDxfId="86" headerRowBorderDxfId="84" tableBorderDxfId="85" totalsRowBorderDxfId="83">
  <autoFilter ref="A1:K21" xr:uid="{35401B7B-B119-4638-937F-CE9DE4A9A7D7}"/>
  <tableColumns count="11">
    <tableColumn id="1" xr3:uid="{5487D8FA-6FEB-47CC-AD72-71A694A92900}" name="Web Name" dataDxfId="82"/>
    <tableColumn id="2" xr3:uid="{B7EF6CE1-BBC4-4E57-8D86-579DC3569F5F}" name="Position" dataDxfId="81"/>
    <tableColumn id="3" xr3:uid="{E29EFE8B-4A78-4CA8-8EFB-1AC58B9769DD}" name="Team" dataDxfId="80"/>
    <tableColumn id="4" xr3:uid="{31B6944A-8AAA-424B-A889-AC283BBF1449}" name="ARIMAPP" dataDxfId="79"/>
    <tableColumn id="5" xr3:uid="{9A1863A9-305E-475F-9F66-F6C396923B13}" name="LSTMPP" dataDxfId="78"/>
    <tableColumn id="6" xr3:uid="{F5A121AC-5B86-44FF-9303-EB07B9FE5D34}" name="PP" dataDxfId="77">
      <calculatedColumnFormula>Table2234567891011121314151617181920[[#This Row],[ARIMAPP]]*$N$4+Table2234567891011121314151617181920[[#This Row],[LSTMPP]]*$N$5</calculatedColumnFormula>
    </tableColumn>
    <tableColumn id="14" xr3:uid="{5E1183E9-48AE-4AB0-857F-875BAA54CB65}" name="PPG" dataDxfId="44">
      <calculatedColumnFormula>Table2234567891011121314151617181920[[#This Row],[PP]]/$N$2</calculatedColumnFormula>
    </tableColumn>
    <tableColumn id="7" xr3:uid="{28FB1907-636C-4F99-AC59-7865840AA142}" name="Plays" dataDxfId="76"/>
    <tableColumn id="15" xr3:uid="{B03271D9-089C-411F-95EA-A3F96F2154EE}" name="Tot" dataDxfId="25">
      <calculatedColumnFormula>Table2234567891011121314151617181920[[#This Row],[PPG]]*Table2234567891011121314151617181920[[#This Row],[Plays]]</calculatedColumnFormula>
    </tableColumn>
    <tableColumn id="8" xr3:uid="{C983CFA6-164E-4B3F-8417-9366BC57067F}" name="APP" dataDxfId="75"/>
    <tableColumn id="16" xr3:uid="{19CEC8B6-D58D-4CEA-A810-CD6EAD7AB6DC}" name="APPG" dataDxfId="21">
      <calculatedColumnFormula>Table2234567891011121314151617181920[[#This Row],[APP]]/Table2234567891011121314151617181920[[#This Row],[Plays]]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7244265-ADA8-40AE-A9A4-C328BF1C2931}" name="Table223456789101112131415161718192021" displayName="Table223456789101112131415161718192021" ref="A1:K17" totalsRowShown="0" headerRowDxfId="74" dataDxfId="73" headerRowBorderDxfId="71" tableBorderDxfId="72" totalsRowBorderDxfId="70">
  <autoFilter ref="A1:K17" xr:uid="{35401B7B-B119-4638-937F-CE9DE4A9A7D7}"/>
  <tableColumns count="11">
    <tableColumn id="1" xr3:uid="{55AB6A3C-24AD-4125-A465-203FB760CA1F}" name="Web Name" dataDxfId="69"/>
    <tableColumn id="2" xr3:uid="{3101341D-5DBC-458F-AE08-EDCB6A2E4DD2}" name="Position" dataDxfId="68"/>
    <tableColumn id="3" xr3:uid="{7B46B366-4DBC-4481-8EFA-CB96150516D7}" name="Team" dataDxfId="67"/>
    <tableColumn id="4" xr3:uid="{011C412F-90EB-427A-BD2B-4EEA6BC58C27}" name="ARIMAPP" dataDxfId="66"/>
    <tableColumn id="5" xr3:uid="{E0E77873-51D1-4272-AD5F-EC23D292CAF2}" name="LSTMPP" dataDxfId="65"/>
    <tableColumn id="6" xr3:uid="{8790D630-DD85-4AC9-A189-D2C211A90D17}" name="PP" dataDxfId="64">
      <calculatedColumnFormula>Table223456789101112131415161718192021[[#This Row],[ARIMAPP]]*$N$4+Table223456789101112131415161718192021[[#This Row],[LSTMPP]]*$N$5</calculatedColumnFormula>
    </tableColumn>
    <tableColumn id="14" xr3:uid="{F860DC7C-8268-4BE9-BF3B-38ED6395C1C3}" name="PPG" dataDxfId="43">
      <calculatedColumnFormula>Table223456789101112131415161718192021[[#This Row],[PP]]/$N$2</calculatedColumnFormula>
    </tableColumn>
    <tableColumn id="7" xr3:uid="{BFE0FDA7-625D-43F1-8AB1-7D18F7E65718}" name="Plays" dataDxfId="63"/>
    <tableColumn id="15" xr3:uid="{6B7EDF3A-C07F-4A48-8CDA-EC0F54AD86EF}" name="Tot" dataDxfId="24">
      <calculatedColumnFormula>Table223456789101112131415161718192021[[#This Row],[PPG]]*Table223456789101112131415161718192021[[#This Row],[Plays]]</calculatedColumnFormula>
    </tableColumn>
    <tableColumn id="8" xr3:uid="{D8EA0960-BDD4-40D0-BCB8-157757E9391E}" name="APP" dataDxfId="23"/>
    <tableColumn id="16" xr3:uid="{CE1676B0-753A-4BEA-972D-DEA322A4CD98}" name="APPG" dataDxfId="22">
      <calculatedColumnFormula>Table223456789101112131415161718192021[[#This Row],[APP]]/Table223456789101112131415161718192021[[#This Row],[Plays]]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4BB-856D-4B1D-95A4-DE3240951DF1}">
  <dimension ref="A1:N18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18</v>
      </c>
      <c r="B2" t="s">
        <v>19</v>
      </c>
      <c r="C2" t="s">
        <v>13</v>
      </c>
      <c r="D2">
        <v>29.523836117523199</v>
      </c>
      <c r="E2">
        <v>60.044807664835801</v>
      </c>
      <c r="F2">
        <f>Table22[[#This Row],[ARIMAPP]]*$N$4+Table22[[#This Row],[LSTMPP]]*$N$5</f>
        <v>24.546528782229085</v>
      </c>
      <c r="G2" s="2">
        <f>Table22[[#This Row],[PP]]/$N$2</f>
        <v>4.9093057564458169</v>
      </c>
      <c r="H2" s="4">
        <v>5</v>
      </c>
      <c r="I2" s="4">
        <f>Table22[[#This Row],[PPG]]*Table22[[#This Row],[Plays]]</f>
        <v>24.546528782229085</v>
      </c>
      <c r="J2" s="4">
        <v>24</v>
      </c>
      <c r="K2" s="2">
        <f>Table22[[#This Row],[APP]]/Table22[[#This Row],[Plays]]</f>
        <v>4.8</v>
      </c>
      <c r="M2" t="s">
        <v>14</v>
      </c>
      <c r="N2">
        <v>5</v>
      </c>
    </row>
    <row r="3" spans="1:14" x14ac:dyDescent="0.3">
      <c r="A3" t="s">
        <v>23</v>
      </c>
      <c r="B3" t="s">
        <v>19</v>
      </c>
      <c r="C3" t="s">
        <v>13</v>
      </c>
      <c r="D3">
        <v>2.0952382575623201</v>
      </c>
      <c r="E3">
        <v>43.137843586830201</v>
      </c>
      <c r="F3">
        <f>Table22[[#This Row],[ARIMAPP]]*$N$4+Table22[[#This Row],[LSTMPP]]*$N$5</f>
        <v>10.963130656134638</v>
      </c>
      <c r="G3" s="2">
        <f>Table22[[#This Row],[PP]]/$N$2</f>
        <v>2.1926261312269277</v>
      </c>
      <c r="H3" s="2">
        <v>1</v>
      </c>
      <c r="I3" s="2">
        <f>Table22[[#This Row],[PPG]]*Table22[[#This Row],[Plays]]</f>
        <v>2.1926261312269277</v>
      </c>
      <c r="J3" s="2">
        <v>2</v>
      </c>
      <c r="K3" s="2">
        <f>Table22[[#This Row],[APP]]/Table22[[#This Row],[Plays]]</f>
        <v>2</v>
      </c>
    </row>
    <row r="4" spans="1:14" x14ac:dyDescent="0.3">
      <c r="A4" t="s">
        <v>24</v>
      </c>
      <c r="B4" t="s">
        <v>16</v>
      </c>
      <c r="C4" t="s">
        <v>13</v>
      </c>
      <c r="D4">
        <v>3.9999999751647302</v>
      </c>
      <c r="E4">
        <v>42.100869088429498</v>
      </c>
      <c r="F4">
        <f>Table22[[#This Row],[ARIMAPP]]*$N$4+Table22[[#This Row],[LSTMPP]]*$N$5</f>
        <v>11.381979172442286</v>
      </c>
      <c r="G4" s="2">
        <f>Table22[[#This Row],[PP]]/$N$2</f>
        <v>2.2763958344884569</v>
      </c>
      <c r="H4" s="4">
        <v>2</v>
      </c>
      <c r="I4" s="4">
        <f>Table22[[#This Row],[PPG]]*Table22[[#This Row],[Plays]]</f>
        <v>4.5527916689769139</v>
      </c>
      <c r="J4" s="4">
        <v>2</v>
      </c>
      <c r="K4" s="2">
        <f>Table22[[#This Row],[APP]]/Table22[[#This Row],[Plays]]</f>
        <v>1</v>
      </c>
      <c r="M4" t="s">
        <v>17</v>
      </c>
      <c r="N4">
        <v>0.34902420117873034</v>
      </c>
    </row>
    <row r="5" spans="1:14" x14ac:dyDescent="0.3">
      <c r="A5" t="s">
        <v>25</v>
      </c>
      <c r="B5" t="s">
        <v>19</v>
      </c>
      <c r="C5" t="s">
        <v>13</v>
      </c>
      <c r="D5">
        <v>15.9999999650754</v>
      </c>
      <c r="E5">
        <v>46.487129326298401</v>
      </c>
      <c r="F5">
        <f>Table22[[#This Row],[ARIMAPP]]*$N$4+Table22[[#This Row],[LSTMPP]]*$N$5</f>
        <v>16.610644277365157</v>
      </c>
      <c r="G5" s="2">
        <f>Table22[[#This Row],[PP]]/$N$2</f>
        <v>3.3221288554730313</v>
      </c>
      <c r="H5" s="2">
        <v>3</v>
      </c>
      <c r="I5" s="2">
        <f>Table22[[#This Row],[PPG]]*Table22[[#This Row],[Plays]]</f>
        <v>9.9663865664190929</v>
      </c>
      <c r="J5" s="2">
        <v>8</v>
      </c>
      <c r="K5" s="2">
        <f>Table22[[#This Row],[APP]]/Table22[[#This Row],[Plays]]</f>
        <v>2.6666666666666665</v>
      </c>
      <c r="M5" t="s">
        <v>20</v>
      </c>
      <c r="N5">
        <v>0.23718945932970956</v>
      </c>
    </row>
    <row r="6" spans="1:14" x14ac:dyDescent="0.3">
      <c r="A6" t="s">
        <v>32</v>
      </c>
      <c r="B6" t="s">
        <v>19</v>
      </c>
      <c r="C6" t="s">
        <v>13</v>
      </c>
      <c r="D6">
        <v>39.047619068094498</v>
      </c>
      <c r="E6">
        <v>56.4435742078646</v>
      </c>
      <c r="F6">
        <f>Table22[[#This Row],[ARIMAPP]]*$N$4+Table22[[#This Row],[LSTMPP]]*$N$5</f>
        <v>27.016384902172785</v>
      </c>
      <c r="G6" s="2">
        <f>Table22[[#This Row],[PP]]/$N$2</f>
        <v>5.4032769804345566</v>
      </c>
      <c r="H6" s="4">
        <v>5</v>
      </c>
      <c r="I6" s="4">
        <f>Table22[[#This Row],[PPG]]*Table22[[#This Row],[Plays]]</f>
        <v>27.016384902172781</v>
      </c>
      <c r="J6" s="4">
        <v>32</v>
      </c>
      <c r="K6" s="2">
        <f>Table22[[#This Row],[APP]]/Table22[[#This Row],[Plays]]</f>
        <v>6.4</v>
      </c>
    </row>
    <row r="7" spans="1:14" x14ac:dyDescent="0.3">
      <c r="A7" t="s">
        <v>26</v>
      </c>
      <c r="B7" t="s">
        <v>16</v>
      </c>
      <c r="C7" t="s">
        <v>13</v>
      </c>
      <c r="D7">
        <v>8.9999999969663094</v>
      </c>
      <c r="E7">
        <v>46.496796108719003</v>
      </c>
      <c r="F7">
        <f>Table22[[#This Row],[ARIMAPP]]*$N$4+Table22[[#This Row],[LSTMPP]]*$N$5</f>
        <v>14.169767739140546</v>
      </c>
      <c r="G7" s="2">
        <f>Table22[[#This Row],[PP]]/$N$2</f>
        <v>2.8339535478281093</v>
      </c>
      <c r="H7" s="2">
        <v>5</v>
      </c>
      <c r="I7" s="2">
        <f>Table22[[#This Row],[PPG]]*Table22[[#This Row],[Plays]]</f>
        <v>14.169767739140546</v>
      </c>
      <c r="J7" s="2">
        <v>7</v>
      </c>
      <c r="K7" s="2">
        <f>Table22[[#This Row],[APP]]/Table22[[#This Row],[Plays]]</f>
        <v>1.4</v>
      </c>
      <c r="M7" t="s">
        <v>22</v>
      </c>
      <c r="N7" cm="1">
        <f t="array" ref="N7">(SUM(Table22[Tot]-Table22[APP]))^2</f>
        <v>6.1846694969327326E-28</v>
      </c>
    </row>
    <row r="8" spans="1:14" x14ac:dyDescent="0.3">
      <c r="A8" t="s">
        <v>31</v>
      </c>
      <c r="B8" t="s">
        <v>16</v>
      </c>
      <c r="C8" t="s">
        <v>13</v>
      </c>
      <c r="D8">
        <v>18.857141753200299</v>
      </c>
      <c r="E8">
        <v>57.898434472547699</v>
      </c>
      <c r="F8">
        <f>Table22[[#This Row],[ARIMAPP]]*$N$4+Table22[[#This Row],[LSTMPP]]*$N$5</f>
        <v>20.314497205505024</v>
      </c>
      <c r="G8" s="2">
        <f>Table22[[#This Row],[PP]]/$N$2</f>
        <v>4.0628994411010044</v>
      </c>
      <c r="H8" s="2">
        <v>5</v>
      </c>
      <c r="I8" s="2">
        <f>Table22[[#This Row],[PPG]]*Table22[[#This Row],[Plays]]</f>
        <v>20.31449720550502</v>
      </c>
      <c r="J8" s="2">
        <v>22</v>
      </c>
      <c r="K8" s="2">
        <f>Table22[[#This Row],[APP]]/Table22[[#This Row],[Plays]]</f>
        <v>4.4000000000000004</v>
      </c>
    </row>
    <row r="9" spans="1:14" x14ac:dyDescent="0.3">
      <c r="A9" t="s">
        <v>27</v>
      </c>
      <c r="B9" t="s">
        <v>19</v>
      </c>
      <c r="C9" t="s">
        <v>13</v>
      </c>
      <c r="D9">
        <v>12.999999981373501</v>
      </c>
      <c r="E9">
        <v>41.666610276358099</v>
      </c>
      <c r="F9">
        <f>Table22[[#This Row],[ARIMAPP]]*$N$4+Table22[[#This Row],[LSTMPP]]*$N$5</f>
        <v>14.420195372373493</v>
      </c>
      <c r="G9" s="2">
        <f>Table22[[#This Row],[PP]]/$N$2</f>
        <v>2.8840390744746989</v>
      </c>
      <c r="H9" s="2">
        <v>3</v>
      </c>
      <c r="I9" s="2">
        <f>Table22[[#This Row],[PPG]]*Table22[[#This Row],[Plays]]</f>
        <v>8.6521172234240957</v>
      </c>
      <c r="J9" s="2">
        <v>3</v>
      </c>
      <c r="K9" s="2">
        <f>Table22[[#This Row],[APP]]/Table22[[#This Row],[Plays]]</f>
        <v>1</v>
      </c>
    </row>
    <row r="10" spans="1:14" x14ac:dyDescent="0.3">
      <c r="A10" t="s">
        <v>28</v>
      </c>
      <c r="B10" t="s">
        <v>19</v>
      </c>
      <c r="C10" t="s">
        <v>13</v>
      </c>
      <c r="D10">
        <v>26.999999937911799</v>
      </c>
      <c r="E10">
        <v>57.159014797056201</v>
      </c>
      <c r="F10">
        <f>Table22[[#This Row],[ARIMAPP]]*$N$4+Table22[[#This Row],[LSTMPP]]*$N$5</f>
        <v>22.981169225688063</v>
      </c>
      <c r="G10" s="2">
        <f>Table22[[#This Row],[PP]]/$N$2</f>
        <v>4.596233845137613</v>
      </c>
      <c r="H10" s="4">
        <v>5</v>
      </c>
      <c r="I10" s="4">
        <f>Table22[[#This Row],[PPG]]*Table22[[#This Row],[Plays]]</f>
        <v>22.981169225688063</v>
      </c>
      <c r="J10" s="4">
        <v>21</v>
      </c>
      <c r="K10" s="2">
        <f>Table22[[#This Row],[APP]]/Table22[[#This Row],[Plays]]</f>
        <v>4.2</v>
      </c>
    </row>
    <row r="11" spans="1:14" x14ac:dyDescent="0.3">
      <c r="A11" t="s">
        <v>34</v>
      </c>
      <c r="B11" t="s">
        <v>16</v>
      </c>
      <c r="C11" t="s">
        <v>13</v>
      </c>
      <c r="D11">
        <v>3.3015154027892701</v>
      </c>
      <c r="E11">
        <v>43.695144636506498</v>
      </c>
      <c r="F11">
        <f>Table22[[#This Row],[ARIMAPP]]*$N$4+Table22[[#This Row],[LSTMPP]]*$N$5</f>
        <v>11.516336507804233</v>
      </c>
      <c r="G11" s="2">
        <f>Table22[[#This Row],[PP]]/$N$2</f>
        <v>2.3032673015608465</v>
      </c>
      <c r="H11" s="2">
        <v>4</v>
      </c>
      <c r="I11" s="2">
        <f>Table22[[#This Row],[PPG]]*Table22[[#This Row],[Plays]]</f>
        <v>9.2130692062433859</v>
      </c>
      <c r="J11" s="2">
        <v>3</v>
      </c>
      <c r="K11" s="2">
        <f>Table22[[#This Row],[APP]]/Table22[[#This Row],[Plays]]</f>
        <v>0.75</v>
      </c>
    </row>
    <row r="12" spans="1:14" x14ac:dyDescent="0.3">
      <c r="A12" t="s">
        <v>33</v>
      </c>
      <c r="B12" t="s">
        <v>12</v>
      </c>
      <c r="C12" t="s">
        <v>13</v>
      </c>
      <c r="D12">
        <v>16.9999999671297</v>
      </c>
      <c r="E12">
        <v>57.4942973885207</v>
      </c>
      <c r="F12">
        <f>Table22[[#This Row],[ARIMAPP]]*$N$4+Table22[[#This Row],[LSTMPP]]*$N$5</f>
        <v>19.570452720690643</v>
      </c>
      <c r="G12" s="2">
        <f>Table22[[#This Row],[PP]]/$N$2</f>
        <v>3.9140905441381286</v>
      </c>
      <c r="H12" s="4">
        <v>5</v>
      </c>
      <c r="I12" s="4">
        <f>Table22[[#This Row],[PPG]]*Table22[[#This Row],[Plays]]</f>
        <v>19.570452720690643</v>
      </c>
      <c r="J12" s="4">
        <v>17</v>
      </c>
      <c r="K12" s="2">
        <f>Table22[[#This Row],[APP]]/Table22[[#This Row],[Plays]]</f>
        <v>3.4</v>
      </c>
    </row>
    <row r="13" spans="1:14" x14ac:dyDescent="0.3">
      <c r="A13" t="s">
        <v>29</v>
      </c>
      <c r="B13" t="s">
        <v>16</v>
      </c>
      <c r="C13" t="s">
        <v>13</v>
      </c>
      <c r="D13">
        <v>27.6190447108225</v>
      </c>
      <c r="E13">
        <v>60.023974294715103</v>
      </c>
      <c r="F13">
        <f>Table22[[#This Row],[ARIMAPP]]*$N$4+Table22[[#This Row],[LSTMPP]]*$N$5</f>
        <v>23.87676902729832</v>
      </c>
      <c r="G13" s="2">
        <f>Table22[[#This Row],[PP]]/$N$2</f>
        <v>4.7753538054596643</v>
      </c>
      <c r="H13" s="2">
        <v>5</v>
      </c>
      <c r="I13" s="2">
        <f>Table22[[#This Row],[PPG]]*Table22[[#This Row],[Plays]]</f>
        <v>23.876769027298323</v>
      </c>
      <c r="J13" s="2">
        <v>26</v>
      </c>
      <c r="K13" s="2">
        <f>Table22[[#This Row],[APP]]/Table22[[#This Row],[Plays]]</f>
        <v>5.2</v>
      </c>
    </row>
    <row r="14" spans="1:14" x14ac:dyDescent="0.3">
      <c r="A14" t="s">
        <v>35</v>
      </c>
      <c r="B14" t="s">
        <v>19</v>
      </c>
      <c r="C14" t="s">
        <v>13</v>
      </c>
      <c r="D14">
        <v>2.8095237614890798</v>
      </c>
      <c r="E14">
        <v>43.751918272282197</v>
      </c>
      <c r="F14">
        <f>Table22[[#This Row],[ARIMAPP]]*$N$4+Table22[[#This Row],[LSTMPP]]*$N$5</f>
        <v>11.358085626186641</v>
      </c>
      <c r="G14" s="2">
        <f>Table22[[#This Row],[PP]]/$N$2</f>
        <v>2.2716171252373281</v>
      </c>
      <c r="H14" s="2">
        <v>3</v>
      </c>
      <c r="I14" s="2">
        <f>Table22[[#This Row],[PPG]]*Table22[[#This Row],[Plays]]</f>
        <v>6.8148513757119842</v>
      </c>
      <c r="J14" s="2">
        <v>4</v>
      </c>
      <c r="K14" s="2">
        <f>Table22[[#This Row],[APP]]/Table22[[#This Row],[Plays]]</f>
        <v>1.3333333333333333</v>
      </c>
    </row>
    <row r="15" spans="1:14" x14ac:dyDescent="0.3">
      <c r="A15" t="s">
        <v>30</v>
      </c>
      <c r="B15" t="s">
        <v>19</v>
      </c>
      <c r="C15" t="s">
        <v>13</v>
      </c>
      <c r="D15">
        <v>31.333333210243001</v>
      </c>
      <c r="E15">
        <v>69.545852987654399</v>
      </c>
      <c r="F15">
        <f>Table22[[#This Row],[ARIMAPP]]*$N$4+Table22[[#This Row],[LSTMPP]]*$N$5</f>
        <v>27.431634862737262</v>
      </c>
      <c r="G15" s="2">
        <f>Table22[[#This Row],[PP]]/$N$2</f>
        <v>5.4863269725474524</v>
      </c>
      <c r="H15" s="4">
        <v>5</v>
      </c>
      <c r="I15" s="4">
        <f>Table22[[#This Row],[PPG]]*Table22[[#This Row],[Plays]]</f>
        <v>27.431634862737262</v>
      </c>
      <c r="J15" s="4">
        <v>34</v>
      </c>
      <c r="K15" s="2">
        <f>Table22[[#This Row],[APP]]/Table22[[#This Row],[Plays]]</f>
        <v>6.8</v>
      </c>
    </row>
    <row r="16" spans="1:14" x14ac:dyDescent="0.3">
      <c r="A16" t="s">
        <v>36</v>
      </c>
      <c r="B16" t="s">
        <v>16</v>
      </c>
      <c r="C16" t="s">
        <v>13</v>
      </c>
      <c r="D16">
        <v>33.428573743391098</v>
      </c>
      <c r="E16">
        <v>59.680993831244301</v>
      </c>
      <c r="F16">
        <f>Table22[[#This Row],[ARIMAPP]]*$N$4+Table22[[#This Row],[LSTMPP]]*$N$5</f>
        <v>25.823083906423925</v>
      </c>
      <c r="G16" s="2">
        <f>Table22[[#This Row],[PP]]/$N$2</f>
        <v>5.164616781284785</v>
      </c>
      <c r="H16" s="2">
        <v>5</v>
      </c>
      <c r="I16" s="6">
        <f>Table22[[#This Row],[PPG]]*Table22[[#This Row],[Plays]]</f>
        <v>25.823083906423925</v>
      </c>
      <c r="J16" s="2">
        <v>29</v>
      </c>
      <c r="K16" s="6">
        <f>Table22[[#This Row],[APP]]/Table22[[#This Row],[Plays]]</f>
        <v>5.8</v>
      </c>
    </row>
    <row r="17" spans="1:11" x14ac:dyDescent="0.3">
      <c r="A17" t="s">
        <v>37</v>
      </c>
      <c r="B17" t="s">
        <v>15</v>
      </c>
      <c r="C17" t="s">
        <v>13</v>
      </c>
      <c r="D17">
        <v>36.238095095160503</v>
      </c>
      <c r="E17">
        <v>58.056586117523203</v>
      </c>
      <c r="F17">
        <f>Table22[[#This Row],[ARIMAPP]]*$N$4+Table22[[#This Row],[LSTMPP]]*$N$5</f>
        <v>26.418382464571309</v>
      </c>
      <c r="G17" s="2">
        <f>Table22[[#This Row],[PP]]/$N$2</f>
        <v>5.2836764929142621</v>
      </c>
      <c r="H17" s="2">
        <v>5</v>
      </c>
      <c r="I17" s="6">
        <f>Table22[[#This Row],[PPG]]*Table22[[#This Row],[Plays]]</f>
        <v>26.418382464571309</v>
      </c>
      <c r="J17" s="2">
        <v>32</v>
      </c>
      <c r="K17" s="6">
        <f>Table22[[#This Row],[APP]]/Table22[[#This Row],[Plays]]</f>
        <v>6.4</v>
      </c>
    </row>
    <row r="18" spans="1:11" x14ac:dyDescent="0.3">
      <c r="A18" t="s">
        <v>38</v>
      </c>
      <c r="B18" t="s">
        <v>16</v>
      </c>
      <c r="C18" t="s">
        <v>13</v>
      </c>
      <c r="D18">
        <v>20</v>
      </c>
      <c r="E18">
        <v>51.092746686861197</v>
      </c>
      <c r="F18">
        <f>Table22[[#This Row],[ARIMAPP]]*$N$4+Table22[[#This Row],[LSTMPP]]*$N$5</f>
        <v>19.099144985901024</v>
      </c>
      <c r="G18" s="2">
        <f>Table22[[#This Row],[PP]]/$N$2</f>
        <v>3.8198289971802049</v>
      </c>
      <c r="H18" s="2">
        <v>3</v>
      </c>
      <c r="I18" s="6">
        <f>Table22[[#This Row],[PPG]]*Table22[[#This Row],[Plays]]</f>
        <v>11.459486991540615</v>
      </c>
      <c r="J18" s="2">
        <v>19</v>
      </c>
      <c r="K18" s="6">
        <f>Table22[[#This Row],[APP]]/Table22[[#This Row],[Plays]]</f>
        <v>6.333333333333333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631A-02E9-4E74-A125-36ED8DEAAB2B}">
  <dimension ref="A1:N20"/>
  <sheetViews>
    <sheetView workbookViewId="0">
      <selection activeCell="O22" sqref="O22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40</v>
      </c>
      <c r="B2" t="s">
        <v>19</v>
      </c>
      <c r="C2" t="s">
        <v>41</v>
      </c>
      <c r="D2">
        <v>6.6190464051286897</v>
      </c>
      <c r="E2">
        <v>47.6245819169688</v>
      </c>
      <c r="F2">
        <f>Table223[[#This Row],[ARIMAPP]]*$N$4+Table223[[#This Row],[LSTMPP]]*$N$5</f>
        <v>8.1823103449386121</v>
      </c>
      <c r="G2" s="2">
        <f>Table223[[#This Row],[PP]]/$N$2</f>
        <v>1.6364620689877225</v>
      </c>
      <c r="H2" s="2">
        <v>5</v>
      </c>
      <c r="I2" s="2">
        <f>Table223[[#This Row],[PPG]]*Table223[[#This Row],[Plays]]</f>
        <v>8.1823103449386121</v>
      </c>
      <c r="J2" s="2">
        <v>7</v>
      </c>
      <c r="K2" s="3">
        <f>Table223[[#This Row],[APP]]/Table223[[#This Row],[Plays]]</f>
        <v>1.4</v>
      </c>
      <c r="M2" t="s">
        <v>14</v>
      </c>
      <c r="N2">
        <v>5</v>
      </c>
    </row>
    <row r="3" spans="1:14" x14ac:dyDescent="0.3">
      <c r="A3" t="s">
        <v>42</v>
      </c>
      <c r="B3" t="s">
        <v>15</v>
      </c>
      <c r="C3" t="s">
        <v>41</v>
      </c>
      <c r="D3">
        <v>12.9523816854282</v>
      </c>
      <c r="E3">
        <v>49.778664858946598</v>
      </c>
      <c r="F3">
        <f>Table223[[#This Row],[ARIMAPP]]*$N$4+Table223[[#This Row],[LSTMPP]]*$N$5</f>
        <v>10.773857294978036</v>
      </c>
      <c r="G3" s="2">
        <f>Table223[[#This Row],[PP]]/$N$2</f>
        <v>2.1547714589956071</v>
      </c>
      <c r="H3" s="4">
        <v>5</v>
      </c>
      <c r="I3" s="4">
        <f>Table223[[#This Row],[PPG]]*Table223[[#This Row],[Plays]]</f>
        <v>10.773857294978036</v>
      </c>
      <c r="J3" s="4">
        <v>11</v>
      </c>
      <c r="K3" s="2">
        <f>Table223[[#This Row],[APP]]/Table223[[#This Row],[Plays]]</f>
        <v>2.2000000000000002</v>
      </c>
    </row>
    <row r="4" spans="1:14" x14ac:dyDescent="0.3">
      <c r="A4" t="s">
        <v>43</v>
      </c>
      <c r="B4" t="s">
        <v>12</v>
      </c>
      <c r="C4" t="s">
        <v>41</v>
      </c>
      <c r="D4">
        <v>22.1428564756228</v>
      </c>
      <c r="E4">
        <v>59.796768035938697</v>
      </c>
      <c r="F4">
        <f>Table223[[#This Row],[ARIMAPP]]*$N$4+Table223[[#This Row],[LSTMPP]]*$N$5</f>
        <v>15.36600536881922</v>
      </c>
      <c r="G4" s="2">
        <f>Table223[[#This Row],[PP]]/$N$2</f>
        <v>3.073201073763844</v>
      </c>
      <c r="H4" s="2">
        <v>5</v>
      </c>
      <c r="I4" s="2">
        <f>Table223[[#This Row],[PPG]]*Table223[[#This Row],[Plays]]</f>
        <v>15.36600536881922</v>
      </c>
      <c r="J4" s="2">
        <v>19</v>
      </c>
      <c r="K4" s="2">
        <f>Table223[[#This Row],[APP]]/Table223[[#This Row],[Plays]]</f>
        <v>3.8</v>
      </c>
      <c r="M4" t="s">
        <v>17</v>
      </c>
      <c r="N4">
        <v>0.3681595184911351</v>
      </c>
    </row>
    <row r="5" spans="1:14" x14ac:dyDescent="0.3">
      <c r="A5" t="s">
        <v>21</v>
      </c>
      <c r="B5" t="s">
        <v>16</v>
      </c>
      <c r="C5" t="s">
        <v>41</v>
      </c>
      <c r="D5">
        <v>3.47619041844874</v>
      </c>
      <c r="E5">
        <v>43.552672136772799</v>
      </c>
      <c r="F5">
        <f>Table223[[#This Row],[ARIMAPP]]*$N$4+Table223[[#This Row],[LSTMPP]]*$N$5</f>
        <v>6.5340014475545871</v>
      </c>
      <c r="G5" s="2">
        <f>Table223[[#This Row],[PP]]/$N$2</f>
        <v>1.3068002895109174</v>
      </c>
      <c r="H5" s="4">
        <v>2</v>
      </c>
      <c r="I5" s="4">
        <f>Table223[[#This Row],[PPG]]*Table223[[#This Row],[Plays]]</f>
        <v>2.6136005790218348</v>
      </c>
      <c r="J5" s="4">
        <v>3</v>
      </c>
      <c r="K5" s="2">
        <f>Table223[[#This Row],[APP]]/Table223[[#This Row],[Plays]]</f>
        <v>1.5</v>
      </c>
      <c r="M5" t="s">
        <v>20</v>
      </c>
      <c r="N5">
        <v>0.12064033270828219</v>
      </c>
    </row>
    <row r="6" spans="1:14" x14ac:dyDescent="0.3">
      <c r="A6" t="s">
        <v>44</v>
      </c>
      <c r="B6" t="s">
        <v>16</v>
      </c>
      <c r="C6" t="s">
        <v>41</v>
      </c>
      <c r="D6">
        <v>3.2857141641497498</v>
      </c>
      <c r="E6">
        <v>44.530280644077401</v>
      </c>
      <c r="F6">
        <f>Table223[[#This Row],[ARIMAPP]]*$N$4+Table223[[#This Row],[LSTMPP]]*$N$5</f>
        <v>6.5818148170675501</v>
      </c>
      <c r="G6" s="2">
        <f>Table223[[#This Row],[PP]]/$N$2</f>
        <v>1.3163629634135101</v>
      </c>
      <c r="H6" s="2">
        <v>5</v>
      </c>
      <c r="I6" s="2">
        <f>Table223[[#This Row],[PPG]]*Table223[[#This Row],[Plays]]</f>
        <v>6.581814817067551</v>
      </c>
      <c r="J6" s="2">
        <v>4</v>
      </c>
      <c r="K6" s="2">
        <f>Table223[[#This Row],[APP]]/Table223[[#This Row],[Plays]]</f>
        <v>0.8</v>
      </c>
    </row>
    <row r="7" spans="1:14" x14ac:dyDescent="0.3">
      <c r="A7" t="s">
        <v>45</v>
      </c>
      <c r="B7" t="s">
        <v>19</v>
      </c>
      <c r="C7" t="s">
        <v>41</v>
      </c>
      <c r="D7">
        <v>9.9999999871956398</v>
      </c>
      <c r="E7">
        <v>45.830057689932701</v>
      </c>
      <c r="F7">
        <f>Table223[[#This Row],[ARIMAPP]]*$N$4+Table223[[#This Row],[LSTMPP]]*$N$5</f>
        <v>9.2105485879505515</v>
      </c>
      <c r="G7" s="2">
        <f>Table223[[#This Row],[PP]]/$N$2</f>
        <v>1.8421097175901102</v>
      </c>
      <c r="H7" s="2">
        <v>5</v>
      </c>
      <c r="I7" s="2">
        <f>Table223[[#This Row],[PPG]]*Table223[[#This Row],[Plays]]</f>
        <v>9.2105485879505515</v>
      </c>
      <c r="J7" s="2">
        <v>8</v>
      </c>
      <c r="K7" s="2">
        <f>Table223[[#This Row],[APP]]/Table223[[#This Row],[Plays]]</f>
        <v>1.6</v>
      </c>
      <c r="M7" t="s">
        <v>22</v>
      </c>
      <c r="N7" cm="1">
        <f t="array" ref="N7">(SUM(Table223[Tot]-Table223[APP]))^2</f>
        <v>7.8886090522101181E-31</v>
      </c>
    </row>
    <row r="8" spans="1:14" x14ac:dyDescent="0.3">
      <c r="A8" t="s">
        <v>46</v>
      </c>
      <c r="B8" t="s">
        <v>16</v>
      </c>
      <c r="C8" t="s">
        <v>41</v>
      </c>
      <c r="D8">
        <v>4.4285690036029903</v>
      </c>
      <c r="E8">
        <v>43.057807795059198</v>
      </c>
      <c r="F8">
        <f>Table223[[#This Row],[ARIMAPP]]*$N$4+Table223[[#This Row],[LSTMPP]]*$N$5</f>
        <v>6.8249280900564502</v>
      </c>
      <c r="G8" s="2">
        <f>Table223[[#This Row],[PP]]/$N$2</f>
        <v>1.36498561801129</v>
      </c>
      <c r="H8" s="2">
        <v>3</v>
      </c>
      <c r="I8" s="2">
        <f>Table223[[#This Row],[PPG]]*Table223[[#This Row],[Plays]]</f>
        <v>4.0949568540338701</v>
      </c>
      <c r="J8" s="2">
        <v>4</v>
      </c>
      <c r="K8" s="2">
        <f>Table223[[#This Row],[APP]]/Table223[[#This Row],[Plays]]</f>
        <v>1.3333333333333333</v>
      </c>
    </row>
    <row r="9" spans="1:14" x14ac:dyDescent="0.3">
      <c r="A9" t="s">
        <v>47</v>
      </c>
      <c r="B9" t="s">
        <v>15</v>
      </c>
      <c r="C9" t="s">
        <v>41</v>
      </c>
      <c r="D9">
        <v>27.238108802111899</v>
      </c>
      <c r="E9">
        <v>56.556199403579001</v>
      </c>
      <c r="F9">
        <f>Table223[[#This Row],[ARIMAPP]]*$N$4+Table223[[#This Row],[LSTMPP]]*$N$5</f>
        <v>16.850927733958386</v>
      </c>
      <c r="G9" s="2">
        <f>Table223[[#This Row],[PP]]/$N$2</f>
        <v>3.370185546791677</v>
      </c>
      <c r="H9" s="4">
        <v>5</v>
      </c>
      <c r="I9" s="4">
        <f>Table223[[#This Row],[PPG]]*Table223[[#This Row],[Plays]]</f>
        <v>16.850927733958386</v>
      </c>
      <c r="J9" s="4">
        <v>22</v>
      </c>
      <c r="K9" s="2">
        <f>Table223[[#This Row],[APP]]/Table223[[#This Row],[Plays]]</f>
        <v>4.4000000000000004</v>
      </c>
    </row>
    <row r="10" spans="1:14" x14ac:dyDescent="0.3">
      <c r="A10" t="s">
        <v>48</v>
      </c>
      <c r="B10" t="s">
        <v>19</v>
      </c>
      <c r="C10" t="s">
        <v>41</v>
      </c>
      <c r="D10">
        <v>16.3333313302501</v>
      </c>
      <c r="E10">
        <v>51.436123607199697</v>
      </c>
      <c r="F10">
        <f>Table223[[#This Row],[ARIMAPP]]*$N$4+Table223[[#This Row],[LSTMPP]]*$N$5</f>
        <v>12.218542463097947</v>
      </c>
      <c r="G10" s="2">
        <f>Table223[[#This Row],[PP]]/$N$2</f>
        <v>2.4437084926195896</v>
      </c>
      <c r="H10" s="4">
        <v>5</v>
      </c>
      <c r="I10" s="4">
        <f>Table223[[#This Row],[PPG]]*Table223[[#This Row],[Plays]]</f>
        <v>12.218542463097947</v>
      </c>
      <c r="J10" s="4">
        <v>14</v>
      </c>
      <c r="K10" s="2">
        <f>Table223[[#This Row],[APP]]/Table223[[#This Row],[Plays]]</f>
        <v>2.8</v>
      </c>
    </row>
    <row r="11" spans="1:14" x14ac:dyDescent="0.3">
      <c r="A11" t="s">
        <v>49</v>
      </c>
      <c r="B11" t="s">
        <v>16</v>
      </c>
      <c r="C11" t="s">
        <v>41</v>
      </c>
      <c r="D11">
        <v>6.3809523174569298</v>
      </c>
      <c r="E11">
        <v>45.5225230411518</v>
      </c>
      <c r="F11">
        <f>Table223[[#This Row],[ARIMAPP]]*$N$4+Table223[[#This Row],[LSTMPP]]*$N$5</f>
        <v>7.8410606581148308</v>
      </c>
      <c r="G11" s="2">
        <f>Table223[[#This Row],[PP]]/$N$2</f>
        <v>1.5682121316229662</v>
      </c>
      <c r="H11" s="2">
        <v>5</v>
      </c>
      <c r="I11" s="2">
        <f>Table223[[#This Row],[PPG]]*Table223[[#This Row],[Plays]]</f>
        <v>7.8410606581148308</v>
      </c>
      <c r="J11" s="2">
        <v>6</v>
      </c>
      <c r="K11" s="2">
        <f>Table223[[#This Row],[APP]]/Table223[[#This Row],[Plays]]</f>
        <v>1.2</v>
      </c>
    </row>
    <row r="12" spans="1:14" x14ac:dyDescent="0.3">
      <c r="A12" t="s">
        <v>50</v>
      </c>
      <c r="B12" t="s">
        <v>16</v>
      </c>
      <c r="C12" t="s">
        <v>41</v>
      </c>
      <c r="D12">
        <v>5.8095239427925103</v>
      </c>
      <c r="E12">
        <v>44.211069448709601</v>
      </c>
      <c r="F12">
        <f>Table223[[#This Row],[ARIMAPP]]*$N$4+Table223[[#This Row],[LSTMPP]]*$N$5</f>
        <v>7.4724696651225075</v>
      </c>
      <c r="G12" s="2">
        <f>Table223[[#This Row],[PP]]/$N$2</f>
        <v>1.4944939330245015</v>
      </c>
      <c r="H12" s="4">
        <v>5</v>
      </c>
      <c r="I12" s="4">
        <f>Table223[[#This Row],[PPG]]*Table223[[#This Row],[Plays]]</f>
        <v>7.4724696651225075</v>
      </c>
      <c r="J12" s="4">
        <v>5</v>
      </c>
      <c r="K12" s="2">
        <f>Table223[[#This Row],[APP]]/Table223[[#This Row],[Plays]]</f>
        <v>1</v>
      </c>
    </row>
    <row r="13" spans="1:14" x14ac:dyDescent="0.3">
      <c r="A13" t="s">
        <v>51</v>
      </c>
      <c r="B13" t="s">
        <v>19</v>
      </c>
      <c r="C13" t="s">
        <v>41</v>
      </c>
      <c r="D13">
        <v>11.8571388126672</v>
      </c>
      <c r="E13">
        <v>49.183649361258901</v>
      </c>
      <c r="F13">
        <f>Table223[[#This Row],[ARIMAPP]]*$N$4+Table223[[#This Row],[LSTMPP]]*$N$5</f>
        <v>10.29885033870387</v>
      </c>
      <c r="G13" s="2">
        <f>Table223[[#This Row],[PP]]/$N$2</f>
        <v>2.0597700677407742</v>
      </c>
      <c r="H13" s="2">
        <v>5</v>
      </c>
      <c r="I13" s="2">
        <f>Table223[[#This Row],[PPG]]*Table223[[#This Row],[Plays]]</f>
        <v>10.298850338703872</v>
      </c>
      <c r="J13" s="2">
        <v>11</v>
      </c>
      <c r="K13" s="2">
        <f>Table223[[#This Row],[APP]]/Table223[[#This Row],[Plays]]</f>
        <v>2.2000000000000002</v>
      </c>
    </row>
    <row r="14" spans="1:14" x14ac:dyDescent="0.3">
      <c r="A14" t="s">
        <v>52</v>
      </c>
      <c r="B14" t="s">
        <v>19</v>
      </c>
      <c r="C14" t="s">
        <v>41</v>
      </c>
      <c r="D14">
        <v>16.333331872284599</v>
      </c>
      <c r="E14">
        <v>49.531862916595202</v>
      </c>
      <c r="F14">
        <f>Table223[[#This Row],[ARIMAPP]]*$N$4+Table223[[#This Row],[LSTMPP]]*$N$5</f>
        <v>11.988812019375278</v>
      </c>
      <c r="G14" s="2">
        <f>Table223[[#This Row],[PP]]/$N$2</f>
        <v>2.3977624038750553</v>
      </c>
      <c r="H14" s="4">
        <v>4</v>
      </c>
      <c r="I14" s="4">
        <f>Table223[[#This Row],[PPG]]*Table223[[#This Row],[Plays]]</f>
        <v>9.5910496155002214</v>
      </c>
      <c r="J14" s="4">
        <v>11</v>
      </c>
      <c r="K14" s="2">
        <f>Table223[[#This Row],[APP]]/Table223[[#This Row],[Plays]]</f>
        <v>2.75</v>
      </c>
    </row>
    <row r="15" spans="1:14" x14ac:dyDescent="0.3">
      <c r="A15" t="s">
        <v>53</v>
      </c>
      <c r="B15" t="s">
        <v>19</v>
      </c>
      <c r="C15" t="s">
        <v>41</v>
      </c>
      <c r="D15">
        <v>7.9999999872770102</v>
      </c>
      <c r="E15">
        <v>44.994053894019899</v>
      </c>
      <c r="F15">
        <f>Table223[[#This Row],[ARIMAPP]]*$N$4+Table223[[#This Row],[LSTMPP]]*$N$5</f>
        <v>8.3733737749139312</v>
      </c>
      <c r="G15" s="2">
        <f>Table223[[#This Row],[PP]]/$N$2</f>
        <v>1.6746747549827863</v>
      </c>
      <c r="H15" s="2">
        <v>5</v>
      </c>
      <c r="I15" s="2">
        <f>Table223[[#This Row],[PPG]]*Table223[[#This Row],[Plays]]</f>
        <v>8.3733737749139312</v>
      </c>
      <c r="J15" s="2">
        <v>6</v>
      </c>
      <c r="K15" s="2">
        <f>Table223[[#This Row],[APP]]/Table223[[#This Row],[Plays]]</f>
        <v>1.2</v>
      </c>
    </row>
    <row r="16" spans="1:14" x14ac:dyDescent="0.3">
      <c r="A16" t="s">
        <v>54</v>
      </c>
      <c r="B16" t="s">
        <v>16</v>
      </c>
      <c r="C16" t="s">
        <v>41</v>
      </c>
      <c r="D16">
        <v>2.9999999880258499</v>
      </c>
      <c r="E16">
        <v>42.219697681879197</v>
      </c>
      <c r="F16">
        <f>Table223[[#This Row],[ARIMAPP]]*$N$4+Table223[[#This Row],[LSTMPP]]*$N$5</f>
        <v>6.1978769262500046</v>
      </c>
      <c r="G16" s="2">
        <f>Table223[[#This Row],[PP]]/$N$2</f>
        <v>1.2395753852500009</v>
      </c>
      <c r="H16" s="2">
        <v>2</v>
      </c>
      <c r="I16" s="2">
        <f>Table223[[#This Row],[PPG]]*Table223[[#This Row],[Plays]]</f>
        <v>2.4791507705000018</v>
      </c>
      <c r="J16" s="2">
        <v>3</v>
      </c>
      <c r="K16" s="2">
        <f>Table223[[#This Row],[APP]]/Table223[[#This Row],[Plays]]</f>
        <v>1.5</v>
      </c>
    </row>
    <row r="17" spans="1:11" x14ac:dyDescent="0.3">
      <c r="A17" t="s">
        <v>55</v>
      </c>
      <c r="B17" t="s">
        <v>19</v>
      </c>
      <c r="C17" t="s">
        <v>41</v>
      </c>
      <c r="D17">
        <v>8.9523810328942002</v>
      </c>
      <c r="E17">
        <v>49.087937517975497</v>
      </c>
      <c r="F17">
        <f>Table223[[#This Row],[ARIMAPP]]*$N$4+Table223[[#This Row],[LSTMPP]]*$N$5</f>
        <v>9.2178894045514319</v>
      </c>
      <c r="G17" s="6">
        <f>Table223[[#This Row],[PP]]/$N$2</f>
        <v>1.8435778809102863</v>
      </c>
      <c r="H17" s="2">
        <v>5</v>
      </c>
      <c r="I17" s="6">
        <f>Table223[[#This Row],[PPG]]*Table223[[#This Row],[Plays]]</f>
        <v>9.2178894045514319</v>
      </c>
      <c r="J17" s="2">
        <v>9</v>
      </c>
      <c r="K17" s="6">
        <f>Table223[[#This Row],[APP]]/Table223[[#This Row],[Plays]]</f>
        <v>1.8</v>
      </c>
    </row>
    <row r="18" spans="1:11" x14ac:dyDescent="0.3">
      <c r="A18" t="s">
        <v>56</v>
      </c>
      <c r="B18" t="s">
        <v>15</v>
      </c>
      <c r="C18" t="s">
        <v>41</v>
      </c>
      <c r="D18">
        <v>1.9999999751647299</v>
      </c>
      <c r="E18">
        <v>43.704830699524599</v>
      </c>
      <c r="F18">
        <f>Table223[[#This Row],[ARIMAPP]]*$N$4+Table223[[#This Row],[LSTMPP]]*$N$5</f>
        <v>6.0088843443887221</v>
      </c>
      <c r="G18" s="6">
        <f>Table223[[#This Row],[PP]]/$N$2</f>
        <v>1.2017768688777444</v>
      </c>
      <c r="H18" s="2">
        <v>2</v>
      </c>
      <c r="I18" s="6">
        <f>Table223[[#This Row],[PPG]]*Table223[[#This Row],[Plays]]</f>
        <v>2.4035537377554888</v>
      </c>
      <c r="J18" s="2">
        <v>2</v>
      </c>
      <c r="K18" s="6">
        <f>Table223[[#This Row],[APP]]/Table223[[#This Row],[Plays]]</f>
        <v>1</v>
      </c>
    </row>
    <row r="19" spans="1:11" x14ac:dyDescent="0.3">
      <c r="A19" t="s">
        <v>57</v>
      </c>
      <c r="B19" t="s">
        <v>16</v>
      </c>
      <c r="C19" t="s">
        <v>41</v>
      </c>
      <c r="D19">
        <v>1.3809528225765599</v>
      </c>
      <c r="E19">
        <v>41.451610091251801</v>
      </c>
      <c r="F19">
        <f>Table223[[#This Row],[ARIMAPP]]*$N$4+Table223[[#This Row],[LSTMPP]]*$N$5</f>
        <v>5.5091469589213649</v>
      </c>
      <c r="G19" s="6">
        <f>Table223[[#This Row],[PP]]/$N$2</f>
        <v>1.101829391784273</v>
      </c>
      <c r="H19" s="2">
        <v>2</v>
      </c>
      <c r="I19" s="6">
        <f>Table223[[#This Row],[PPG]]*Table223[[#This Row],[Plays]]</f>
        <v>2.2036587835685459</v>
      </c>
      <c r="J19" s="2">
        <v>1</v>
      </c>
      <c r="K19" s="6">
        <f>Table223[[#This Row],[APP]]/Table223[[#This Row],[Plays]]</f>
        <v>0.5</v>
      </c>
    </row>
    <row r="20" spans="1:11" x14ac:dyDescent="0.3">
      <c r="A20" t="s">
        <v>58</v>
      </c>
      <c r="B20" t="s">
        <v>19</v>
      </c>
      <c r="C20" t="s">
        <v>41</v>
      </c>
      <c r="D20">
        <v>9.8000084776362293</v>
      </c>
      <c r="E20">
        <v>44.968440364272297</v>
      </c>
      <c r="F20">
        <f>Table223[[#This Row],[ARIMAPP]]*$N$4+Table223[[#This Row],[LSTMPP]]*$N$5</f>
        <v>9.0329740092539517</v>
      </c>
      <c r="G20" s="6">
        <f>Table223[[#This Row],[PP]]/$N$2</f>
        <v>1.8065948018507902</v>
      </c>
      <c r="H20" s="2">
        <v>4</v>
      </c>
      <c r="I20" s="6">
        <f>Table223[[#This Row],[PPG]]*Table223[[#This Row],[Plays]]</f>
        <v>7.226379207403161</v>
      </c>
      <c r="J20" s="2">
        <v>7</v>
      </c>
      <c r="K20" s="6">
        <f>Table223[[#This Row],[APP]]/Table223[[#This Row],[Plays]]</f>
        <v>1.75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1655-EE38-42A1-90EA-DB85A16EE746}">
  <dimension ref="A1:N24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4" width="12.6640625" bestFit="1" customWidth="1"/>
    <col min="5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39</v>
      </c>
      <c r="B2" t="s">
        <v>16</v>
      </c>
      <c r="C2" t="s">
        <v>79</v>
      </c>
      <c r="D2">
        <v>12.4</v>
      </c>
      <c r="E2">
        <v>41.324889517206401</v>
      </c>
      <c r="F2">
        <f>Table2234[[#This Row],[ARIMAPP]]*$N$4+Table2234[[#This Row],[LSTMPP]]*$N$5</f>
        <v>10.203163684919961</v>
      </c>
      <c r="G2" s="2">
        <f>Table2234[[#This Row],[PP]]/$N$2</f>
        <v>2.0406327369839921</v>
      </c>
      <c r="H2" s="2">
        <v>5</v>
      </c>
      <c r="I2" s="2">
        <f>Table2234[[#This Row],[PPG]]*Table2234[[#This Row],[Plays]]</f>
        <v>10.203163684919961</v>
      </c>
      <c r="J2" s="2">
        <v>8</v>
      </c>
      <c r="K2" s="3">
        <f>Table2234[[#This Row],[APP]]/Table2234[[#This Row],[Plays]]</f>
        <v>1.6</v>
      </c>
      <c r="M2" t="s">
        <v>14</v>
      </c>
      <c r="N2">
        <v>5</v>
      </c>
    </row>
    <row r="3" spans="1:14" x14ac:dyDescent="0.3">
      <c r="A3" t="s">
        <v>80</v>
      </c>
      <c r="B3" t="s">
        <v>19</v>
      </c>
      <c r="C3" t="s">
        <v>79</v>
      </c>
      <c r="D3">
        <v>1.9999999751647299</v>
      </c>
      <c r="E3">
        <v>41.287402997696098</v>
      </c>
      <c r="F3">
        <f>Table2234[[#This Row],[ARIMAPP]]*$N$4+Table2234[[#This Row],[LSTMPP]]*$N$5</f>
        <v>6.3801968634119479</v>
      </c>
      <c r="G3" s="2">
        <f>Table2234[[#This Row],[PP]]/$N$2</f>
        <v>1.2760393726823895</v>
      </c>
      <c r="H3" s="4">
        <v>2</v>
      </c>
      <c r="I3" s="4">
        <f>Table2234[[#This Row],[PPG]]*Table2234[[#This Row],[Plays]]</f>
        <v>2.5520787453647791</v>
      </c>
      <c r="J3" s="4">
        <v>2</v>
      </c>
      <c r="K3" s="2">
        <f>Table2234[[#This Row],[APP]]/Table2234[[#This Row],[Plays]]</f>
        <v>1</v>
      </c>
    </row>
    <row r="4" spans="1:14" x14ac:dyDescent="0.3">
      <c r="A4" t="s">
        <v>81</v>
      </c>
      <c r="B4" t="s">
        <v>16</v>
      </c>
      <c r="C4" t="s">
        <v>79</v>
      </c>
      <c r="D4">
        <v>0.23809446712725299</v>
      </c>
      <c r="E4">
        <v>40.6073680192832</v>
      </c>
      <c r="F4">
        <f>Table2234[[#This Row],[ARIMAPP]]*$N$4+Table2234[[#This Row],[LSTMPP]]*$N$5</f>
        <v>5.6404073853893824</v>
      </c>
      <c r="G4" s="2">
        <f>Table2234[[#This Row],[PP]]/$N$2</f>
        <v>1.1280814770778764</v>
      </c>
      <c r="H4" s="2">
        <v>1</v>
      </c>
      <c r="I4" s="2">
        <f>Table2234[[#This Row],[PPG]]*Table2234[[#This Row],[Plays]]</f>
        <v>1.1280814770778764</v>
      </c>
      <c r="J4" s="2">
        <v>1</v>
      </c>
      <c r="K4" s="2">
        <f>Table2234[[#This Row],[APP]]/Table2234[[#This Row],[Plays]]</f>
        <v>1</v>
      </c>
      <c r="M4" t="s">
        <v>17</v>
      </c>
      <c r="N4">
        <v>0.36710005589699368</v>
      </c>
    </row>
    <row r="5" spans="1:14" x14ac:dyDescent="0.3">
      <c r="A5" t="s">
        <v>82</v>
      </c>
      <c r="B5" t="s">
        <v>19</v>
      </c>
      <c r="C5" t="s">
        <v>79</v>
      </c>
      <c r="D5">
        <v>1.3809528225765599</v>
      </c>
      <c r="E5">
        <v>42.1855866653245</v>
      </c>
      <c r="F5">
        <f>Table2234[[#This Row],[ARIMAPP]]*$N$4+Table2234[[#This Row],[LSTMPP]]*$N$5</f>
        <v>6.2757700261135749</v>
      </c>
      <c r="G5" s="2">
        <f>Table2234[[#This Row],[PP]]/$N$2</f>
        <v>1.255154005222715</v>
      </c>
      <c r="H5" s="2">
        <v>1</v>
      </c>
      <c r="I5" s="2">
        <f>Table2234[[#This Row],[PPG]]*Table2234[[#This Row],[Plays]]</f>
        <v>1.255154005222715</v>
      </c>
      <c r="J5" s="2">
        <v>1</v>
      </c>
      <c r="K5" s="2">
        <f>Table2234[[#This Row],[APP]]/Table2234[[#This Row],[Plays]]</f>
        <v>1</v>
      </c>
      <c r="M5" t="s">
        <v>20</v>
      </c>
      <c r="N5">
        <v>0.1367486533616572</v>
      </c>
    </row>
    <row r="6" spans="1:14" x14ac:dyDescent="0.3">
      <c r="A6" t="s">
        <v>83</v>
      </c>
      <c r="B6" t="s">
        <v>15</v>
      </c>
      <c r="C6" t="s">
        <v>79</v>
      </c>
      <c r="D6">
        <v>15.600015709794199</v>
      </c>
      <c r="E6">
        <v>47.679999683577698</v>
      </c>
      <c r="F6">
        <f>Table2234[[#This Row],[ARIMAPP]]*$N$4+Table2234[[#This Row],[LSTMPP]]*$N$5</f>
        <v>12.24694238807292</v>
      </c>
      <c r="G6" s="2">
        <f>Table2234[[#This Row],[PP]]/$N$2</f>
        <v>2.4493884776145842</v>
      </c>
      <c r="H6" s="4">
        <v>5</v>
      </c>
      <c r="I6" s="4">
        <f>Table2234[[#This Row],[PPG]]*Table2234[[#This Row],[Plays]]</f>
        <v>12.24694238807292</v>
      </c>
      <c r="J6" s="4">
        <v>13</v>
      </c>
      <c r="K6" s="2">
        <f>Table2234[[#This Row],[APP]]/Table2234[[#This Row],[Plays]]</f>
        <v>2.6</v>
      </c>
    </row>
    <row r="7" spans="1:14" x14ac:dyDescent="0.3">
      <c r="A7" t="s">
        <v>84</v>
      </c>
      <c r="B7" t="s">
        <v>19</v>
      </c>
      <c r="C7" t="s">
        <v>79</v>
      </c>
      <c r="D7">
        <v>1.0476190057723</v>
      </c>
      <c r="E7">
        <v>42.889187619699499</v>
      </c>
      <c r="F7">
        <f>Table2234[[#This Row],[ARIMAPP]]*$N$4+Table2234[[#This Row],[LSTMPP]]*$N$5</f>
        <v>6.2496196463471305</v>
      </c>
      <c r="G7" s="2">
        <f>Table2234[[#This Row],[PP]]/$N$2</f>
        <v>1.2499239292694262</v>
      </c>
      <c r="H7" s="2">
        <v>1</v>
      </c>
      <c r="I7" s="2">
        <f>Table2234[[#This Row],[PPG]]*Table2234[[#This Row],[Plays]]</f>
        <v>1.2499239292694262</v>
      </c>
      <c r="J7" s="2">
        <v>1</v>
      </c>
      <c r="K7" s="2">
        <f>Table2234[[#This Row],[APP]]/Table2234[[#This Row],[Plays]]</f>
        <v>1</v>
      </c>
      <c r="M7" t="s">
        <v>22</v>
      </c>
      <c r="N7" cm="1">
        <f t="array" ref="N7">(SUM(Table2234[Tot]-Table2234[APP]))^2</f>
        <v>7.8886090522101181E-29</v>
      </c>
    </row>
    <row r="8" spans="1:14" x14ac:dyDescent="0.3">
      <c r="A8" t="s">
        <v>85</v>
      </c>
      <c r="B8" t="s">
        <v>19</v>
      </c>
      <c r="C8" t="s">
        <v>79</v>
      </c>
      <c r="D8">
        <v>18</v>
      </c>
      <c r="E8">
        <v>48.306145786464398</v>
      </c>
      <c r="F8">
        <f>Table2234[[#This Row],[ARIMAPP]]*$N$4+Table2234[[#This Row],[LSTMPP]]*$N$5</f>
        <v>13.213601391536784</v>
      </c>
      <c r="G8" s="2">
        <f>Table2234[[#This Row],[PP]]/$N$2</f>
        <v>2.6427202783073569</v>
      </c>
      <c r="H8" s="4">
        <v>5</v>
      </c>
      <c r="I8" s="4">
        <f>Table2234[[#This Row],[PPG]]*Table2234[[#This Row],[Plays]]</f>
        <v>13.213601391536784</v>
      </c>
      <c r="J8" s="4">
        <v>17</v>
      </c>
      <c r="K8" s="2">
        <f>Table2234[[#This Row],[APP]]/Table2234[[#This Row],[Plays]]</f>
        <v>3.4</v>
      </c>
    </row>
    <row r="9" spans="1:14" x14ac:dyDescent="0.3">
      <c r="A9" t="s">
        <v>86</v>
      </c>
      <c r="B9" t="s">
        <v>16</v>
      </c>
      <c r="C9" t="s">
        <v>79</v>
      </c>
      <c r="D9">
        <v>-1.3809528225765599</v>
      </c>
      <c r="E9">
        <v>38.4925706609719</v>
      </c>
      <c r="F9">
        <f>Table2234[[#This Row],[ARIMAPP]]*$N$4+Table2234[[#This Row],[LSTMPP]]*$N$5</f>
        <v>4.7568593439573759</v>
      </c>
      <c r="G9" s="2">
        <f>Table2234[[#This Row],[PP]]/$N$2</f>
        <v>0.95137186879147517</v>
      </c>
      <c r="H9" s="2">
        <v>1</v>
      </c>
      <c r="I9" s="2">
        <f>Table2234[[#This Row],[PPG]]*Table2234[[#This Row],[Plays]]</f>
        <v>0.95137186879147517</v>
      </c>
      <c r="J9" s="2">
        <v>-1</v>
      </c>
      <c r="K9" s="2">
        <f>Table2234[[#This Row],[APP]]/Table2234[[#This Row],[Plays]]</f>
        <v>-1</v>
      </c>
    </row>
    <row r="10" spans="1:14" x14ac:dyDescent="0.3">
      <c r="A10" t="s">
        <v>87</v>
      </c>
      <c r="B10" t="s">
        <v>15</v>
      </c>
      <c r="C10" t="s">
        <v>79</v>
      </c>
      <c r="D10">
        <v>10</v>
      </c>
      <c r="E10">
        <v>45.692869758079802</v>
      </c>
      <c r="F10">
        <f>Table2234[[#This Row],[ARIMAPP]]*$N$4+Table2234[[#This Row],[LSTMPP]]*$N$5</f>
        <v>9.9194389666169407</v>
      </c>
      <c r="G10" s="2">
        <f>Table2234[[#This Row],[PP]]/$N$2</f>
        <v>1.983887793323388</v>
      </c>
      <c r="H10" s="4">
        <v>3</v>
      </c>
      <c r="I10" s="4">
        <f>Table2234[[#This Row],[PPG]]*Table2234[[#This Row],[Plays]]</f>
        <v>5.9516633799701637</v>
      </c>
      <c r="J10" s="4">
        <v>5</v>
      </c>
      <c r="K10" s="2">
        <f>Table2234[[#This Row],[APP]]/Table2234[[#This Row],[Plays]]</f>
        <v>1.6666666666666667</v>
      </c>
    </row>
    <row r="11" spans="1:14" x14ac:dyDescent="0.3">
      <c r="A11" t="s">
        <v>88</v>
      </c>
      <c r="B11" t="s">
        <v>19</v>
      </c>
      <c r="C11" t="s">
        <v>79</v>
      </c>
      <c r="D11">
        <v>7.90476169608307</v>
      </c>
      <c r="E11">
        <v>48.970902760688404</v>
      </c>
      <c r="F11">
        <f>Table2234[[#This Row],[ARIMAPP]]*$N$4+Table2234[[#This Row],[LSTMPP]]*$N$5</f>
        <v>9.5985434669133092</v>
      </c>
      <c r="G11" s="2">
        <f>Table2234[[#This Row],[PP]]/$N$2</f>
        <v>1.9197086933826619</v>
      </c>
      <c r="H11" s="2">
        <v>5</v>
      </c>
      <c r="I11" s="2">
        <f>Table2234[[#This Row],[PPG]]*Table2234[[#This Row],[Plays]]</f>
        <v>9.5985434669133092</v>
      </c>
      <c r="J11" s="2">
        <v>9</v>
      </c>
      <c r="K11" s="2">
        <f>Table2234[[#This Row],[APP]]/Table2234[[#This Row],[Plays]]</f>
        <v>1.8</v>
      </c>
    </row>
    <row r="12" spans="1:14" x14ac:dyDescent="0.3">
      <c r="A12" t="s">
        <v>89</v>
      </c>
      <c r="B12" t="s">
        <v>19</v>
      </c>
      <c r="C12" t="s">
        <v>79</v>
      </c>
      <c r="D12">
        <v>5.2788161394288702</v>
      </c>
      <c r="E12">
        <v>43.5781136981727</v>
      </c>
      <c r="F12">
        <f>Table2234[[#This Row],[ARIMAPP]]*$N$4+Table2234[[#This Row],[LSTMPP]]*$N$5</f>
        <v>7.8971020641205945</v>
      </c>
      <c r="G12" s="2">
        <f>Table2234[[#This Row],[PP]]/$N$2</f>
        <v>1.5794204128241189</v>
      </c>
      <c r="H12" s="4">
        <v>4</v>
      </c>
      <c r="I12" s="4">
        <f>Table2234[[#This Row],[PPG]]*Table2234[[#This Row],[Plays]]</f>
        <v>6.3176816512964757</v>
      </c>
      <c r="J12" s="4">
        <v>6</v>
      </c>
      <c r="K12" s="2">
        <f>Table2234[[#This Row],[APP]]/Table2234[[#This Row],[Plays]]</f>
        <v>1.5</v>
      </c>
    </row>
    <row r="13" spans="1:14" x14ac:dyDescent="0.3">
      <c r="A13" t="s">
        <v>90</v>
      </c>
      <c r="B13" t="s">
        <v>19</v>
      </c>
      <c r="C13" t="s">
        <v>79</v>
      </c>
      <c r="D13">
        <v>6.8571421981175797</v>
      </c>
      <c r="E13">
        <v>48.926388649432603</v>
      </c>
      <c r="F13">
        <f>Table2234[[#This Row],[ARIMAPP]]*$N$4+Table2234[[#This Row],[LSTMPP]]*$N$5</f>
        <v>9.2078750458815755</v>
      </c>
      <c r="G13" s="2">
        <f>Table2234[[#This Row],[PP]]/$N$2</f>
        <v>1.841575009176315</v>
      </c>
      <c r="H13" s="2">
        <v>5</v>
      </c>
      <c r="I13" s="2">
        <f>Table2234[[#This Row],[PPG]]*Table2234[[#This Row],[Plays]]</f>
        <v>9.2078750458815755</v>
      </c>
      <c r="J13" s="2">
        <v>8</v>
      </c>
      <c r="K13" s="2">
        <f>Table2234[[#This Row],[APP]]/Table2234[[#This Row],[Plays]]</f>
        <v>1.6</v>
      </c>
    </row>
    <row r="14" spans="1:14" x14ac:dyDescent="0.3">
      <c r="A14" t="s">
        <v>91</v>
      </c>
      <c r="B14" t="s">
        <v>19</v>
      </c>
      <c r="C14" t="s">
        <v>79</v>
      </c>
      <c r="D14">
        <v>7.8095234240022302</v>
      </c>
      <c r="E14">
        <v>48.321926005762201</v>
      </c>
      <c r="F14">
        <f>Table2234[[#This Row],[ARIMAPP]]*$N$4+Table2234[[#This Row],[LSTMPP]]*$N$5</f>
        <v>9.4748347946097233</v>
      </c>
      <c r="G14" s="2">
        <f>Table2234[[#This Row],[PP]]/$N$2</f>
        <v>1.8949669589219447</v>
      </c>
      <c r="H14" s="4">
        <v>5</v>
      </c>
      <c r="I14" s="4">
        <f>Table2234[[#This Row],[PPG]]*Table2234[[#This Row],[Plays]]</f>
        <v>9.4748347946097233</v>
      </c>
      <c r="J14" s="4">
        <v>9</v>
      </c>
      <c r="K14" s="2">
        <f>Table2234[[#This Row],[APP]]/Table2234[[#This Row],[Plays]]</f>
        <v>1.8</v>
      </c>
    </row>
    <row r="15" spans="1:14" x14ac:dyDescent="0.3">
      <c r="A15" t="s">
        <v>92</v>
      </c>
      <c r="B15" t="s">
        <v>16</v>
      </c>
      <c r="C15" t="s">
        <v>79</v>
      </c>
      <c r="D15">
        <v>11</v>
      </c>
      <c r="E15">
        <v>38.775109550661199</v>
      </c>
      <c r="F15">
        <f>Table2234[[#This Row],[ARIMAPP]]*$N$4+Table2234[[#This Row],[LSTMPP]]*$N$5</f>
        <v>9.3405446298705819</v>
      </c>
      <c r="G15" s="2">
        <f>Table2234[[#This Row],[PP]]/$N$2</f>
        <v>1.8681089259741164</v>
      </c>
      <c r="H15" s="2">
        <v>5</v>
      </c>
      <c r="I15" s="2">
        <f>Table2234[[#This Row],[PPG]]*Table2234[[#This Row],[Plays]]</f>
        <v>9.3405446298705819</v>
      </c>
      <c r="J15" s="2">
        <v>11</v>
      </c>
      <c r="K15" s="2">
        <f>Table2234[[#This Row],[APP]]/Table2234[[#This Row],[Plays]]</f>
        <v>2.2000000000000002</v>
      </c>
    </row>
    <row r="16" spans="1:14" x14ac:dyDescent="0.3">
      <c r="A16" t="s">
        <v>93</v>
      </c>
      <c r="B16" t="s">
        <v>12</v>
      </c>
      <c r="C16" t="s">
        <v>79</v>
      </c>
      <c r="D16">
        <v>9</v>
      </c>
      <c r="E16">
        <v>43.515809000113997</v>
      </c>
      <c r="F16">
        <f>Table2234[[#This Row],[ARIMAPP]]*$N$4+Table2234[[#This Row],[LSTMPP]]*$N$5</f>
        <v>9.2546287837816141</v>
      </c>
      <c r="G16" s="2">
        <f>Table2234[[#This Row],[PP]]/$N$2</f>
        <v>1.8509257567563229</v>
      </c>
      <c r="H16" s="4">
        <v>4</v>
      </c>
      <c r="I16" s="4">
        <f>Table2234[[#This Row],[PPG]]*Table2234[[#This Row],[Plays]]</f>
        <v>7.4037030270252915</v>
      </c>
      <c r="J16" s="4">
        <v>8</v>
      </c>
      <c r="K16" s="2">
        <f>Table2234[[#This Row],[APP]]/Table2234[[#This Row],[Plays]]</f>
        <v>2</v>
      </c>
    </row>
    <row r="17" spans="1:11" x14ac:dyDescent="0.3">
      <c r="A17" t="s">
        <v>94</v>
      </c>
      <c r="B17" t="s">
        <v>16</v>
      </c>
      <c r="C17" t="s">
        <v>79</v>
      </c>
      <c r="D17">
        <v>20</v>
      </c>
      <c r="E17">
        <v>46.454848779173197</v>
      </c>
      <c r="F17">
        <f>Table2234[[#This Row],[ARIMAPP]]*$N$4+Table2234[[#This Row],[LSTMPP]]*$N$5</f>
        <v>13.694639130611233</v>
      </c>
      <c r="G17" s="2">
        <f>Table2234[[#This Row],[PP]]/$N$2</f>
        <v>2.7389278261222465</v>
      </c>
      <c r="H17" s="2">
        <v>4</v>
      </c>
      <c r="I17" s="2">
        <f>Table2234[[#This Row],[PPG]]*Table2234[[#This Row],[Plays]]</f>
        <v>10.955711304488986</v>
      </c>
      <c r="J17" s="2">
        <v>19</v>
      </c>
      <c r="K17" s="2">
        <f>Table2234[[#This Row],[APP]]/Table2234[[#This Row],[Plays]]</f>
        <v>4.75</v>
      </c>
    </row>
    <row r="18" spans="1:11" x14ac:dyDescent="0.3">
      <c r="A18" t="s">
        <v>95</v>
      </c>
      <c r="B18" t="s">
        <v>19</v>
      </c>
      <c r="C18" t="s">
        <v>79</v>
      </c>
      <c r="D18" s="7">
        <v>3.7007434154171798E-16</v>
      </c>
      <c r="E18">
        <v>43.609993637123701</v>
      </c>
      <c r="F18">
        <f>Table2234[[#This Row],[ARIMAPP]]*$N$4+Table2234[[#This Row],[LSTMPP]]*$N$5</f>
        <v>5.9636079029871052</v>
      </c>
      <c r="G18" s="2">
        <f>Table2234[[#This Row],[PP]]/$N$2</f>
        <v>1.1927215805974209</v>
      </c>
      <c r="H18" s="2">
        <v>3</v>
      </c>
      <c r="I18" s="2">
        <f>Table2234[[#This Row],[PPG]]*Table2234[[#This Row],[Plays]]</f>
        <v>3.5781647417922628</v>
      </c>
      <c r="J18" s="2">
        <v>4</v>
      </c>
      <c r="K18" s="2">
        <f>Table2234[[#This Row],[APP]]/Table2234[[#This Row],[Plays]]</f>
        <v>1.3333333333333333</v>
      </c>
    </row>
    <row r="19" spans="1:11" x14ac:dyDescent="0.3">
      <c r="A19" t="s">
        <v>96</v>
      </c>
      <c r="B19" t="s">
        <v>16</v>
      </c>
      <c r="C19" t="s">
        <v>79</v>
      </c>
      <c r="D19">
        <v>10</v>
      </c>
      <c r="E19">
        <v>43.067908629461499</v>
      </c>
      <c r="F19">
        <f>Table2234[[#This Row],[ARIMAPP]]*$N$4+Table2234[[#This Row],[LSTMPP]]*$N$5</f>
        <v>9.560479067151693</v>
      </c>
      <c r="G19" s="2">
        <f>Table2234[[#This Row],[PP]]/$N$2</f>
        <v>1.9120958134303385</v>
      </c>
      <c r="H19" s="4">
        <v>4</v>
      </c>
      <c r="I19" s="4">
        <f>Table2234[[#This Row],[PPG]]*Table2234[[#This Row],[Plays]]</f>
        <v>7.6483832537213541</v>
      </c>
      <c r="J19" s="4">
        <v>10</v>
      </c>
      <c r="K19" s="2">
        <f>Table2234[[#This Row],[APP]]/Table2234[[#This Row],[Plays]]</f>
        <v>2.5</v>
      </c>
    </row>
    <row r="20" spans="1:11" x14ac:dyDescent="0.3">
      <c r="A20" t="s">
        <v>98</v>
      </c>
      <c r="B20" t="s">
        <v>16</v>
      </c>
      <c r="C20" t="s">
        <v>79</v>
      </c>
      <c r="D20">
        <v>1.3809528225765599</v>
      </c>
      <c r="E20">
        <v>41.537556669382802</v>
      </c>
      <c r="F20">
        <f>Table2234[[#This Row],[ARIMAPP]]*$N$4+Table2234[[#This Row],[LSTMPP]]*$N$5</f>
        <v>6.1871527968305875</v>
      </c>
      <c r="G20" s="2">
        <f>Table2234[[#This Row],[PP]]/$N$2</f>
        <v>1.2374305593661175</v>
      </c>
      <c r="H20" s="4">
        <v>2</v>
      </c>
      <c r="I20" s="4">
        <f>Table2234[[#This Row],[PPG]]*Table2234[[#This Row],[Plays]]</f>
        <v>2.4748611187322349</v>
      </c>
      <c r="J20" s="4">
        <v>1</v>
      </c>
      <c r="K20" s="2">
        <f>Table2234[[#This Row],[APP]]/Table2234[[#This Row],[Plays]]</f>
        <v>0.5</v>
      </c>
    </row>
    <row r="21" spans="1:11" x14ac:dyDescent="0.3">
      <c r="A21" t="s">
        <v>99</v>
      </c>
      <c r="B21" t="s">
        <v>19</v>
      </c>
      <c r="C21" t="s">
        <v>79</v>
      </c>
      <c r="D21">
        <v>12.9999999935107</v>
      </c>
      <c r="E21">
        <v>51.254261906672902</v>
      </c>
      <c r="F21">
        <f>Table2234[[#This Row],[ARIMAPP]]*$N$4+Table2234[[#This Row],[LSTMPP]]*$N$5</f>
        <v>11.781252019061899</v>
      </c>
      <c r="G21" s="6">
        <f>Table2234[[#This Row],[PP]]/$N$2</f>
        <v>2.3562504038123797</v>
      </c>
      <c r="H21" s="2">
        <v>5</v>
      </c>
      <c r="I21" s="6">
        <f>Table2234[[#This Row],[PPG]]*Table2234[[#This Row],[Plays]]</f>
        <v>11.781252019061899</v>
      </c>
      <c r="J21" s="2">
        <v>12</v>
      </c>
      <c r="K21" s="6">
        <f>Table2234[[#This Row],[APP]]/Table2234[[#This Row],[Plays]]</f>
        <v>2.4</v>
      </c>
    </row>
    <row r="22" spans="1:11" x14ac:dyDescent="0.3">
      <c r="A22" t="s">
        <v>100</v>
      </c>
      <c r="B22" t="s">
        <v>12</v>
      </c>
      <c r="C22" t="s">
        <v>79</v>
      </c>
      <c r="D22">
        <v>3.6000761825193299</v>
      </c>
      <c r="E22">
        <v>49.214512909131798</v>
      </c>
      <c r="F22">
        <f>Table2234[[#This Row],[ARIMAPP]]*$N$4+Table2234[[#This Row],[LSTMPP]]*$N$5</f>
        <v>8.0516065340099487</v>
      </c>
      <c r="G22" s="6">
        <f>Table2234[[#This Row],[PP]]/$N$2</f>
        <v>1.6103213068019897</v>
      </c>
      <c r="H22" s="2">
        <v>1</v>
      </c>
      <c r="I22" s="6">
        <f>Table2234[[#This Row],[PPG]]*Table2234[[#This Row],[Plays]]</f>
        <v>1.6103213068019897</v>
      </c>
      <c r="J22" s="2">
        <v>6</v>
      </c>
      <c r="K22" s="6">
        <f>Table2234[[#This Row],[APP]]/Table2234[[#This Row],[Plays]]</f>
        <v>6</v>
      </c>
    </row>
    <row r="23" spans="1:11" x14ac:dyDescent="0.3">
      <c r="A23" t="s">
        <v>101</v>
      </c>
      <c r="B23" t="s">
        <v>16</v>
      </c>
      <c r="C23" t="s">
        <v>79</v>
      </c>
      <c r="D23">
        <v>-1.69643618321599</v>
      </c>
      <c r="E23">
        <v>36.658077842903602</v>
      </c>
      <c r="F23">
        <f>Table2234[[#This Row],[ARIMAPP]]*$N$4+Table2234[[#This Row],[LSTMPP]]*$N$5</f>
        <v>4.3901809621595982</v>
      </c>
      <c r="G23" s="6">
        <f>Table2234[[#This Row],[PP]]/$N$2</f>
        <v>0.87803619243191966</v>
      </c>
      <c r="H23" s="2">
        <v>3</v>
      </c>
      <c r="I23" s="6">
        <f>Table2234[[#This Row],[PPG]]*Table2234[[#This Row],[Plays]]</f>
        <v>2.6341085772957591</v>
      </c>
      <c r="J23" s="2">
        <v>-1</v>
      </c>
      <c r="K23" s="6">
        <f>Table2234[[#This Row],[APP]]/Table2234[[#This Row],[Plays]]</f>
        <v>-0.33333333333333331</v>
      </c>
    </row>
    <row r="24" spans="1:11" x14ac:dyDescent="0.3">
      <c r="A24" t="s">
        <v>102</v>
      </c>
      <c r="B24" t="s">
        <v>16</v>
      </c>
      <c r="C24" t="s">
        <v>79</v>
      </c>
      <c r="D24">
        <v>110</v>
      </c>
      <c r="E24">
        <v>41.895584869791001</v>
      </c>
      <c r="F24">
        <f>Table2234[[#This Row],[ARIMAPP]]*$N$4+Table2234[[#This Row],[LSTMPP]]*$N$5</f>
        <v>46.110170961412244</v>
      </c>
      <c r="G24" s="6">
        <f>Table2234[[#This Row],[PP]]/$N$2</f>
        <v>9.2220341922824485</v>
      </c>
      <c r="H24" s="2">
        <v>1</v>
      </c>
      <c r="I24" s="6">
        <f>Table2234[[#This Row],[PPG]]*Table2234[[#This Row],[Plays]]</f>
        <v>9.2220341922824485</v>
      </c>
      <c r="J24" s="2">
        <v>1</v>
      </c>
      <c r="K24" s="6">
        <f>Table2234[[#This Row],[APP]]/Table2234[[#This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72A1-995A-4C8F-AE6A-3F84E8B472F9}">
  <dimension ref="A1:N20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103</v>
      </c>
      <c r="B2" t="s">
        <v>16</v>
      </c>
      <c r="C2" t="s">
        <v>104</v>
      </c>
      <c r="D2">
        <v>8.6517552237434696</v>
      </c>
      <c r="E2">
        <v>45.108071933468501</v>
      </c>
      <c r="F2">
        <f>Table22345[[#This Row],[ARIMAPP]]*$N$4+Table22345[[#This Row],[LSTMPP]]*$N$5</f>
        <v>11.639225510383861</v>
      </c>
      <c r="G2" s="2">
        <f>Table22345[[#This Row],[PP]]/$N$2</f>
        <v>2.3278451020767723</v>
      </c>
      <c r="H2" s="2">
        <v>3</v>
      </c>
      <c r="I2" s="2">
        <f>Table22345[[#This Row],[PPG]]*Table22345[[#This Row],[Plays]]</f>
        <v>6.9835353062303174</v>
      </c>
      <c r="J2" s="2">
        <v>8</v>
      </c>
      <c r="K2" s="3">
        <f>Table22345[[#This Row],[APP]]/Table22345[[#This Row],[Plays]]</f>
        <v>2.6666666666666665</v>
      </c>
      <c r="M2" t="s">
        <v>14</v>
      </c>
      <c r="N2">
        <v>5</v>
      </c>
    </row>
    <row r="3" spans="1:14" x14ac:dyDescent="0.3">
      <c r="A3" t="s">
        <v>105</v>
      </c>
      <c r="B3" t="s">
        <v>19</v>
      </c>
      <c r="C3" t="s">
        <v>104</v>
      </c>
      <c r="D3">
        <v>19.476190351720302</v>
      </c>
      <c r="E3">
        <v>52.302234603427699</v>
      </c>
      <c r="F3">
        <f>Table22345[[#This Row],[ARIMAPP]]*$N$4+Table22345[[#This Row],[LSTMPP]]*$N$5</f>
        <v>16.874343892296672</v>
      </c>
      <c r="G3" s="2">
        <f>Table22345[[#This Row],[PP]]/$N$2</f>
        <v>3.3748687784593345</v>
      </c>
      <c r="H3" s="4">
        <v>4</v>
      </c>
      <c r="I3" s="4">
        <f>Table22345[[#This Row],[PPG]]*Table22345[[#This Row],[Plays]]</f>
        <v>13.499475113837338</v>
      </c>
      <c r="J3" s="4">
        <v>15</v>
      </c>
      <c r="K3" s="2">
        <f>Table22345[[#This Row],[APP]]/Table22345[[#This Row],[Plays]]</f>
        <v>3.75</v>
      </c>
    </row>
    <row r="4" spans="1:14" x14ac:dyDescent="0.3">
      <c r="A4" t="s">
        <v>106</v>
      </c>
      <c r="B4" t="s">
        <v>15</v>
      </c>
      <c r="C4" t="s">
        <v>104</v>
      </c>
      <c r="D4">
        <v>27.333390619981301</v>
      </c>
      <c r="E4">
        <v>63.642974468139499</v>
      </c>
      <c r="F4">
        <f>Table22345[[#This Row],[ARIMAPP]]*$N$4+Table22345[[#This Row],[LSTMPP]]*$N$5</f>
        <v>21.833346885102294</v>
      </c>
      <c r="G4" s="2">
        <f>Table22345[[#This Row],[PP]]/$N$2</f>
        <v>4.3666693770204592</v>
      </c>
      <c r="H4" s="2">
        <v>5</v>
      </c>
      <c r="I4" s="2">
        <f>Table22345[[#This Row],[PPG]]*Table22345[[#This Row],[Plays]]</f>
        <v>21.833346885102294</v>
      </c>
      <c r="J4" s="2">
        <v>28</v>
      </c>
      <c r="K4" s="2">
        <f>Table22345[[#This Row],[APP]]/Table22345[[#This Row],[Plays]]</f>
        <v>5.6</v>
      </c>
      <c r="M4" t="s">
        <v>17</v>
      </c>
      <c r="N4">
        <v>0.3577508478470377</v>
      </c>
    </row>
    <row r="5" spans="1:14" x14ac:dyDescent="0.3">
      <c r="A5" t="s">
        <v>107</v>
      </c>
      <c r="B5" t="s">
        <v>12</v>
      </c>
      <c r="C5" t="s">
        <v>104</v>
      </c>
      <c r="D5">
        <v>21.999999964520999</v>
      </c>
      <c r="E5">
        <v>57.245236961185803</v>
      </c>
      <c r="F5">
        <f>Table22345[[#This Row],[ARIMAPP]]*$N$4+Table22345[[#This Row],[LSTMPP]]*$N$5</f>
        <v>18.713507554316195</v>
      </c>
      <c r="G5" s="2">
        <f>Table22345[[#This Row],[PP]]/$N$2</f>
        <v>3.7427015108632391</v>
      </c>
      <c r="H5" s="4">
        <v>5</v>
      </c>
      <c r="I5" s="4">
        <f>Table22345[[#This Row],[PPG]]*Table22345[[#This Row],[Plays]]</f>
        <v>18.713507554316195</v>
      </c>
      <c r="J5" s="4">
        <v>21</v>
      </c>
      <c r="K5" s="2">
        <f>Table22345[[#This Row],[APP]]/Table22345[[#This Row],[Plays]]</f>
        <v>4.2</v>
      </c>
      <c r="M5" t="s">
        <v>20</v>
      </c>
      <c r="N5">
        <v>0.18941294490100405</v>
      </c>
    </row>
    <row r="6" spans="1:14" x14ac:dyDescent="0.3">
      <c r="A6" t="s">
        <v>108</v>
      </c>
      <c r="B6" t="s">
        <v>19</v>
      </c>
      <c r="C6" t="s">
        <v>104</v>
      </c>
      <c r="D6">
        <v>18.999999980373499</v>
      </c>
      <c r="E6">
        <v>54.304129770331997</v>
      </c>
      <c r="F6">
        <f>Table22345[[#This Row],[ARIMAPP]]*$N$4+Table22345[[#This Row],[LSTMPP]]*$N$5</f>
        <v>17.083171242157185</v>
      </c>
      <c r="G6" s="2">
        <f>Table22345[[#This Row],[PP]]/$N$2</f>
        <v>3.4166342484314369</v>
      </c>
      <c r="H6" s="4">
        <v>5</v>
      </c>
      <c r="I6" s="4">
        <f>Table22345[[#This Row],[PPG]]*Table22345[[#This Row],[Plays]]</f>
        <v>17.083171242157185</v>
      </c>
      <c r="J6" s="4">
        <v>18</v>
      </c>
      <c r="K6" s="2">
        <f>Table22345[[#This Row],[APP]]/Table22345[[#This Row],[Plays]]</f>
        <v>3.6</v>
      </c>
    </row>
    <row r="7" spans="1:14" x14ac:dyDescent="0.3">
      <c r="A7" t="s">
        <v>109</v>
      </c>
      <c r="B7" t="s">
        <v>16</v>
      </c>
      <c r="C7" t="s">
        <v>104</v>
      </c>
      <c r="D7">
        <v>26.944271872746199</v>
      </c>
      <c r="E7">
        <v>53.576034605512397</v>
      </c>
      <c r="F7">
        <f>Table22345[[#This Row],[ARIMAPP]]*$N$4+Table22345[[#This Row],[LSTMPP]]*$N$5</f>
        <v>19.787330597844246</v>
      </c>
      <c r="G7" s="2">
        <f>Table22345[[#This Row],[PP]]/$N$2</f>
        <v>3.9574661195688492</v>
      </c>
      <c r="H7" s="4">
        <v>5</v>
      </c>
      <c r="I7" s="4">
        <f>Table22345[[#This Row],[PPG]]*Table22345[[#This Row],[Plays]]</f>
        <v>19.787330597844246</v>
      </c>
      <c r="J7" s="4">
        <v>15</v>
      </c>
      <c r="K7" s="2">
        <f>Table22345[[#This Row],[APP]]/Table22345[[#This Row],[Plays]]</f>
        <v>3</v>
      </c>
      <c r="M7" t="s">
        <v>22</v>
      </c>
      <c r="N7" cm="1">
        <f t="array" ref="N7">(SUM(Table22345[Tot]-Table22345[APP]))^2</f>
        <v>3.0323813196695694E-27</v>
      </c>
    </row>
    <row r="8" spans="1:14" x14ac:dyDescent="0.3">
      <c r="A8" t="s">
        <v>110</v>
      </c>
      <c r="B8" t="s">
        <v>19</v>
      </c>
      <c r="C8" t="s">
        <v>104</v>
      </c>
      <c r="D8">
        <v>19.666695822468199</v>
      </c>
      <c r="E8">
        <v>57.698173132909801</v>
      </c>
      <c r="F8">
        <f>Table22345[[#This Row],[ARIMAPP]]*$N$4+Table22345[[#This Row],[LSTMPP]]*$N$5</f>
        <v>17.96455799335023</v>
      </c>
      <c r="G8" s="2">
        <f>Table22345[[#This Row],[PP]]/$N$2</f>
        <v>3.5929115986700459</v>
      </c>
      <c r="H8" s="2">
        <v>5</v>
      </c>
      <c r="I8" s="2">
        <f>Table22345[[#This Row],[PPG]]*Table22345[[#This Row],[Plays]]</f>
        <v>17.96455799335023</v>
      </c>
      <c r="J8" s="2">
        <v>18</v>
      </c>
      <c r="K8" s="2">
        <f>Table22345[[#This Row],[APP]]/Table22345[[#This Row],[Plays]]</f>
        <v>3.6</v>
      </c>
    </row>
    <row r="9" spans="1:14" x14ac:dyDescent="0.3">
      <c r="A9" t="s">
        <v>111</v>
      </c>
      <c r="B9" t="s">
        <v>19</v>
      </c>
      <c r="C9" t="s">
        <v>104</v>
      </c>
      <c r="D9">
        <v>1.66666681981596</v>
      </c>
      <c r="E9">
        <v>41.307227966545298</v>
      </c>
      <c r="F9">
        <f>Table22345[[#This Row],[ARIMAPP]]*$N$4+Table22345[[#This Row],[LSTMPP]]*$N$5</f>
        <v>8.4203751627081438</v>
      </c>
      <c r="G9" s="2">
        <f>Table22345[[#This Row],[PP]]/$N$2</f>
        <v>1.6840750325416287</v>
      </c>
      <c r="H9" s="4">
        <v>2</v>
      </c>
      <c r="I9" s="4">
        <f>Table22345[[#This Row],[PPG]]*Table22345[[#This Row],[Plays]]</f>
        <v>3.3681500650832574</v>
      </c>
      <c r="J9" s="4">
        <v>2</v>
      </c>
      <c r="K9" s="2">
        <f>Table22345[[#This Row],[APP]]/Table22345[[#This Row],[Plays]]</f>
        <v>1</v>
      </c>
    </row>
    <row r="10" spans="1:14" x14ac:dyDescent="0.3">
      <c r="A10" t="s">
        <v>112</v>
      </c>
      <c r="B10" t="s">
        <v>19</v>
      </c>
      <c r="C10" t="s">
        <v>104</v>
      </c>
      <c r="D10">
        <v>28.5237972626384</v>
      </c>
      <c r="E10">
        <v>55.726431614777702</v>
      </c>
      <c r="F10">
        <f>Table22345[[#This Row],[ARIMAPP]]*$N$4+Table22345[[#This Row],[LSTMPP]]*$N$5</f>
        <v>20.759720175505361</v>
      </c>
      <c r="G10" s="2">
        <f>Table22345[[#This Row],[PP]]/$N$2</f>
        <v>4.1519440351010726</v>
      </c>
      <c r="H10" s="2">
        <v>5</v>
      </c>
      <c r="I10" s="2">
        <f>Table22345[[#This Row],[PPG]]*Table22345[[#This Row],[Plays]]</f>
        <v>20.759720175505365</v>
      </c>
      <c r="J10" s="2">
        <v>23</v>
      </c>
      <c r="K10" s="2">
        <f>Table22345[[#This Row],[APP]]/Table22345[[#This Row],[Plays]]</f>
        <v>4.5999999999999996</v>
      </c>
    </row>
    <row r="11" spans="1:14" x14ac:dyDescent="0.3">
      <c r="A11" t="s">
        <v>113</v>
      </c>
      <c r="B11" t="s">
        <v>19</v>
      </c>
      <c r="C11" t="s">
        <v>104</v>
      </c>
      <c r="D11">
        <v>13.0476128146842</v>
      </c>
      <c r="E11">
        <v>52.334476143797197</v>
      </c>
      <c r="F11">
        <f>Table22345[[#This Row],[ARIMAPP]]*$N$4+Table22345[[#This Row],[LSTMPP]]*$N$5</f>
        <v>14.580621793081116</v>
      </c>
      <c r="G11" s="2">
        <f>Table22345[[#This Row],[PP]]/$N$2</f>
        <v>2.9161243586162233</v>
      </c>
      <c r="H11" s="4">
        <v>5</v>
      </c>
      <c r="I11" s="4">
        <f>Table22345[[#This Row],[PPG]]*Table22345[[#This Row],[Plays]]</f>
        <v>14.580621793081116</v>
      </c>
      <c r="J11" s="4">
        <v>16</v>
      </c>
      <c r="K11" s="2">
        <f>Table22345[[#This Row],[APP]]/Table22345[[#This Row],[Plays]]</f>
        <v>3.2</v>
      </c>
    </row>
    <row r="12" spans="1:14" x14ac:dyDescent="0.3">
      <c r="A12" t="s">
        <v>114</v>
      </c>
      <c r="B12" t="s">
        <v>16</v>
      </c>
      <c r="C12" t="s">
        <v>104</v>
      </c>
      <c r="D12">
        <v>8.2857142450353294</v>
      </c>
      <c r="E12">
        <v>43.895610970820599</v>
      </c>
      <c r="F12">
        <f>Table22345[[#This Row],[ARIMAPP]]*$N$4+Table22345[[#This Row],[LSTMPP]]*$N$5</f>
        <v>11.278618238391619</v>
      </c>
      <c r="G12" s="2">
        <f>Table22345[[#This Row],[PP]]/$N$2</f>
        <v>2.255723647678324</v>
      </c>
      <c r="H12" s="2">
        <v>1</v>
      </c>
      <c r="I12" s="2">
        <f>Table22345[[#This Row],[PPG]]*Table22345[[#This Row],[Plays]]</f>
        <v>2.255723647678324</v>
      </c>
      <c r="J12" s="2">
        <v>6</v>
      </c>
      <c r="K12" s="2">
        <f>Table22345[[#This Row],[APP]]/Table22345[[#This Row],[Plays]]</f>
        <v>6</v>
      </c>
    </row>
    <row r="13" spans="1:14" x14ac:dyDescent="0.3">
      <c r="A13" t="s">
        <v>115</v>
      </c>
      <c r="B13" t="s">
        <v>19</v>
      </c>
      <c r="C13" t="s">
        <v>104</v>
      </c>
      <c r="D13">
        <v>1.61904664117024</v>
      </c>
      <c r="E13">
        <v>41.522121236495799</v>
      </c>
      <c r="F13">
        <f>Table22345[[#This Row],[ARIMAPP]]*$N$4+Table22345[[#This Row],[LSTMPP]]*$N$5</f>
        <v>8.4440425705237416</v>
      </c>
      <c r="G13" s="2">
        <f>Table22345[[#This Row],[PP]]/$N$2</f>
        <v>1.6888085141047484</v>
      </c>
      <c r="H13" s="4">
        <v>2</v>
      </c>
      <c r="I13" s="4">
        <f>Table22345[[#This Row],[PPG]]*Table22345[[#This Row],[Plays]]</f>
        <v>3.3776170282094968</v>
      </c>
      <c r="J13" s="4">
        <v>2</v>
      </c>
      <c r="K13" s="2">
        <f>Table22345[[#This Row],[APP]]/Table22345[[#This Row],[Plays]]</f>
        <v>1</v>
      </c>
    </row>
    <row r="14" spans="1:14" x14ac:dyDescent="0.3">
      <c r="A14" t="s">
        <v>116</v>
      </c>
      <c r="B14" t="s">
        <v>19</v>
      </c>
      <c r="C14" t="s">
        <v>104</v>
      </c>
      <c r="D14">
        <v>5.2380951183999596</v>
      </c>
      <c r="E14">
        <v>45.410007883655197</v>
      </c>
      <c r="F14">
        <f>Table22345[[#This Row],[ARIMAPP]]*$N$4+Table22345[[#This Row],[LSTMPP]]*$N$5</f>
        <v>10.475176290931957</v>
      </c>
      <c r="G14" s="2">
        <f>Table22345[[#This Row],[PP]]/$N$2</f>
        <v>2.0950352581863916</v>
      </c>
      <c r="H14" s="2">
        <v>5</v>
      </c>
      <c r="I14" s="2">
        <f>Table22345[[#This Row],[PPG]]*Table22345[[#This Row],[Plays]]</f>
        <v>10.475176290931959</v>
      </c>
      <c r="J14" s="2">
        <v>6</v>
      </c>
      <c r="K14" s="2">
        <f>Table22345[[#This Row],[APP]]/Table22345[[#This Row],[Plays]]</f>
        <v>1.2</v>
      </c>
    </row>
    <row r="15" spans="1:14" x14ac:dyDescent="0.3">
      <c r="A15" t="s">
        <v>117</v>
      </c>
      <c r="B15" t="s">
        <v>15</v>
      </c>
      <c r="C15" t="s">
        <v>104</v>
      </c>
      <c r="D15">
        <v>15.5238152600148</v>
      </c>
      <c r="E15">
        <v>52.788356086471801</v>
      </c>
      <c r="F15">
        <f>Table22345[[#This Row],[ARIMAPP]]*$N$4+Table22345[[#This Row],[LSTMPP]]*$N$5</f>
        <v>15.552456053912541</v>
      </c>
      <c r="G15" s="2">
        <f>Table22345[[#This Row],[PP]]/$N$2</f>
        <v>3.1104912107825085</v>
      </c>
      <c r="H15" s="4">
        <v>5</v>
      </c>
      <c r="I15" s="4">
        <f>Table22345[[#This Row],[PPG]]*Table22345[[#This Row],[Plays]]</f>
        <v>15.552456053912543</v>
      </c>
      <c r="J15" s="4">
        <v>14</v>
      </c>
      <c r="K15" s="2">
        <f>Table22345[[#This Row],[APP]]/Table22345[[#This Row],[Plays]]</f>
        <v>2.8</v>
      </c>
    </row>
    <row r="16" spans="1:14" x14ac:dyDescent="0.3">
      <c r="A16" t="s">
        <v>118</v>
      </c>
      <c r="B16" t="s">
        <v>16</v>
      </c>
      <c r="C16" t="s">
        <v>104</v>
      </c>
      <c r="D16">
        <v>10.4762038020224</v>
      </c>
      <c r="E16">
        <v>49.2389566075394</v>
      </c>
      <c r="F16">
        <f>Table22345[[#This Row],[ARIMAPP]]*$N$4+Table22345[[#This Row],[LSTMPP]]*$N$5</f>
        <v>13.074366567278663</v>
      </c>
      <c r="G16" s="6">
        <f>Table22345[[#This Row],[PP]]/$N$2</f>
        <v>2.6148733134557327</v>
      </c>
      <c r="H16" s="2">
        <v>5</v>
      </c>
      <c r="I16" s="6">
        <f>Table22345[[#This Row],[PPG]]*Table22345[[#This Row],[Plays]]</f>
        <v>13.074366567278663</v>
      </c>
      <c r="J16" s="2">
        <v>9</v>
      </c>
      <c r="K16" s="6">
        <f>Table22345[[#This Row],[APP]]/Table22345[[#This Row],[Plays]]</f>
        <v>1.8</v>
      </c>
    </row>
    <row r="17" spans="1:11" x14ac:dyDescent="0.3">
      <c r="A17" t="s">
        <v>119</v>
      </c>
      <c r="B17" t="s">
        <v>19</v>
      </c>
      <c r="C17" t="s">
        <v>104</v>
      </c>
      <c r="D17">
        <v>7.6420409170052999</v>
      </c>
      <c r="E17">
        <v>48.702246167010998</v>
      </c>
      <c r="F17">
        <f>Table22345[[#This Row],[ARIMAPP]]*$N$4+Table22345[[#This Row],[LSTMPP]]*$N$5</f>
        <v>11.958782487127589</v>
      </c>
      <c r="G17" s="6">
        <f>Table22345[[#This Row],[PP]]/$N$2</f>
        <v>2.3917564974255177</v>
      </c>
      <c r="H17" s="2">
        <v>4</v>
      </c>
      <c r="I17" s="6">
        <f>Table22345[[#This Row],[PPG]]*Table22345[[#This Row],[Plays]]</f>
        <v>9.5670259897020706</v>
      </c>
      <c r="J17" s="2">
        <v>8</v>
      </c>
      <c r="K17" s="6">
        <f>Table22345[[#This Row],[APP]]/Table22345[[#This Row],[Plays]]</f>
        <v>2</v>
      </c>
    </row>
    <row r="18" spans="1:11" x14ac:dyDescent="0.3">
      <c r="A18" t="s">
        <v>120</v>
      </c>
      <c r="B18" t="s">
        <v>16</v>
      </c>
      <c r="C18" t="s">
        <v>104</v>
      </c>
      <c r="D18">
        <v>20.236067965056499</v>
      </c>
      <c r="E18">
        <v>48.631245663477102</v>
      </c>
      <c r="F18">
        <f>Table22345[[#This Row],[ARIMAPP]]*$N$4+Table22345[[#This Row],[LSTMPP]]*$N$5</f>
        <v>16.450857926912622</v>
      </c>
      <c r="G18" s="6">
        <f>Table22345[[#This Row],[PP]]/$N$2</f>
        <v>3.2901715853825246</v>
      </c>
      <c r="H18" s="2">
        <v>5</v>
      </c>
      <c r="I18" s="6">
        <f>Table22345[[#This Row],[PPG]]*Table22345[[#This Row],[Plays]]</f>
        <v>16.450857926912622</v>
      </c>
      <c r="J18" s="2">
        <v>18</v>
      </c>
      <c r="K18" s="6">
        <f>Table22345[[#This Row],[APP]]/Table22345[[#This Row],[Plays]]</f>
        <v>3.6</v>
      </c>
    </row>
    <row r="19" spans="1:11" x14ac:dyDescent="0.3">
      <c r="A19" t="s">
        <v>121</v>
      </c>
      <c r="B19" t="s">
        <v>19</v>
      </c>
      <c r="C19" t="s">
        <v>104</v>
      </c>
      <c r="D19">
        <v>2.4999971984825602</v>
      </c>
      <c r="E19">
        <v>43.589509899447698</v>
      </c>
      <c r="F19">
        <f>Table22345[[#This Row],[ARIMAPP]]*$N$4+Table22345[[#This Row],[LSTMPP]]*$N$5</f>
        <v>9.1507935542182128</v>
      </c>
      <c r="G19" s="6">
        <f>Table22345[[#This Row],[PP]]/$N$2</f>
        <v>1.8301587108436426</v>
      </c>
      <c r="H19" s="2">
        <v>2</v>
      </c>
      <c r="I19" s="6">
        <f>Table22345[[#This Row],[PPG]]*Table22345[[#This Row],[Plays]]</f>
        <v>3.6603174216872851</v>
      </c>
      <c r="J19" s="2">
        <v>2</v>
      </c>
      <c r="K19" s="6">
        <f>Table22345[[#This Row],[APP]]/Table22345[[#This Row],[Plays]]</f>
        <v>1</v>
      </c>
    </row>
    <row r="20" spans="1:11" x14ac:dyDescent="0.3">
      <c r="A20" t="s">
        <v>122</v>
      </c>
      <c r="B20" t="s">
        <v>16</v>
      </c>
      <c r="C20" t="s">
        <v>104</v>
      </c>
      <c r="D20">
        <v>5</v>
      </c>
      <c r="E20">
        <v>43.523169089747398</v>
      </c>
      <c r="F20">
        <f>Table22345[[#This Row],[ARIMAPP]]*$N$4+Table22345[[#This Row],[LSTMPP]]*$N$5</f>
        <v>10.032605867948595</v>
      </c>
      <c r="G20" s="6">
        <f>Table22345[[#This Row],[PP]]/$N$2</f>
        <v>2.0065211735897188</v>
      </c>
      <c r="H20" s="2">
        <v>2</v>
      </c>
      <c r="I20" s="6">
        <f>Table22345[[#This Row],[PPG]]*Table22345[[#This Row],[Plays]]</f>
        <v>4.0130423471794376</v>
      </c>
      <c r="J20" s="2">
        <v>4</v>
      </c>
      <c r="K20" s="6">
        <f>Table22345[[#This Row],[APP]]/Table22345[[#This Row],[Plays]]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DDF2-700D-4061-9C35-3B4B17599EA3}">
  <dimension ref="A1:N19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4" width="12.6640625" bestFit="1" customWidth="1"/>
    <col min="5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59</v>
      </c>
      <c r="B2" t="s">
        <v>19</v>
      </c>
      <c r="C2" t="s">
        <v>60</v>
      </c>
      <c r="D2">
        <v>8.1543817446856295</v>
      </c>
      <c r="E2">
        <v>46.274000422503697</v>
      </c>
      <c r="F2">
        <f>Table223456[[#This Row],[ARIMAPP]]*$N$4+Table223456[[#This Row],[LSTMPP]]*$N$5</f>
        <v>12.469138536880685</v>
      </c>
      <c r="G2" s="2">
        <f>Table223456[[#This Row],[PP]]/$N$2</f>
        <v>2.4938277073761368</v>
      </c>
      <c r="H2" s="2">
        <v>3</v>
      </c>
      <c r="I2" s="2">
        <f>Table223456[[#This Row],[PPG]]*Table223456[[#This Row],[Plays]]</f>
        <v>7.4814831221284104</v>
      </c>
      <c r="J2" s="2">
        <v>8</v>
      </c>
      <c r="K2" s="3">
        <f>Table223456[[#This Row],[APP]]/Table223456[[#This Row],[Plays]]</f>
        <v>2.6666666666666665</v>
      </c>
      <c r="M2" t="s">
        <v>14</v>
      </c>
      <c r="N2">
        <v>5</v>
      </c>
    </row>
    <row r="3" spans="1:14" x14ac:dyDescent="0.3">
      <c r="A3" t="s">
        <v>61</v>
      </c>
      <c r="B3" t="s">
        <v>15</v>
      </c>
      <c r="C3" t="s">
        <v>60</v>
      </c>
      <c r="D3">
        <v>16.9999999780865</v>
      </c>
      <c r="E3">
        <v>53.451598417337401</v>
      </c>
      <c r="F3">
        <f>Table223456[[#This Row],[ARIMAPP]]*$N$4+Table223456[[#This Row],[LSTMPP]]*$N$5</f>
        <v>17.135151088344681</v>
      </c>
      <c r="G3" s="2">
        <f>Table223456[[#This Row],[PP]]/$N$2</f>
        <v>3.4270302176689365</v>
      </c>
      <c r="H3" s="2">
        <v>5</v>
      </c>
      <c r="I3" s="2">
        <f>Table223456[[#This Row],[PPG]]*Table223456[[#This Row],[Plays]]</f>
        <v>17.135151088344681</v>
      </c>
      <c r="J3" s="2">
        <v>17</v>
      </c>
      <c r="K3" s="2">
        <f>Table223456[[#This Row],[APP]]/Table223456[[#This Row],[Plays]]</f>
        <v>3.4</v>
      </c>
    </row>
    <row r="4" spans="1:14" x14ac:dyDescent="0.3">
      <c r="A4" t="s">
        <v>62</v>
      </c>
      <c r="B4" t="s">
        <v>19</v>
      </c>
      <c r="C4" t="s">
        <v>60</v>
      </c>
      <c r="D4">
        <v>37.999999993683602</v>
      </c>
      <c r="E4">
        <v>65.982301894077395</v>
      </c>
      <c r="F4">
        <f>Table223456[[#This Row],[ARIMAPP]]*$N$4+Table223456[[#This Row],[LSTMPP]]*$N$5</f>
        <v>27.283797531890514</v>
      </c>
      <c r="G4" s="2">
        <f>Table223456[[#This Row],[PP]]/$N$2</f>
        <v>5.4567595063781029</v>
      </c>
      <c r="H4" s="4">
        <v>5</v>
      </c>
      <c r="I4" s="4">
        <f>Table223456[[#This Row],[PPG]]*Table223456[[#This Row],[Plays]]</f>
        <v>27.283797531890514</v>
      </c>
      <c r="J4" s="4">
        <v>37</v>
      </c>
      <c r="K4" s="2">
        <f>Table223456[[#This Row],[APP]]/Table223456[[#This Row],[Plays]]</f>
        <v>7.4</v>
      </c>
      <c r="M4" t="s">
        <v>17</v>
      </c>
      <c r="N4">
        <v>0.36037351516885086</v>
      </c>
    </row>
    <row r="5" spans="1:14" x14ac:dyDescent="0.3">
      <c r="A5" t="s">
        <v>63</v>
      </c>
      <c r="B5" t="s">
        <v>16</v>
      </c>
      <c r="C5" t="s">
        <v>60</v>
      </c>
      <c r="D5">
        <v>27.142857049101501</v>
      </c>
      <c r="E5">
        <v>56.814292039376902</v>
      </c>
      <c r="F5">
        <f>Table223456[[#This Row],[ARIMAPP]]*$N$4+Table223456[[#This Row],[LSTMPP]]*$N$5</f>
        <v>21.482942869360429</v>
      </c>
      <c r="G5" s="2">
        <f>Table223456[[#This Row],[PP]]/$N$2</f>
        <v>4.2965885738720857</v>
      </c>
      <c r="H5" s="2">
        <v>5</v>
      </c>
      <c r="I5" s="2">
        <f>Table223456[[#This Row],[PPG]]*Table223456[[#This Row],[Plays]]</f>
        <v>21.482942869360429</v>
      </c>
      <c r="J5" s="2">
        <v>21</v>
      </c>
      <c r="K5" s="2">
        <f>Table223456[[#This Row],[APP]]/Table223456[[#This Row],[Plays]]</f>
        <v>4.2</v>
      </c>
      <c r="M5" t="s">
        <v>20</v>
      </c>
      <c r="N5">
        <v>0.20595831863468614</v>
      </c>
    </row>
    <row r="6" spans="1:14" x14ac:dyDescent="0.3">
      <c r="A6" t="s">
        <v>64</v>
      </c>
      <c r="B6" t="s">
        <v>19</v>
      </c>
      <c r="C6" t="s">
        <v>60</v>
      </c>
      <c r="D6">
        <v>23.4772254927848</v>
      </c>
      <c r="E6">
        <v>53.487844674212297</v>
      </c>
      <c r="F6">
        <f>Table223456[[#This Row],[ARIMAPP]]*$N$4+Table223456[[#This Row],[LSTMPP]]*$N$5</f>
        <v>19.476836833740634</v>
      </c>
      <c r="G6" s="2">
        <f>Table223456[[#This Row],[PP]]/$N$2</f>
        <v>3.8953673667481268</v>
      </c>
      <c r="H6" s="4">
        <v>5</v>
      </c>
      <c r="I6" s="4">
        <f>Table223456[[#This Row],[PPG]]*Table223456[[#This Row],[Plays]]</f>
        <v>19.476836833740634</v>
      </c>
      <c r="J6" s="4">
        <v>15</v>
      </c>
      <c r="K6" s="2">
        <f>Table223456[[#This Row],[APP]]/Table223456[[#This Row],[Plays]]</f>
        <v>3</v>
      </c>
    </row>
    <row r="7" spans="1:14" x14ac:dyDescent="0.3">
      <c r="A7" t="s">
        <v>65</v>
      </c>
      <c r="B7" t="s">
        <v>16</v>
      </c>
      <c r="C7" t="s">
        <v>60</v>
      </c>
      <c r="D7">
        <v>-1.1666666666635801</v>
      </c>
      <c r="E7">
        <v>57.064274387889299</v>
      </c>
      <c r="F7">
        <f>Table223456[[#This Row],[ARIMAPP]]*$N$4+Table223456[[#This Row],[LSTMPP]]*$N$5</f>
        <v>11.332426239342183</v>
      </c>
      <c r="G7" s="2">
        <f>Table223456[[#This Row],[PP]]/$N$2</f>
        <v>2.2664852478684367</v>
      </c>
      <c r="H7" s="2">
        <v>5</v>
      </c>
      <c r="I7" s="2">
        <f>Table223456[[#This Row],[PPG]]*Table223456[[#This Row],[Plays]]</f>
        <v>11.332426239342183</v>
      </c>
      <c r="J7" s="2">
        <v>20</v>
      </c>
      <c r="K7" s="2">
        <f>Table223456[[#This Row],[APP]]/Table223456[[#This Row],[Plays]]</f>
        <v>4</v>
      </c>
      <c r="M7" t="s">
        <v>22</v>
      </c>
      <c r="N7" cm="1">
        <f t="array" ref="N7">(SUM(Table223456[Tot]-Table223456[APP]))^2</f>
        <v>1.0799505792475652E-27</v>
      </c>
    </row>
    <row r="8" spans="1:14" x14ac:dyDescent="0.3">
      <c r="A8" t="s">
        <v>66</v>
      </c>
      <c r="B8" t="s">
        <v>16</v>
      </c>
      <c r="C8" t="s">
        <v>60</v>
      </c>
      <c r="D8">
        <v>30.809516390260601</v>
      </c>
      <c r="E8">
        <v>61.786191633733097</v>
      </c>
      <c r="F8">
        <f>Table223456[[#This Row],[ARIMAPP]]*$N$4+Table223456[[#This Row],[LSTMPP]]*$N$5</f>
        <v>23.828313865934717</v>
      </c>
      <c r="G8" s="2">
        <f>Table223456[[#This Row],[PP]]/$N$2</f>
        <v>4.7656627731869436</v>
      </c>
      <c r="H8" s="4">
        <v>5</v>
      </c>
      <c r="I8" s="4">
        <f>Table223456[[#This Row],[PPG]]*Table223456[[#This Row],[Plays]]</f>
        <v>23.828313865934717</v>
      </c>
      <c r="J8" s="4">
        <v>25</v>
      </c>
      <c r="K8" s="2">
        <f>Table223456[[#This Row],[APP]]/Table223456[[#This Row],[Plays]]</f>
        <v>5</v>
      </c>
    </row>
    <row r="9" spans="1:14" x14ac:dyDescent="0.3">
      <c r="A9" t="s">
        <v>67</v>
      </c>
      <c r="B9" t="s">
        <v>19</v>
      </c>
      <c r="C9" t="s">
        <v>60</v>
      </c>
      <c r="D9">
        <v>17.333359247194799</v>
      </c>
      <c r="E9">
        <v>60.721076078320301</v>
      </c>
      <c r="F9">
        <f>Table223456[[#This Row],[ARIMAPP]]*$N$4+Table223456[[#This Row],[LSTMPP]]*$N$5</f>
        <v>18.752494336375808</v>
      </c>
      <c r="G9" s="2">
        <f>Table223456[[#This Row],[PP]]/$N$2</f>
        <v>3.7504988672751614</v>
      </c>
      <c r="H9" s="2">
        <v>5</v>
      </c>
      <c r="I9" s="2">
        <f>Table223456[[#This Row],[PPG]]*Table223456[[#This Row],[Plays]]</f>
        <v>18.752494336375808</v>
      </c>
      <c r="J9" s="2">
        <v>20</v>
      </c>
      <c r="K9" s="2">
        <f>Table223456[[#This Row],[APP]]/Table223456[[#This Row],[Plays]]</f>
        <v>4</v>
      </c>
    </row>
    <row r="10" spans="1:14" x14ac:dyDescent="0.3">
      <c r="A10" t="s">
        <v>68</v>
      </c>
      <c r="B10" t="s">
        <v>12</v>
      </c>
      <c r="C10" t="s">
        <v>60</v>
      </c>
      <c r="D10">
        <v>31.9523830517021</v>
      </c>
      <c r="E10">
        <v>63.100091001626801</v>
      </c>
      <c r="F10">
        <f>Table223456[[#This Row],[ARIMAPP]]*$N$4+Table223456[[#This Row],[LSTMPP]]*$N$5</f>
        <v>24.510781246754242</v>
      </c>
      <c r="G10" s="2">
        <f>Table223456[[#This Row],[PP]]/$N$2</f>
        <v>4.9021562493508481</v>
      </c>
      <c r="H10" s="4">
        <v>5</v>
      </c>
      <c r="I10" s="4">
        <f>Table223456[[#This Row],[PPG]]*Table223456[[#This Row],[Plays]]</f>
        <v>24.510781246754242</v>
      </c>
      <c r="J10" s="4">
        <v>27</v>
      </c>
      <c r="K10" s="2">
        <f>Table223456[[#This Row],[APP]]/Table223456[[#This Row],[Plays]]</f>
        <v>5.4</v>
      </c>
    </row>
    <row r="11" spans="1:14" x14ac:dyDescent="0.3">
      <c r="A11" t="s">
        <v>69</v>
      </c>
      <c r="B11" t="s">
        <v>16</v>
      </c>
      <c r="C11" t="s">
        <v>60</v>
      </c>
      <c r="D11">
        <v>3.57142911830781</v>
      </c>
      <c r="E11">
        <v>42.890100811323101</v>
      </c>
      <c r="F11">
        <f>Table223456[[#This Row],[ARIMAPP]]*$N$4+Table223456[[#This Row],[LSTMPP]]*$N$5</f>
        <v>10.120621514713269</v>
      </c>
      <c r="G11" s="2">
        <f>Table223456[[#This Row],[PP]]/$N$2</f>
        <v>2.0241243029426537</v>
      </c>
      <c r="H11" s="2">
        <v>4</v>
      </c>
      <c r="I11" s="2">
        <f>Table223456[[#This Row],[PPG]]*Table223456[[#This Row],[Plays]]</f>
        <v>8.0964972117706147</v>
      </c>
      <c r="J11" s="2">
        <v>4</v>
      </c>
      <c r="K11" s="2">
        <f>Table223456[[#This Row],[APP]]/Table223456[[#This Row],[Plays]]</f>
        <v>1</v>
      </c>
    </row>
    <row r="12" spans="1:14" x14ac:dyDescent="0.3">
      <c r="A12" t="s">
        <v>70</v>
      </c>
      <c r="B12" t="s">
        <v>19</v>
      </c>
      <c r="C12" t="s">
        <v>60</v>
      </c>
      <c r="D12">
        <v>22.952380794450701</v>
      </c>
      <c r="E12">
        <v>58.576169963995902</v>
      </c>
      <c r="F12">
        <f>Table223456[[#This Row],[ARIMAPP]]*$N$4+Table223456[[#This Row],[LSTMPP]]*$N$5</f>
        <v>20.33567962623442</v>
      </c>
      <c r="G12" s="2">
        <f>Table223456[[#This Row],[PP]]/$N$2</f>
        <v>4.0671359252468839</v>
      </c>
      <c r="H12" s="2">
        <v>5</v>
      </c>
      <c r="I12" s="2">
        <f>Table223456[[#This Row],[PPG]]*Table223456[[#This Row],[Plays]]</f>
        <v>20.33567962623442</v>
      </c>
      <c r="J12" s="2">
        <v>25</v>
      </c>
      <c r="K12" s="2">
        <f>Table223456[[#This Row],[APP]]/Table223456[[#This Row],[Plays]]</f>
        <v>5</v>
      </c>
    </row>
    <row r="13" spans="1:14" x14ac:dyDescent="0.3">
      <c r="A13" t="s">
        <v>71</v>
      </c>
      <c r="B13" t="s">
        <v>19</v>
      </c>
      <c r="C13" t="s">
        <v>60</v>
      </c>
      <c r="D13">
        <v>5.2380951183999596</v>
      </c>
      <c r="E13">
        <v>46.665648588782403</v>
      </c>
      <c r="F13">
        <f>Table223456[[#This Row],[ARIMAPP]]*$N$4+Table223456[[#This Row],[LSTMPP]]*$N$5</f>
        <v>11.49884927194933</v>
      </c>
      <c r="G13" s="2">
        <f>Table223456[[#This Row],[PP]]/$N$2</f>
        <v>2.2997698543898659</v>
      </c>
      <c r="H13" s="2">
        <v>5</v>
      </c>
      <c r="I13" s="2">
        <f>Table223456[[#This Row],[PPG]]*Table223456[[#This Row],[Plays]]</f>
        <v>11.498849271949329</v>
      </c>
      <c r="J13" s="2">
        <v>6</v>
      </c>
      <c r="K13" s="2">
        <f>Table223456[[#This Row],[APP]]/Table223456[[#This Row],[Plays]]</f>
        <v>1.2</v>
      </c>
    </row>
    <row r="14" spans="1:14" x14ac:dyDescent="0.3">
      <c r="A14" t="s">
        <v>72</v>
      </c>
      <c r="B14" t="s">
        <v>19</v>
      </c>
      <c r="C14" t="s">
        <v>60</v>
      </c>
      <c r="D14">
        <v>15.236067975914899</v>
      </c>
      <c r="E14">
        <v>53.855229105162799</v>
      </c>
      <c r="F14">
        <f>Table223456[[#This Row],[ARIMAPP]]*$N$4+Table223456[[#This Row],[LSTMPP]]*$N$5</f>
        <v>16.582607810017155</v>
      </c>
      <c r="G14" s="2">
        <f>Table223456[[#This Row],[PP]]/$N$2</f>
        <v>3.3165215620034312</v>
      </c>
      <c r="H14" s="2">
        <v>5</v>
      </c>
      <c r="I14" s="2">
        <f>Table223456[[#This Row],[PPG]]*Table223456[[#This Row],[Plays]]</f>
        <v>16.582607810017155</v>
      </c>
      <c r="J14" s="2">
        <v>13</v>
      </c>
      <c r="K14" s="2">
        <f>Table223456[[#This Row],[APP]]/Table223456[[#This Row],[Plays]]</f>
        <v>2.6</v>
      </c>
    </row>
    <row r="15" spans="1:14" x14ac:dyDescent="0.3">
      <c r="A15" t="s">
        <v>74</v>
      </c>
      <c r="B15" t="s">
        <v>15</v>
      </c>
      <c r="C15" t="s">
        <v>60</v>
      </c>
      <c r="D15">
        <v>1.9999999813735401</v>
      </c>
      <c r="E15">
        <v>42.080391682119803</v>
      </c>
      <c r="F15">
        <f>Table223456[[#This Row],[ARIMAPP]]*$N$4+Table223456[[#This Row],[LSTMPP]]*$N$5</f>
        <v>9.3875537419636448</v>
      </c>
      <c r="G15" s="2">
        <f>Table223456[[#This Row],[PP]]/$N$2</f>
        <v>1.8775107483927289</v>
      </c>
      <c r="H15" s="4">
        <v>2</v>
      </c>
      <c r="I15" s="4">
        <f>Table223456[[#This Row],[PPG]]*Table223456[[#This Row],[Plays]]</f>
        <v>3.7550214967854578</v>
      </c>
      <c r="J15" s="4">
        <v>2</v>
      </c>
      <c r="K15" s="2">
        <f>Table223456[[#This Row],[APP]]/Table223456[[#This Row],[Plays]]</f>
        <v>1</v>
      </c>
    </row>
    <row r="16" spans="1:14" x14ac:dyDescent="0.3">
      <c r="A16" t="s">
        <v>75</v>
      </c>
      <c r="B16" t="s">
        <v>19</v>
      </c>
      <c r="C16" t="s">
        <v>60</v>
      </c>
      <c r="D16">
        <v>4.0202451987351102</v>
      </c>
      <c r="E16">
        <v>43.8281291109043</v>
      </c>
      <c r="F16">
        <f>Table223456[[#This Row],[ARIMAPP]]*$N$4+Table223456[[#This Row],[LSTMPP]]*$N$5</f>
        <v>10.475557674694658</v>
      </c>
      <c r="G16" s="2">
        <f>Table223456[[#This Row],[PP]]/$N$2</f>
        <v>2.0951115349389315</v>
      </c>
      <c r="H16" s="2">
        <v>4</v>
      </c>
      <c r="I16" s="2">
        <f>Table223456[[#This Row],[PPG]]*Table223456[[#This Row],[Plays]]</f>
        <v>8.3804461397557262</v>
      </c>
      <c r="J16" s="2">
        <v>4</v>
      </c>
      <c r="K16" s="2">
        <f>Table223456[[#This Row],[APP]]/Table223456[[#This Row],[Plays]]</f>
        <v>1</v>
      </c>
    </row>
    <row r="17" spans="1:11" x14ac:dyDescent="0.3">
      <c r="A17" t="s">
        <v>76</v>
      </c>
      <c r="B17" t="s">
        <v>16</v>
      </c>
      <c r="C17" t="s">
        <v>60</v>
      </c>
      <c r="D17">
        <v>1.0476190057723</v>
      </c>
      <c r="E17">
        <v>40.938174515677197</v>
      </c>
      <c r="F17">
        <f>Table223456[[#This Row],[ARIMAPP]]*$N$4+Table223456[[#This Row],[LSTMPP]]*$N$5</f>
        <v>8.8090917348900923</v>
      </c>
      <c r="G17" s="6">
        <f>Table223456[[#This Row],[PP]]/$N$2</f>
        <v>1.7618183469780184</v>
      </c>
      <c r="H17" s="2">
        <v>1</v>
      </c>
      <c r="I17" s="6">
        <f>Table223456[[#This Row],[PPG]]*Table223456[[#This Row],[Plays]]</f>
        <v>1.7618183469780184</v>
      </c>
      <c r="J17" s="2">
        <v>1</v>
      </c>
      <c r="K17" s="6">
        <f>Table223456[[#This Row],[APP]]/Table223456[[#This Row],[Plays]]</f>
        <v>1</v>
      </c>
    </row>
    <row r="18" spans="1:11" x14ac:dyDescent="0.3">
      <c r="A18" t="s">
        <v>77</v>
      </c>
      <c r="B18" t="s">
        <v>16</v>
      </c>
      <c r="C18" t="s">
        <v>60</v>
      </c>
      <c r="D18">
        <v>4.23606795266452</v>
      </c>
      <c r="E18">
        <v>41.316316530023201</v>
      </c>
      <c r="F18">
        <f>Table223456[[#This Row],[ARIMAPP]]*$N$4+Table223456[[#This Row],[LSTMPP]]*$N$5</f>
        <v>10.036005783297899</v>
      </c>
      <c r="G18" s="6">
        <f>Table223456[[#This Row],[PP]]/$N$2</f>
        <v>2.0072011566595798</v>
      </c>
      <c r="H18" s="2">
        <v>2</v>
      </c>
      <c r="I18" s="6">
        <f>Table223456[[#This Row],[PPG]]*Table223456[[#This Row],[Plays]]</f>
        <v>4.0144023133191595</v>
      </c>
      <c r="J18" s="2">
        <v>2</v>
      </c>
      <c r="K18" s="6">
        <f>Table223456[[#This Row],[APP]]/Table223456[[#This Row],[Plays]]</f>
        <v>1</v>
      </c>
    </row>
    <row r="19" spans="1:11" x14ac:dyDescent="0.3">
      <c r="A19" t="s">
        <v>78</v>
      </c>
      <c r="B19" t="s">
        <v>16</v>
      </c>
      <c r="C19" t="s">
        <v>60</v>
      </c>
      <c r="D19">
        <v>19.236631355378901</v>
      </c>
      <c r="E19">
        <v>65.798322902521804</v>
      </c>
      <c r="F19">
        <f>Table223456[[#This Row],[ARIMAPP]]*$N$4+Table223456[[#This Row],[LSTMPP]]*$N$5</f>
        <v>20.484084415530784</v>
      </c>
      <c r="G19" s="6">
        <f>Table223456[[#This Row],[PP]]/$N$2</f>
        <v>4.0968168831061567</v>
      </c>
      <c r="H19" s="2">
        <v>3</v>
      </c>
      <c r="I19" s="6">
        <f>Table223456[[#This Row],[PPG]]*Table223456[[#This Row],[Plays]]</f>
        <v>12.290450649318469</v>
      </c>
      <c r="J19" s="2">
        <v>11</v>
      </c>
      <c r="K19" s="6">
        <f>Table223456[[#This Row],[APP]]/Table223456[[#This Row],[Plays]]</f>
        <v>3.6666666666666665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E041-9AC1-4E62-A411-BC65241BFF33}">
  <dimension ref="A1:N20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124</v>
      </c>
      <c r="B2" t="s">
        <v>16</v>
      </c>
      <c r="C2" t="s">
        <v>123</v>
      </c>
      <c r="D2">
        <v>12.4285719013888</v>
      </c>
      <c r="E2">
        <v>52.792228379130499</v>
      </c>
      <c r="F2">
        <f>Table2234567[[#This Row],[ARIMAPP]]*$N$4+Table2234567[[#This Row],[LSTMPP]]*$N$5</f>
        <v>13.308111777677542</v>
      </c>
      <c r="G2" s="2">
        <f>Table2234567[[#This Row],[PP]]/$N$2</f>
        <v>2.6616223555355085</v>
      </c>
      <c r="H2" s="4">
        <v>5</v>
      </c>
      <c r="I2" s="4">
        <f>Table2234567[[#This Row],[PPG]]*Table2234567[[#This Row],[Plays]]</f>
        <v>13.308111777677542</v>
      </c>
      <c r="J2" s="4">
        <v>11</v>
      </c>
      <c r="K2" s="2">
        <f>Table2234567[[#This Row],[APP]]/Table2234567[[#This Row],[Plays]]</f>
        <v>2.2000000000000002</v>
      </c>
      <c r="M2" t="s">
        <v>14</v>
      </c>
      <c r="N2">
        <v>5</v>
      </c>
    </row>
    <row r="3" spans="1:14" x14ac:dyDescent="0.3">
      <c r="A3" t="s">
        <v>125</v>
      </c>
      <c r="B3" t="s">
        <v>16</v>
      </c>
      <c r="C3" t="s">
        <v>123</v>
      </c>
      <c r="D3">
        <v>10.8785022096812</v>
      </c>
      <c r="E3">
        <v>50.652507449254799</v>
      </c>
      <c r="F3">
        <f>Table2234567[[#This Row],[ARIMAPP]]*$N$4+Table2234567[[#This Row],[LSTMPP]]*$N$5</f>
        <v>12.387005793455968</v>
      </c>
      <c r="G3" s="2">
        <f>Table2234567[[#This Row],[PP]]/$N$2</f>
        <v>2.4774011586911935</v>
      </c>
      <c r="H3" s="2">
        <v>5</v>
      </c>
      <c r="I3" s="2">
        <f>Table2234567[[#This Row],[PPG]]*Table2234567[[#This Row],[Plays]]</f>
        <v>12.387005793455968</v>
      </c>
      <c r="J3" s="2">
        <v>11</v>
      </c>
      <c r="K3" s="2">
        <f>Table2234567[[#This Row],[APP]]/Table2234567[[#This Row],[Plays]]</f>
        <v>2.2000000000000002</v>
      </c>
    </row>
    <row r="4" spans="1:14" x14ac:dyDescent="0.3">
      <c r="A4" t="s">
        <v>126</v>
      </c>
      <c r="B4" t="s">
        <v>16</v>
      </c>
      <c r="C4" t="s">
        <v>123</v>
      </c>
      <c r="D4">
        <v>13.236067977499699</v>
      </c>
      <c r="E4">
        <v>49.567262331065997</v>
      </c>
      <c r="F4">
        <f>Table2234567[[#This Row],[ARIMAPP]]*$N$4+Table2234567[[#This Row],[LSTMPP]]*$N$5</f>
        <v>13.066713126889343</v>
      </c>
      <c r="G4" s="2">
        <f>Table2234567[[#This Row],[PP]]/$N$2</f>
        <v>2.6133426253778689</v>
      </c>
      <c r="H4" s="4">
        <v>5</v>
      </c>
      <c r="I4" s="4">
        <f>Table2234567[[#This Row],[PPG]]*Table2234567[[#This Row],[Plays]]</f>
        <v>13.066713126889343</v>
      </c>
      <c r="J4" s="4">
        <v>11</v>
      </c>
      <c r="K4" s="2">
        <f>Table2234567[[#This Row],[APP]]/Table2234567[[#This Row],[Plays]]</f>
        <v>2.2000000000000002</v>
      </c>
      <c r="M4" t="s">
        <v>17</v>
      </c>
      <c r="N4">
        <v>0.36481421464908514</v>
      </c>
    </row>
    <row r="5" spans="1:14" x14ac:dyDescent="0.3">
      <c r="A5" t="s">
        <v>127</v>
      </c>
      <c r="B5" t="s">
        <v>19</v>
      </c>
      <c r="C5" t="s">
        <v>123</v>
      </c>
      <c r="D5">
        <v>18.817785571140099</v>
      </c>
      <c r="E5">
        <v>54.2676175163135</v>
      </c>
      <c r="F5">
        <f>Table2234567[[#This Row],[ARIMAPP]]*$N$4+Table2234567[[#This Row],[LSTMPP]]*$N$5</f>
        <v>15.884195287730924</v>
      </c>
      <c r="G5" s="2">
        <f>Table2234567[[#This Row],[PP]]/$N$2</f>
        <v>3.1768390575461849</v>
      </c>
      <c r="H5" s="4">
        <v>5</v>
      </c>
      <c r="I5" s="4">
        <f>Table2234567[[#This Row],[PPG]]*Table2234567[[#This Row],[Plays]]</f>
        <v>15.884195287730925</v>
      </c>
      <c r="J5" s="4">
        <v>19</v>
      </c>
      <c r="K5" s="2">
        <f>Table2234567[[#This Row],[APP]]/Table2234567[[#This Row],[Plays]]</f>
        <v>3.8</v>
      </c>
      <c r="M5" t="s">
        <v>20</v>
      </c>
      <c r="N5">
        <v>0.16619855515951629</v>
      </c>
    </row>
    <row r="6" spans="1:14" x14ac:dyDescent="0.3">
      <c r="A6" t="s">
        <v>128</v>
      </c>
      <c r="B6" t="s">
        <v>19</v>
      </c>
      <c r="C6" t="s">
        <v>123</v>
      </c>
      <c r="D6">
        <v>2.9999999751647302</v>
      </c>
      <c r="E6">
        <v>41.166640548641702</v>
      </c>
      <c r="F6">
        <f>Table2234567[[#This Row],[ARIMAPP]]*$N$4+Table2234567[[#This Row],[LSTMPP]]*$N$5</f>
        <v>7.9362788148424039</v>
      </c>
      <c r="G6" s="2">
        <f>Table2234567[[#This Row],[PP]]/$N$2</f>
        <v>1.5872557629684807</v>
      </c>
      <c r="H6" s="4">
        <v>2</v>
      </c>
      <c r="I6" s="4">
        <f>Table2234567[[#This Row],[PPG]]*Table2234567[[#This Row],[Plays]]</f>
        <v>3.1745115259369614</v>
      </c>
      <c r="J6" s="4">
        <v>2</v>
      </c>
      <c r="K6" s="2">
        <f>Table2234567[[#This Row],[APP]]/Table2234567[[#This Row],[Plays]]</f>
        <v>1</v>
      </c>
    </row>
    <row r="7" spans="1:14" x14ac:dyDescent="0.3">
      <c r="A7" t="s">
        <v>129</v>
      </c>
      <c r="B7" t="s">
        <v>19</v>
      </c>
      <c r="C7" t="s">
        <v>123</v>
      </c>
      <c r="D7">
        <v>6</v>
      </c>
      <c r="E7">
        <v>43.904928795502101</v>
      </c>
      <c r="F7">
        <f>Table2234567[[#This Row],[ARIMAPP]]*$N$4+Table2234567[[#This Row],[LSTMPP]]*$N$5</f>
        <v>9.4858210180884015</v>
      </c>
      <c r="G7" s="2">
        <f>Table2234567[[#This Row],[PP]]/$N$2</f>
        <v>1.8971642036176803</v>
      </c>
      <c r="H7" s="4">
        <v>2</v>
      </c>
      <c r="I7" s="4">
        <f>Table2234567[[#This Row],[PPG]]*Table2234567[[#This Row],[Plays]]</f>
        <v>3.7943284072353607</v>
      </c>
      <c r="J7" s="4">
        <v>5</v>
      </c>
      <c r="K7" s="2">
        <f>Table2234567[[#This Row],[APP]]/Table2234567[[#This Row],[Plays]]</f>
        <v>2.5</v>
      </c>
      <c r="M7" t="s">
        <v>22</v>
      </c>
      <c r="N7" cm="1">
        <f t="array" ref="N7">(SUM(Table2234567[Tot]-Table2234567[APP]))^2</f>
        <v>7.8886090522101181E-29</v>
      </c>
    </row>
    <row r="8" spans="1:14" x14ac:dyDescent="0.3">
      <c r="A8" t="s">
        <v>130</v>
      </c>
      <c r="B8" t="s">
        <v>19</v>
      </c>
      <c r="C8" t="s">
        <v>123</v>
      </c>
      <c r="D8">
        <v>1.90476345107031</v>
      </c>
      <c r="E8">
        <v>43.368085030042501</v>
      </c>
      <c r="F8">
        <f>Table2234567[[#This Row],[ARIMAPP]]*$N$4+Table2234567[[#This Row],[LSTMPP]]*$N$5</f>
        <v>7.9025978545226074</v>
      </c>
      <c r="G8" s="2">
        <f>Table2234567[[#This Row],[PP]]/$N$2</f>
        <v>1.5805195709045214</v>
      </c>
      <c r="H8" s="2">
        <v>2</v>
      </c>
      <c r="I8" s="2">
        <f>Table2234567[[#This Row],[PPG]]*Table2234567[[#This Row],[Plays]]</f>
        <v>3.1610391418090429</v>
      </c>
      <c r="J8" s="2">
        <v>3</v>
      </c>
      <c r="K8" s="2">
        <f>Table2234567[[#This Row],[APP]]/Table2234567[[#This Row],[Plays]]</f>
        <v>1.5</v>
      </c>
    </row>
    <row r="9" spans="1:14" x14ac:dyDescent="0.3">
      <c r="A9" t="s">
        <v>131</v>
      </c>
      <c r="B9" t="s">
        <v>19</v>
      </c>
      <c r="C9" t="s">
        <v>123</v>
      </c>
      <c r="D9">
        <v>7.9999999871956398</v>
      </c>
      <c r="E9">
        <v>47.253513623080799</v>
      </c>
      <c r="F9">
        <f>Table2234567[[#This Row],[ARIMAPP]]*$N$4+Table2234567[[#This Row],[LSTMPP]]*$N$5</f>
        <v>10.771979402888018</v>
      </c>
      <c r="G9" s="2">
        <f>Table2234567[[#This Row],[PP]]/$N$2</f>
        <v>2.1543958805776038</v>
      </c>
      <c r="H9" s="4">
        <v>5</v>
      </c>
      <c r="I9" s="4">
        <f>Table2234567[[#This Row],[PPG]]*Table2234567[[#This Row],[Plays]]</f>
        <v>10.771979402888018</v>
      </c>
      <c r="J9" s="4">
        <v>8</v>
      </c>
      <c r="K9" s="2">
        <f>Table2234567[[#This Row],[APP]]/Table2234567[[#This Row],[Plays]]</f>
        <v>1.6</v>
      </c>
    </row>
    <row r="10" spans="1:14" x14ac:dyDescent="0.3">
      <c r="A10" t="s">
        <v>132</v>
      </c>
      <c r="B10" t="s">
        <v>16</v>
      </c>
      <c r="C10" t="s">
        <v>123</v>
      </c>
      <c r="D10">
        <v>11.531551007272499</v>
      </c>
      <c r="E10">
        <v>43.630518310191299</v>
      </c>
      <c r="F10">
        <f>Table2234567[[#This Row],[ARIMAPP]]*$N$4+Table2234567[[#This Row],[LSTMPP]]*$N$5</f>
        <v>11.458202828418598</v>
      </c>
      <c r="G10" s="2">
        <f>Table2234567[[#This Row],[PP]]/$N$2</f>
        <v>2.2916405656837195</v>
      </c>
      <c r="H10" s="2">
        <v>4</v>
      </c>
      <c r="I10" s="2">
        <f>Table2234567[[#This Row],[PPG]]*Table2234567[[#This Row],[Plays]]</f>
        <v>9.1665622627348782</v>
      </c>
      <c r="J10" s="2">
        <v>12</v>
      </c>
      <c r="K10" s="2">
        <f>Table2234567[[#This Row],[APP]]/Table2234567[[#This Row],[Plays]]</f>
        <v>3</v>
      </c>
    </row>
    <row r="11" spans="1:14" x14ac:dyDescent="0.3">
      <c r="A11" t="s">
        <v>133</v>
      </c>
      <c r="B11" t="s">
        <v>19</v>
      </c>
      <c r="C11" t="s">
        <v>123</v>
      </c>
      <c r="D11">
        <v>4.7619048985370602</v>
      </c>
      <c r="E11">
        <v>42.822755182009203</v>
      </c>
      <c r="F11">
        <f>Table2234567[[#This Row],[ARIMAPP]]*$N$4+Table2234567[[#This Row],[LSTMPP]]*$N$5</f>
        <v>8.8542906349930472</v>
      </c>
      <c r="G11" s="2">
        <f>Table2234567[[#This Row],[PP]]/$N$2</f>
        <v>1.7708581269986094</v>
      </c>
      <c r="H11" s="4">
        <v>5</v>
      </c>
      <c r="I11" s="4">
        <f>Table2234567[[#This Row],[PPG]]*Table2234567[[#This Row],[Plays]]</f>
        <v>8.8542906349930472</v>
      </c>
      <c r="J11" s="4">
        <v>4</v>
      </c>
      <c r="K11" s="2">
        <f>Table2234567[[#This Row],[APP]]/Table2234567[[#This Row],[Plays]]</f>
        <v>0.8</v>
      </c>
    </row>
    <row r="12" spans="1:14" x14ac:dyDescent="0.3">
      <c r="A12" t="s">
        <v>134</v>
      </c>
      <c r="B12" t="s">
        <v>16</v>
      </c>
      <c r="C12" t="s">
        <v>123</v>
      </c>
      <c r="D12">
        <v>2.0952382575623201</v>
      </c>
      <c r="E12">
        <v>42.528556621110603</v>
      </c>
      <c r="F12">
        <f>Table2234567[[#This Row],[ARIMAPP]]*$N$4+Table2234567[[#This Row],[LSTMPP]]*$N$5</f>
        <v>7.8325573628835778</v>
      </c>
      <c r="G12" s="2">
        <f>Table2234567[[#This Row],[PP]]/$N$2</f>
        <v>1.5665114725767155</v>
      </c>
      <c r="H12" s="2">
        <v>1</v>
      </c>
      <c r="I12" s="2">
        <f>Table2234567[[#This Row],[PPG]]*Table2234567[[#This Row],[Plays]]</f>
        <v>1.5665114725767155</v>
      </c>
      <c r="J12" s="2">
        <v>2</v>
      </c>
      <c r="K12" s="2">
        <f>Table2234567[[#This Row],[APP]]/Table2234567[[#This Row],[Plays]]</f>
        <v>2</v>
      </c>
    </row>
    <row r="13" spans="1:14" x14ac:dyDescent="0.3">
      <c r="A13" t="s">
        <v>135</v>
      </c>
      <c r="B13" t="s">
        <v>19</v>
      </c>
      <c r="C13" t="s">
        <v>123</v>
      </c>
      <c r="D13">
        <v>10.5714284980883</v>
      </c>
      <c r="E13">
        <v>50.955408614437196</v>
      </c>
      <c r="F13">
        <f>Table2234567[[#This Row],[ARIMAPP]]*$N$4+Table2234567[[#This Row],[LSTMPP]]*$N$5</f>
        <v>12.325322674531272</v>
      </c>
      <c r="G13" s="2">
        <f>Table2234567[[#This Row],[PP]]/$N$2</f>
        <v>2.4650645349062543</v>
      </c>
      <c r="H13" s="4">
        <v>5</v>
      </c>
      <c r="I13" s="4">
        <f>Table2234567[[#This Row],[PPG]]*Table2234567[[#This Row],[Plays]]</f>
        <v>12.325322674531272</v>
      </c>
      <c r="J13" s="4">
        <v>13</v>
      </c>
      <c r="K13" s="2">
        <f>Table2234567[[#This Row],[APP]]/Table2234567[[#This Row],[Plays]]</f>
        <v>2.6</v>
      </c>
    </row>
    <row r="14" spans="1:14" x14ac:dyDescent="0.3">
      <c r="A14" t="s">
        <v>136</v>
      </c>
      <c r="B14" t="s">
        <v>15</v>
      </c>
      <c r="C14" t="s">
        <v>123</v>
      </c>
      <c r="D14">
        <v>9</v>
      </c>
      <c r="E14">
        <v>45.7890832384672</v>
      </c>
      <c r="F14">
        <f>Table2234567[[#This Row],[ARIMAPP]]*$N$4+Table2234567[[#This Row],[LSTMPP]]*$N$5</f>
        <v>10.893407408153839</v>
      </c>
      <c r="G14" s="2">
        <f>Table2234567[[#This Row],[PP]]/$N$2</f>
        <v>2.1786814816307678</v>
      </c>
      <c r="H14" s="2">
        <v>5</v>
      </c>
      <c r="I14" s="2">
        <f>Table2234567[[#This Row],[PPG]]*Table2234567[[#This Row],[Plays]]</f>
        <v>10.893407408153839</v>
      </c>
      <c r="J14" s="2">
        <v>8</v>
      </c>
      <c r="K14" s="2">
        <f>Table2234567[[#This Row],[APP]]/Table2234567[[#This Row],[Plays]]</f>
        <v>1.6</v>
      </c>
    </row>
    <row r="15" spans="1:14" x14ac:dyDescent="0.3">
      <c r="A15" t="s">
        <v>137</v>
      </c>
      <c r="B15" t="s">
        <v>16</v>
      </c>
      <c r="C15" t="s">
        <v>123</v>
      </c>
      <c r="D15">
        <v>24.761900488300601</v>
      </c>
      <c r="E15">
        <v>60.686955009238297</v>
      </c>
      <c r="F15">
        <f>Table2234567[[#This Row],[ARIMAPP]]*$N$4+Table2234567[[#This Row],[LSTMPP]]*$N$5</f>
        <v>19.119577519424155</v>
      </c>
      <c r="G15" s="2">
        <f>Table2234567[[#This Row],[PP]]/$N$2</f>
        <v>3.8239155038848311</v>
      </c>
      <c r="H15" s="4">
        <v>4</v>
      </c>
      <c r="I15" s="4">
        <f>Table2234567[[#This Row],[PPG]]*Table2234567[[#This Row],[Plays]]</f>
        <v>15.295662015539325</v>
      </c>
      <c r="J15" s="4">
        <v>22</v>
      </c>
      <c r="K15" s="2">
        <f>Table2234567[[#This Row],[APP]]/Table2234567[[#This Row],[Plays]]</f>
        <v>5.5</v>
      </c>
    </row>
    <row r="16" spans="1:14" x14ac:dyDescent="0.3">
      <c r="A16" t="s">
        <v>138</v>
      </c>
      <c r="B16" t="s">
        <v>12</v>
      </c>
      <c r="C16" t="s">
        <v>123</v>
      </c>
      <c r="D16">
        <v>28.4880884444486</v>
      </c>
      <c r="E16">
        <v>53.020177443244599</v>
      </c>
      <c r="F16">
        <f>Table2234567[[#This Row],[ARIMAPP]]*$N$4+Table2234567[[#This Row],[LSTMPP]]*$N$5</f>
        <v>19.204736498083623</v>
      </c>
      <c r="G16" s="2">
        <f>Table2234567[[#This Row],[PP]]/$N$2</f>
        <v>3.8409472996167247</v>
      </c>
      <c r="H16" s="5">
        <v>5</v>
      </c>
      <c r="I16" s="5">
        <f>Table2234567[[#This Row],[PPG]]*Table2234567[[#This Row],[Plays]]</f>
        <v>19.204736498083623</v>
      </c>
      <c r="J16" s="5">
        <v>15</v>
      </c>
      <c r="K16" s="5">
        <f>Table2234567[[#This Row],[APP]]/Table2234567[[#This Row],[Plays]]</f>
        <v>3</v>
      </c>
    </row>
    <row r="17" spans="1:11" x14ac:dyDescent="0.3">
      <c r="A17" t="s">
        <v>139</v>
      </c>
      <c r="B17" t="s">
        <v>19</v>
      </c>
      <c r="C17" t="s">
        <v>123</v>
      </c>
      <c r="D17">
        <v>3.0476192370663102</v>
      </c>
      <c r="E17">
        <v>41.419302746032201</v>
      </c>
      <c r="F17">
        <f>Table2234567[[#This Row],[ARIMAPP]]*$N$4+Table2234567[[#This Row],[LSTMPP]]*$N$5</f>
        <v>7.9956430906249274</v>
      </c>
      <c r="G17" s="2">
        <f>Table2234567[[#This Row],[PP]]/$N$2</f>
        <v>1.5991286181249855</v>
      </c>
      <c r="H17" s="2">
        <v>4</v>
      </c>
      <c r="I17" s="6">
        <f>Table2234567[[#This Row],[PPG]]*Table2234567[[#This Row],[Plays]]</f>
        <v>6.3965144724999421</v>
      </c>
      <c r="J17" s="2">
        <v>2</v>
      </c>
      <c r="K17" s="6">
        <f>Table2234567[[#This Row],[APP]]/Table2234567[[#This Row],[Plays]]</f>
        <v>0.5</v>
      </c>
    </row>
    <row r="18" spans="1:11" x14ac:dyDescent="0.3">
      <c r="A18" t="s">
        <v>140</v>
      </c>
      <c r="B18" t="s">
        <v>15</v>
      </c>
      <c r="C18" t="s">
        <v>123</v>
      </c>
      <c r="D18">
        <v>3.66667423171035</v>
      </c>
      <c r="E18">
        <v>41.706816659301801</v>
      </c>
      <c r="F18">
        <f>Table2234567[[#This Row],[ARIMAPP]]*$N$4+Table2234567[[#This Row],[LSTMPP]]*$N$5</f>
        <v>8.269267549294252</v>
      </c>
      <c r="G18" s="2">
        <f>Table2234567[[#This Row],[PP]]/$N$2</f>
        <v>1.6538535098588505</v>
      </c>
      <c r="H18" s="2">
        <v>3</v>
      </c>
      <c r="I18" s="6">
        <f>Table2234567[[#This Row],[PPG]]*Table2234567[[#This Row],[Plays]]</f>
        <v>4.9615605295765519</v>
      </c>
      <c r="J18" s="2">
        <v>3</v>
      </c>
      <c r="K18" s="6">
        <f>Table2234567[[#This Row],[APP]]/Table2234567[[#This Row],[Plays]]</f>
        <v>1</v>
      </c>
    </row>
    <row r="19" spans="1:11" x14ac:dyDescent="0.3">
      <c r="A19" t="s">
        <v>141</v>
      </c>
      <c r="B19" t="s">
        <v>19</v>
      </c>
      <c r="C19" t="s">
        <v>123</v>
      </c>
      <c r="D19">
        <v>28.666658590241799</v>
      </c>
      <c r="E19">
        <v>62.5038896493176</v>
      </c>
      <c r="F19">
        <f>Table2234567[[#This Row],[ARIMAPP]]*$N$4+Table2234567[[#This Row],[LSTMPP]]*$N$5</f>
        <v>20.846060691778941</v>
      </c>
      <c r="G19" s="2">
        <f>Table2234567[[#This Row],[PP]]/$N$2</f>
        <v>4.1692121383557881</v>
      </c>
      <c r="H19" s="2">
        <v>5</v>
      </c>
      <c r="I19" s="6">
        <f>Table2234567[[#This Row],[PPG]]*Table2234567[[#This Row],[Plays]]</f>
        <v>20.846060691778941</v>
      </c>
      <c r="J19" s="2">
        <v>32</v>
      </c>
      <c r="K19" s="6">
        <f>Table2234567[[#This Row],[APP]]/Table2234567[[#This Row],[Plays]]</f>
        <v>6.4</v>
      </c>
    </row>
    <row r="20" spans="1:11" x14ac:dyDescent="0.3">
      <c r="A20" t="s">
        <v>142</v>
      </c>
      <c r="B20" t="s">
        <v>16</v>
      </c>
      <c r="C20" t="s">
        <v>123</v>
      </c>
      <c r="D20">
        <v>14.236067977499699</v>
      </c>
      <c r="E20">
        <v>43.522271472461597</v>
      </c>
      <c r="F20">
        <f>Table2234567[[#This Row],[ARIMAPP]]*$N$4+Table2234567[[#This Row],[LSTMPP]]*$N$5</f>
        <v>12.426858594885893</v>
      </c>
      <c r="G20" s="2">
        <f>Table2234567[[#This Row],[PP]]/$N$2</f>
        <v>2.4853717189771785</v>
      </c>
      <c r="H20" s="2">
        <v>4</v>
      </c>
      <c r="I20" s="6">
        <f>Table2234567[[#This Row],[PPG]]*Table2234567[[#This Row],[Plays]]</f>
        <v>9.9414868759087138</v>
      </c>
      <c r="J20" s="2">
        <v>12</v>
      </c>
      <c r="K20" s="6">
        <f>Table2234567[[#This Row],[APP]]/Table2234567[[#This Row],[Plays]]</f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485B-325F-4DE0-801B-14515175DE8A}">
  <dimension ref="A1:N19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143</v>
      </c>
      <c r="B2" t="s">
        <v>12</v>
      </c>
      <c r="C2" t="s">
        <v>144</v>
      </c>
      <c r="D2">
        <v>8.4285714394584499</v>
      </c>
      <c r="E2">
        <v>46.862611934233598</v>
      </c>
      <c r="F2">
        <f>Table22345678[[#This Row],[ARIMAPP]]*$N$4+Table22345678[[#This Row],[LSTMPP]]*$N$5</f>
        <v>9.5181147573964271</v>
      </c>
      <c r="G2" s="2">
        <f>Table22345678[[#This Row],[PP]]/$N$2</f>
        <v>1.9036229514792855</v>
      </c>
      <c r="H2" s="2">
        <v>5</v>
      </c>
      <c r="I2" s="2">
        <f>Table22345678[[#This Row],[PPG]]*Table22345678[[#This Row],[Plays]]</f>
        <v>9.5181147573964271</v>
      </c>
      <c r="J2" s="2">
        <v>8</v>
      </c>
      <c r="K2" s="3">
        <f>Table22345678[[#This Row],[APP]]/Table22345678[[#This Row],[Plays]]</f>
        <v>1.6</v>
      </c>
      <c r="M2" t="s">
        <v>14</v>
      </c>
      <c r="N2">
        <v>5</v>
      </c>
    </row>
    <row r="3" spans="1:14" x14ac:dyDescent="0.3">
      <c r="A3" t="s">
        <v>145</v>
      </c>
      <c r="B3" t="s">
        <v>16</v>
      </c>
      <c r="C3" t="s">
        <v>144</v>
      </c>
      <c r="D3">
        <v>6</v>
      </c>
      <c r="E3">
        <v>43.315590597012303</v>
      </c>
      <c r="F3">
        <f>Table22345678[[#This Row],[ARIMAPP]]*$N$4+Table22345678[[#This Row],[LSTMPP]]*$N$5</f>
        <v>8.1291499003572643</v>
      </c>
      <c r="G3" s="2">
        <f>Table22345678[[#This Row],[PP]]/$N$2</f>
        <v>1.6258299800714529</v>
      </c>
      <c r="H3" s="2">
        <v>4</v>
      </c>
      <c r="I3" s="2">
        <f>Table22345678[[#This Row],[PPG]]*Table22345678[[#This Row],[Plays]]</f>
        <v>6.5033199202858114</v>
      </c>
      <c r="J3" s="2">
        <v>5</v>
      </c>
      <c r="K3" s="2">
        <f>Table22345678[[#This Row],[APP]]/Table22345678[[#This Row],[Plays]]</f>
        <v>1.25</v>
      </c>
    </row>
    <row r="4" spans="1:14" x14ac:dyDescent="0.3">
      <c r="A4" t="s">
        <v>146</v>
      </c>
      <c r="B4" t="s">
        <v>16</v>
      </c>
      <c r="C4" t="s">
        <v>144</v>
      </c>
      <c r="D4">
        <v>4.2857126949351301</v>
      </c>
      <c r="E4">
        <v>44.127629573574502</v>
      </c>
      <c r="F4">
        <f>Table22345678[[#This Row],[ARIMAPP]]*$N$4+Table22345678[[#This Row],[LSTMPP]]*$N$5</f>
        <v>7.5995079088362818</v>
      </c>
      <c r="G4" s="2">
        <f>Table22345678[[#This Row],[PP]]/$N$2</f>
        <v>1.5199015817672563</v>
      </c>
      <c r="H4" s="4">
        <v>4</v>
      </c>
      <c r="I4" s="4">
        <f>Table22345678[[#This Row],[PPG]]*Table22345678[[#This Row],[Plays]]</f>
        <v>6.0796063270690253</v>
      </c>
      <c r="J4" s="4">
        <v>5</v>
      </c>
      <c r="K4" s="2">
        <f>Table22345678[[#This Row],[APP]]/Table22345678[[#This Row],[Plays]]</f>
        <v>1.25</v>
      </c>
      <c r="M4" t="s">
        <v>17</v>
      </c>
      <c r="N4">
        <v>0.37335824523222949</v>
      </c>
    </row>
    <row r="5" spans="1:14" x14ac:dyDescent="0.3">
      <c r="A5" t="s">
        <v>147</v>
      </c>
      <c r="B5" t="s">
        <v>19</v>
      </c>
      <c r="C5" t="s">
        <v>144</v>
      </c>
      <c r="D5">
        <v>3.9523806082976001</v>
      </c>
      <c r="E5">
        <v>42.204778302971398</v>
      </c>
      <c r="F5">
        <f>Table22345678[[#This Row],[ARIMAPP]]*$N$4+Table22345678[[#This Row],[LSTMPP]]*$N$5</f>
        <v>7.2136330803040778</v>
      </c>
      <c r="G5" s="2">
        <f>Table22345678[[#This Row],[PP]]/$N$2</f>
        <v>1.4427266160608156</v>
      </c>
      <c r="H5" s="2">
        <v>4</v>
      </c>
      <c r="I5" s="2">
        <f>Table22345678[[#This Row],[PPG]]*Table22345678[[#This Row],[Plays]]</f>
        <v>5.7709064642432626</v>
      </c>
      <c r="J5" s="2">
        <v>4</v>
      </c>
      <c r="K5" s="2">
        <f>Table22345678[[#This Row],[APP]]/Table22345678[[#This Row],[Plays]]</f>
        <v>1</v>
      </c>
      <c r="M5" t="s">
        <v>20</v>
      </c>
      <c r="N5">
        <v>0.13595567664659941</v>
      </c>
    </row>
    <row r="6" spans="1:14" x14ac:dyDescent="0.3">
      <c r="A6" t="s">
        <v>148</v>
      </c>
      <c r="B6" t="s">
        <v>19</v>
      </c>
      <c r="C6" t="s">
        <v>144</v>
      </c>
      <c r="D6">
        <v>9.7619049372109803</v>
      </c>
      <c r="E6">
        <v>49.523819117600603</v>
      </c>
      <c r="F6">
        <f>Table22345678[[#This Row],[ARIMAPP]]*$N$4+Table22345678[[#This Row],[LSTMPP]]*$N$5</f>
        <v>10.377732035738115</v>
      </c>
      <c r="G6" s="2">
        <f>Table22345678[[#This Row],[PP]]/$N$2</f>
        <v>2.0755464071476228</v>
      </c>
      <c r="H6" s="4">
        <v>5</v>
      </c>
      <c r="I6" s="4">
        <f>Table22345678[[#This Row],[PPG]]*Table22345678[[#This Row],[Plays]]</f>
        <v>10.377732035738115</v>
      </c>
      <c r="J6" s="4">
        <v>9</v>
      </c>
      <c r="K6" s="2">
        <f>Table22345678[[#This Row],[APP]]/Table22345678[[#This Row],[Plays]]</f>
        <v>1.8</v>
      </c>
    </row>
    <row r="7" spans="1:14" x14ac:dyDescent="0.3">
      <c r="A7" t="s">
        <v>149</v>
      </c>
      <c r="B7" t="s">
        <v>19</v>
      </c>
      <c r="C7" t="s">
        <v>144</v>
      </c>
      <c r="D7">
        <v>30.285713907299002</v>
      </c>
      <c r="E7">
        <v>63.817282671906902</v>
      </c>
      <c r="F7">
        <f>Table22345678[[#This Row],[ARIMAPP]]*$N$4+Table22345678[[#This Row],[LSTMPP]]*$N$5</f>
        <v>19.98374284744089</v>
      </c>
      <c r="G7" s="2">
        <f>Table22345678[[#This Row],[PP]]/$N$2</f>
        <v>3.9967485694881781</v>
      </c>
      <c r="H7" s="2">
        <v>4</v>
      </c>
      <c r="I7" s="2">
        <f>Table22345678[[#This Row],[PPG]]*Table22345678[[#This Row],[Plays]]</f>
        <v>15.986994277952713</v>
      </c>
      <c r="J7" s="2">
        <v>28</v>
      </c>
      <c r="K7" s="2">
        <f>Table22345678[[#This Row],[APP]]/Table22345678[[#This Row],[Plays]]</f>
        <v>7</v>
      </c>
      <c r="M7" t="s">
        <v>22</v>
      </c>
      <c r="N7" cm="1">
        <f t="array" ref="N7">(SUM(Table22345678[Tot]-Table22345678[APP]))^2</f>
        <v>4.9303806576313238E-30</v>
      </c>
    </row>
    <row r="8" spans="1:14" x14ac:dyDescent="0.3">
      <c r="A8" t="s">
        <v>150</v>
      </c>
      <c r="B8" t="s">
        <v>19</v>
      </c>
      <c r="C8" t="s">
        <v>144</v>
      </c>
      <c r="D8">
        <v>10.999999983475099</v>
      </c>
      <c r="E8">
        <v>48.529782120230003</v>
      </c>
      <c r="F8">
        <f>Table22345678[[#This Row],[ARIMAPP]]*$N$4+Table22345678[[#This Row],[LSTMPP]]*$N$5</f>
        <v>10.704840057052728</v>
      </c>
      <c r="G8" s="2">
        <f>Table22345678[[#This Row],[PP]]/$N$2</f>
        <v>2.1409680114105454</v>
      </c>
      <c r="H8" s="4">
        <v>5</v>
      </c>
      <c r="I8" s="4">
        <f>Table22345678[[#This Row],[PPG]]*Table22345678[[#This Row],[Plays]]</f>
        <v>10.704840057052728</v>
      </c>
      <c r="J8" s="4">
        <v>10</v>
      </c>
      <c r="K8" s="2">
        <f>Table22345678[[#This Row],[APP]]/Table22345678[[#This Row],[Plays]]</f>
        <v>2</v>
      </c>
    </row>
    <row r="9" spans="1:14" x14ac:dyDescent="0.3">
      <c r="A9" t="s">
        <v>151</v>
      </c>
      <c r="B9" t="s">
        <v>19</v>
      </c>
      <c r="C9" t="s">
        <v>144</v>
      </c>
      <c r="D9">
        <v>4.7619048985370602</v>
      </c>
      <c r="E9">
        <v>42.851154526411399</v>
      </c>
      <c r="F9">
        <f>Table22345678[[#This Row],[ARIMAPP]]*$N$4+Table22345678[[#This Row],[LSTMPP]]*$N$5</f>
        <v>7.6037541656068077</v>
      </c>
      <c r="G9" s="2">
        <f>Table22345678[[#This Row],[PP]]/$N$2</f>
        <v>1.5207508331213615</v>
      </c>
      <c r="H9" s="4">
        <v>4</v>
      </c>
      <c r="I9" s="4">
        <f>Table22345678[[#This Row],[PPG]]*Table22345678[[#This Row],[Plays]]</f>
        <v>6.083003332485446</v>
      </c>
      <c r="J9" s="4">
        <v>4</v>
      </c>
      <c r="K9" s="2">
        <f>Table22345678[[#This Row],[APP]]/Table22345678[[#This Row],[Plays]]</f>
        <v>1</v>
      </c>
    </row>
    <row r="10" spans="1:14" x14ac:dyDescent="0.3">
      <c r="A10" t="s">
        <v>152</v>
      </c>
      <c r="B10" t="s">
        <v>16</v>
      </c>
      <c r="C10" t="s">
        <v>144</v>
      </c>
      <c r="D10">
        <v>11.999999995999399</v>
      </c>
      <c r="E10">
        <v>48.968693601506601</v>
      </c>
      <c r="F10">
        <f>Table22345678[[#This Row],[ARIMAPP]]*$N$4+Table22345678[[#This Row],[LSTMPP]]*$N$5</f>
        <v>11.137870814385929</v>
      </c>
      <c r="G10" s="2">
        <f>Table22345678[[#This Row],[PP]]/$N$2</f>
        <v>2.2275741628771857</v>
      </c>
      <c r="H10" s="4">
        <v>5</v>
      </c>
      <c r="I10" s="4">
        <f>Table22345678[[#This Row],[PPG]]*Table22345678[[#This Row],[Plays]]</f>
        <v>11.137870814385929</v>
      </c>
      <c r="J10" s="4">
        <v>12</v>
      </c>
      <c r="K10" s="2">
        <f>Table22345678[[#This Row],[APP]]/Table22345678[[#This Row],[Plays]]</f>
        <v>2.4</v>
      </c>
    </row>
    <row r="11" spans="1:14" x14ac:dyDescent="0.3">
      <c r="A11" t="s">
        <v>153</v>
      </c>
      <c r="B11" t="s">
        <v>15</v>
      </c>
      <c r="C11" t="s">
        <v>144</v>
      </c>
      <c r="D11">
        <v>10.3809558898828</v>
      </c>
      <c r="E11">
        <v>48.7186074086029</v>
      </c>
      <c r="F11">
        <f>Table22345678[[#This Row],[ARIMAPP]]*$N$4+Table22345678[[#This Row],[LSTMPP]]*$N$5</f>
        <v>10.499386710396458</v>
      </c>
      <c r="G11" s="2">
        <f>Table22345678[[#This Row],[PP]]/$N$2</f>
        <v>2.0998773420792913</v>
      </c>
      <c r="H11" s="2">
        <v>5</v>
      </c>
      <c r="I11" s="2">
        <f>Table22345678[[#This Row],[PPG]]*Table22345678[[#This Row],[Plays]]</f>
        <v>10.499386710396458</v>
      </c>
      <c r="J11" s="2">
        <v>9</v>
      </c>
      <c r="K11" s="2">
        <f>Table22345678[[#This Row],[APP]]/Table22345678[[#This Row],[Plays]]</f>
        <v>1.8</v>
      </c>
    </row>
    <row r="12" spans="1:14" x14ac:dyDescent="0.3">
      <c r="A12" t="s">
        <v>154</v>
      </c>
      <c r="B12" t="s">
        <v>16</v>
      </c>
      <c r="C12" t="s">
        <v>144</v>
      </c>
      <c r="D12">
        <v>4.9999999999379101</v>
      </c>
      <c r="E12">
        <v>41.620748657957002</v>
      </c>
      <c r="F12">
        <f>Table22345678[[#This Row],[ARIMAPP]]*$N$4+Table22345678[[#This Row],[LSTMPP]]*$N$5</f>
        <v>7.5253682724685547</v>
      </c>
      <c r="G12" s="2">
        <f>Table22345678[[#This Row],[PP]]/$N$2</f>
        <v>1.5050736544937109</v>
      </c>
      <c r="H12" s="4">
        <v>5</v>
      </c>
      <c r="I12" s="4">
        <f>Table22345678[[#This Row],[PPG]]*Table22345678[[#This Row],[Plays]]</f>
        <v>7.5253682724685547</v>
      </c>
      <c r="J12" s="4">
        <v>4</v>
      </c>
      <c r="K12" s="2">
        <f>Table22345678[[#This Row],[APP]]/Table22345678[[#This Row],[Plays]]</f>
        <v>0.8</v>
      </c>
    </row>
    <row r="13" spans="1:14" x14ac:dyDescent="0.3">
      <c r="A13" t="s">
        <v>155</v>
      </c>
      <c r="B13" t="s">
        <v>15</v>
      </c>
      <c r="C13" t="s">
        <v>144</v>
      </c>
      <c r="D13">
        <v>8.2857141449069402</v>
      </c>
      <c r="E13">
        <v>45.0333315226084</v>
      </c>
      <c r="F13">
        <f>Table22345678[[#This Row],[ARIMAPP]]*$N$4+Table22345678[[#This Row],[LSTMPP]]*$N$5</f>
        <v>9.2160767524451792</v>
      </c>
      <c r="G13" s="2">
        <f>Table22345678[[#This Row],[PP]]/$N$2</f>
        <v>1.8432153504890358</v>
      </c>
      <c r="H13" s="2">
        <v>4</v>
      </c>
      <c r="I13" s="2">
        <f>Table22345678[[#This Row],[PPG]]*Table22345678[[#This Row],[Plays]]</f>
        <v>7.3728614019561434</v>
      </c>
      <c r="J13" s="2">
        <v>7</v>
      </c>
      <c r="K13" s="2">
        <f>Table22345678[[#This Row],[APP]]/Table22345678[[#This Row],[Plays]]</f>
        <v>1.75</v>
      </c>
    </row>
    <row r="14" spans="1:14" x14ac:dyDescent="0.3">
      <c r="A14" t="s">
        <v>156</v>
      </c>
      <c r="B14" t="s">
        <v>19</v>
      </c>
      <c r="C14" t="s">
        <v>144</v>
      </c>
      <c r="D14">
        <v>18.999999946081299</v>
      </c>
      <c r="E14">
        <v>55.745559039961201</v>
      </c>
      <c r="F14">
        <f>Table22345678[[#This Row],[ARIMAPP]]*$N$4+Table22345678[[#This Row],[LSTMPP]]*$N$5</f>
        <v>14.67273183860225</v>
      </c>
      <c r="G14" s="2">
        <f>Table22345678[[#This Row],[PP]]/$N$2</f>
        <v>2.9345463677204497</v>
      </c>
      <c r="H14" s="4">
        <v>5</v>
      </c>
      <c r="I14" s="4">
        <f>Table22345678[[#This Row],[PPG]]*Table22345678[[#This Row],[Plays]]</f>
        <v>14.67273183860225</v>
      </c>
      <c r="J14" s="4">
        <v>19</v>
      </c>
      <c r="K14" s="2">
        <f>Table22345678[[#This Row],[APP]]/Table22345678[[#This Row],[Plays]]</f>
        <v>3.8</v>
      </c>
    </row>
    <row r="15" spans="1:14" x14ac:dyDescent="0.3">
      <c r="A15" t="s">
        <v>157</v>
      </c>
      <c r="B15" t="s">
        <v>16</v>
      </c>
      <c r="C15" t="s">
        <v>144</v>
      </c>
      <c r="D15">
        <v>13.523808784714999</v>
      </c>
      <c r="E15">
        <v>50.842403025370302</v>
      </c>
      <c r="F15">
        <f>Table22345678[[#This Row],[ARIMAPP]]*$N$4+Table22345678[[#This Row],[LSTMPP]]*$N$5</f>
        <v>11.961538822370734</v>
      </c>
      <c r="G15" s="2">
        <f>Table22345678[[#This Row],[PP]]/$N$2</f>
        <v>2.3923077644741468</v>
      </c>
      <c r="H15" s="2">
        <v>5</v>
      </c>
      <c r="I15" s="2">
        <f>Table22345678[[#This Row],[PPG]]*Table22345678[[#This Row],[Plays]]</f>
        <v>11.961538822370734</v>
      </c>
      <c r="J15" s="2">
        <v>11</v>
      </c>
      <c r="K15" s="2">
        <f>Table22345678[[#This Row],[APP]]/Table22345678[[#This Row],[Plays]]</f>
        <v>2.2000000000000002</v>
      </c>
    </row>
    <row r="16" spans="1:14" x14ac:dyDescent="0.3">
      <c r="A16" t="s">
        <v>158</v>
      </c>
      <c r="B16" t="s">
        <v>19</v>
      </c>
      <c r="C16" t="s">
        <v>144</v>
      </c>
      <c r="D16">
        <v>7</v>
      </c>
      <c r="E16">
        <v>46.255560066047401</v>
      </c>
      <c r="F16">
        <f>Table22345678[[#This Row],[ARIMAPP]]*$N$4+Table22345678[[#This Row],[LSTMPP]]*$N$5</f>
        <v>8.9022136840725032</v>
      </c>
      <c r="G16" s="2">
        <f>Table22345678[[#This Row],[PP]]/$N$2</f>
        <v>1.7804427368145006</v>
      </c>
      <c r="H16" s="4">
        <v>4</v>
      </c>
      <c r="I16" s="4">
        <f>Table22345678[[#This Row],[PPG]]*Table22345678[[#This Row],[Plays]]</f>
        <v>7.1217709472580024</v>
      </c>
      <c r="J16" s="4">
        <v>6</v>
      </c>
      <c r="K16" s="2">
        <f>Table22345678[[#This Row],[APP]]/Table22345678[[#This Row],[Plays]]</f>
        <v>1.5</v>
      </c>
    </row>
    <row r="17" spans="1:11" x14ac:dyDescent="0.3">
      <c r="A17" t="s">
        <v>159</v>
      </c>
      <c r="B17" t="s">
        <v>19</v>
      </c>
      <c r="C17" t="s">
        <v>144</v>
      </c>
      <c r="D17">
        <v>0</v>
      </c>
      <c r="E17">
        <v>42.190998097117003</v>
      </c>
      <c r="F17">
        <f>Table22345678[[#This Row],[ARIMAPP]]*$N$4+Table22345678[[#This Row],[LSTMPP]]*$N$5</f>
        <v>5.7361056946889306</v>
      </c>
      <c r="G17" s="2">
        <f>Table22345678[[#This Row],[PP]]/$N$2</f>
        <v>1.1472211389377862</v>
      </c>
      <c r="H17" s="4">
        <v>1</v>
      </c>
      <c r="I17" s="4">
        <f>Table22345678[[#This Row],[PPG]]*Table22345678[[#This Row],[Plays]]</f>
        <v>1.1472211389377862</v>
      </c>
      <c r="J17" s="4">
        <v>1</v>
      </c>
      <c r="K17" s="2">
        <f>Table22345678[[#This Row],[APP]]/Table22345678[[#This Row],[Plays]]</f>
        <v>1</v>
      </c>
    </row>
    <row r="18" spans="1:11" x14ac:dyDescent="0.3">
      <c r="A18" t="s">
        <v>160</v>
      </c>
      <c r="B18" t="s">
        <v>19</v>
      </c>
      <c r="C18" t="s">
        <v>144</v>
      </c>
      <c r="D18">
        <v>10.9523734396751</v>
      </c>
      <c r="E18">
        <v>53.971277700432999</v>
      </c>
      <c r="F18">
        <f>Table22345678[[#This Row],[ARIMAPP]]*$N$4+Table22345678[[#This Row],[LSTMPP]]*$N$5</f>
        <v>11.426860507809064</v>
      </c>
      <c r="G18" s="6">
        <f>Table22345678[[#This Row],[PP]]/$N$2</f>
        <v>2.2853721015618129</v>
      </c>
      <c r="H18" s="2">
        <v>5</v>
      </c>
      <c r="I18" s="6">
        <f>Table22345678[[#This Row],[PPG]]*Table22345678[[#This Row],[Plays]]</f>
        <v>11.426860507809064</v>
      </c>
      <c r="J18" s="2">
        <v>14</v>
      </c>
      <c r="K18" s="6">
        <f>Table22345678[[#This Row],[APP]]/Table22345678[[#This Row],[Plays]]</f>
        <v>2.8</v>
      </c>
    </row>
    <row r="19" spans="1:11" x14ac:dyDescent="0.3">
      <c r="A19" t="s">
        <v>73</v>
      </c>
      <c r="B19" t="s">
        <v>16</v>
      </c>
      <c r="C19" t="s">
        <v>144</v>
      </c>
      <c r="D19">
        <v>2.9999999751647302</v>
      </c>
      <c r="E19">
        <v>42.143974449766603</v>
      </c>
      <c r="F19">
        <f>Table22345678[[#This Row],[ARIMAPP]]*$N$4+Table22345678[[#This Row],[LSTMPP]]*$N$5</f>
        <v>6.8497872893192504</v>
      </c>
      <c r="G19" s="6">
        <f>Table22345678[[#This Row],[PP]]/$N$2</f>
        <v>1.36995745786385</v>
      </c>
      <c r="H19" s="2">
        <v>3</v>
      </c>
      <c r="I19" s="6">
        <f>Table22345678[[#This Row],[PPG]]*Table22345678[[#This Row],[Plays]]</f>
        <v>4.1098723735915499</v>
      </c>
      <c r="J19" s="2">
        <v>2</v>
      </c>
      <c r="K19" s="6">
        <f>Table22345678[[#This Row],[APP]]/Table22345678[[#This Row],[Plays]]</f>
        <v>0.66666666666666663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69A-C685-43DE-81D0-535771E14F86}">
  <dimension ref="A1:N19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163</v>
      </c>
      <c r="B2" t="s">
        <v>15</v>
      </c>
      <c r="C2" t="s">
        <v>162</v>
      </c>
      <c r="D2">
        <v>3.9999999813735401</v>
      </c>
      <c r="E2">
        <v>43.586890264776997</v>
      </c>
      <c r="F2">
        <f>Table223456789[[#This Row],[ARIMAPP]]*$N$4+Table223456789[[#This Row],[LSTMPP]]*$N$5</f>
        <v>7.6876630296407278</v>
      </c>
      <c r="G2" s="2">
        <f>Table223456789[[#This Row],[PP]]/$N$2</f>
        <v>1.5375326059281456</v>
      </c>
      <c r="H2" s="2">
        <v>3</v>
      </c>
      <c r="I2" s="2">
        <f>Table223456789[[#This Row],[PPG]]*Table223456789[[#This Row],[Plays]]</f>
        <v>4.6125978177844367</v>
      </c>
      <c r="J2" s="2">
        <v>3</v>
      </c>
      <c r="K2" s="2">
        <f>Table223456789[[#This Row],[APP]]/Table223456789[[#This Row],[Plays]]</f>
        <v>1</v>
      </c>
      <c r="M2" t="s">
        <v>14</v>
      </c>
      <c r="N2">
        <v>5</v>
      </c>
    </row>
    <row r="3" spans="1:14" x14ac:dyDescent="0.3">
      <c r="A3" t="s">
        <v>164</v>
      </c>
      <c r="B3" t="s">
        <v>16</v>
      </c>
      <c r="C3" t="s">
        <v>162</v>
      </c>
      <c r="D3">
        <v>1.0476190057723</v>
      </c>
      <c r="E3">
        <v>40.942970579816098</v>
      </c>
      <c r="F3">
        <f>Table223456789[[#This Row],[ARIMAPP]]*$N$4+Table223456789[[#This Row],[LSTMPP]]*$N$5</f>
        <v>6.2218955641168447</v>
      </c>
      <c r="G3" s="2">
        <f>Table223456789[[#This Row],[PP]]/$N$2</f>
        <v>1.244379112823369</v>
      </c>
      <c r="H3" s="4">
        <v>1</v>
      </c>
      <c r="I3" s="4">
        <f>Table223456789[[#This Row],[PPG]]*Table223456789[[#This Row],[Plays]]</f>
        <v>1.244379112823369</v>
      </c>
      <c r="J3" s="4">
        <v>1</v>
      </c>
      <c r="K3" s="2">
        <f>Table223456789[[#This Row],[APP]]/Table223456789[[#This Row],[Plays]]</f>
        <v>1</v>
      </c>
    </row>
    <row r="4" spans="1:14" x14ac:dyDescent="0.3">
      <c r="A4" t="s">
        <v>165</v>
      </c>
      <c r="B4" t="s">
        <v>12</v>
      </c>
      <c r="C4" t="s">
        <v>162</v>
      </c>
      <c r="D4">
        <v>16.904761537079299</v>
      </c>
      <c r="E4">
        <v>55.696702985545798</v>
      </c>
      <c r="F4">
        <f>Table223456789[[#This Row],[ARIMAPP]]*$N$4+Table223456789[[#This Row],[LSTMPP]]*$N$5</f>
        <v>14.173349205554125</v>
      </c>
      <c r="G4" s="2">
        <f>Table223456789[[#This Row],[PP]]/$N$2</f>
        <v>2.8346698411108249</v>
      </c>
      <c r="H4" s="4">
        <v>5</v>
      </c>
      <c r="I4" s="4">
        <f>Table223456789[[#This Row],[PPG]]*Table223456789[[#This Row],[Plays]]</f>
        <v>14.173349205554125</v>
      </c>
      <c r="J4" s="4">
        <v>16</v>
      </c>
      <c r="K4" s="2">
        <f>Table223456789[[#This Row],[APP]]/Table223456789[[#This Row],[Plays]]</f>
        <v>3.2</v>
      </c>
      <c r="M4" t="s">
        <v>17</v>
      </c>
      <c r="N4">
        <v>0.36883323538803825</v>
      </c>
    </row>
    <row r="5" spans="1:14" x14ac:dyDescent="0.3">
      <c r="A5" t="s">
        <v>166</v>
      </c>
      <c r="B5" t="s">
        <v>19</v>
      </c>
      <c r="C5" t="s">
        <v>162</v>
      </c>
      <c r="D5">
        <v>3.9999999880258499</v>
      </c>
      <c r="E5">
        <v>42.397434780400602</v>
      </c>
      <c r="F5">
        <f>Table223456789[[#This Row],[ARIMAPP]]*$N$4+Table223456789[[#This Row],[LSTMPP]]*$N$5</f>
        <v>7.5181329266585486</v>
      </c>
      <c r="G5" s="2">
        <f>Table223456789[[#This Row],[PP]]/$N$2</f>
        <v>1.5036265853317097</v>
      </c>
      <c r="H5" s="2">
        <v>2</v>
      </c>
      <c r="I5" s="2">
        <f>Table223456789[[#This Row],[PPG]]*Table223456789[[#This Row],[Plays]]</f>
        <v>3.0072531706634194</v>
      </c>
      <c r="J5" s="2">
        <v>3</v>
      </c>
      <c r="K5" s="2">
        <f>Table223456789[[#This Row],[APP]]/Table223456789[[#This Row],[Plays]]</f>
        <v>1.5</v>
      </c>
      <c r="M5" t="s">
        <v>20</v>
      </c>
      <c r="N5">
        <v>0.142527490656494</v>
      </c>
    </row>
    <row r="6" spans="1:14" x14ac:dyDescent="0.3">
      <c r="A6" t="s">
        <v>167</v>
      </c>
      <c r="B6" t="s">
        <v>19</v>
      </c>
      <c r="C6" t="s">
        <v>162</v>
      </c>
      <c r="D6">
        <v>15.000000674948399</v>
      </c>
      <c r="E6">
        <v>51.234776002121599</v>
      </c>
      <c r="F6">
        <f>Table223456789[[#This Row],[ARIMAPP]]*$N$4+Table223456789[[#This Row],[LSTMPP]]*$N$5</f>
        <v>12.834862837693926</v>
      </c>
      <c r="G6" s="2">
        <f>Table223456789[[#This Row],[PP]]/$N$2</f>
        <v>2.5669725675387851</v>
      </c>
      <c r="H6" s="4">
        <v>5</v>
      </c>
      <c r="I6" s="4">
        <f>Table223456789[[#This Row],[PPG]]*Table223456789[[#This Row],[Plays]]</f>
        <v>12.834862837693926</v>
      </c>
      <c r="J6" s="4">
        <v>12</v>
      </c>
      <c r="K6" s="2">
        <f>Table223456789[[#This Row],[APP]]/Table223456789[[#This Row],[Plays]]</f>
        <v>2.4</v>
      </c>
    </row>
    <row r="7" spans="1:14" x14ac:dyDescent="0.3">
      <c r="A7" t="s">
        <v>168</v>
      </c>
      <c r="B7" t="s">
        <v>16</v>
      </c>
      <c r="C7" t="s">
        <v>162</v>
      </c>
      <c r="D7">
        <v>0</v>
      </c>
      <c r="E7">
        <v>39.9963350296103</v>
      </c>
      <c r="F7">
        <f>Table223456789[[#This Row],[ARIMAPP]]*$N$4+Table223456789[[#This Row],[LSTMPP]]*$N$5</f>
        <v>5.7005772672267856</v>
      </c>
      <c r="G7" s="2">
        <f>Table223456789[[#This Row],[PP]]/$N$2</f>
        <v>1.140115453445357</v>
      </c>
      <c r="H7" s="4">
        <v>1</v>
      </c>
      <c r="I7" s="4">
        <f>Table223456789[[#This Row],[PPG]]*Table223456789[[#This Row],[Plays]]</f>
        <v>1.140115453445357</v>
      </c>
      <c r="J7" s="4">
        <v>1</v>
      </c>
      <c r="K7" s="2">
        <f>Table223456789[[#This Row],[APP]]/Table223456789[[#This Row],[Plays]]</f>
        <v>1</v>
      </c>
      <c r="M7" t="s">
        <v>22</v>
      </c>
      <c r="N7" cm="1">
        <f t="array" ref="N7">(SUM(Table223456789[Tot]-Table223456789[APP]))^2</f>
        <v>3.8654184355829578E-29</v>
      </c>
    </row>
    <row r="8" spans="1:14" x14ac:dyDescent="0.3">
      <c r="A8" t="s">
        <v>169</v>
      </c>
      <c r="B8" t="s">
        <v>19</v>
      </c>
      <c r="C8" t="s">
        <v>162</v>
      </c>
      <c r="D8">
        <v>19.9999943157306</v>
      </c>
      <c r="E8">
        <v>51.995020457323299</v>
      </c>
      <c r="F8">
        <f>Table223456789[[#This Row],[ARIMAPP]]*$N$4+Table223456789[[#This Row],[LSTMPP]]*$N$5</f>
        <v>14.787382403628651</v>
      </c>
      <c r="G8" s="2">
        <f>Table223456789[[#This Row],[PP]]/$N$2</f>
        <v>2.9574764807257301</v>
      </c>
      <c r="H8" s="2">
        <v>5</v>
      </c>
      <c r="I8" s="2">
        <f>Table223456789[[#This Row],[PPG]]*Table223456789[[#This Row],[Plays]]</f>
        <v>14.787382403628651</v>
      </c>
      <c r="J8" s="2">
        <v>17</v>
      </c>
      <c r="K8" s="2">
        <f>Table223456789[[#This Row],[APP]]/Table223456789[[#This Row],[Plays]]</f>
        <v>3.4</v>
      </c>
    </row>
    <row r="9" spans="1:14" x14ac:dyDescent="0.3">
      <c r="A9" t="s">
        <v>170</v>
      </c>
      <c r="B9" t="s">
        <v>19</v>
      </c>
      <c r="C9" t="s">
        <v>162</v>
      </c>
      <c r="D9">
        <v>3.3015154027892701</v>
      </c>
      <c r="E9">
        <v>42.996075854941303</v>
      </c>
      <c r="F9">
        <f>Table223456789[[#This Row],[ARIMAPP]]*$N$4+Table223456789[[#This Row],[LSTMPP]]*$N$5</f>
        <v>7.3458314073752629</v>
      </c>
      <c r="G9" s="2">
        <f>Table223456789[[#This Row],[PP]]/$N$2</f>
        <v>1.4691662814750526</v>
      </c>
      <c r="H9" s="4">
        <v>4</v>
      </c>
      <c r="I9" s="4">
        <f>Table223456789[[#This Row],[PPG]]*Table223456789[[#This Row],[Plays]]</f>
        <v>5.8766651259002103</v>
      </c>
      <c r="J9" s="4">
        <v>3</v>
      </c>
      <c r="K9" s="2">
        <f>Table223456789[[#This Row],[APP]]/Table223456789[[#This Row],[Plays]]</f>
        <v>0.75</v>
      </c>
    </row>
    <row r="10" spans="1:14" x14ac:dyDescent="0.3">
      <c r="A10" t="s">
        <v>171</v>
      </c>
      <c r="B10" t="s">
        <v>16</v>
      </c>
      <c r="C10" t="s">
        <v>162</v>
      </c>
      <c r="D10">
        <v>13.5238093498675</v>
      </c>
      <c r="E10">
        <v>51.847033582951497</v>
      </c>
      <c r="F10">
        <f>Table223456789[[#This Row],[ARIMAPP]]*$N$4+Table223456789[[#This Row],[LSTMPP]]*$N$5</f>
        <v>12.377657951843682</v>
      </c>
      <c r="G10" s="2">
        <f>Table223456789[[#This Row],[PP]]/$N$2</f>
        <v>2.4755315903687363</v>
      </c>
      <c r="H10" s="4">
        <v>4</v>
      </c>
      <c r="I10" s="4">
        <f>Table223456789[[#This Row],[PPG]]*Table223456789[[#This Row],[Plays]]</f>
        <v>9.9021263614749451</v>
      </c>
      <c r="J10" s="4">
        <v>12</v>
      </c>
      <c r="K10" s="2">
        <f>Table223456789[[#This Row],[APP]]/Table223456789[[#This Row],[Plays]]</f>
        <v>3</v>
      </c>
    </row>
    <row r="11" spans="1:14" x14ac:dyDescent="0.3">
      <c r="A11" t="s">
        <v>172</v>
      </c>
      <c r="B11" t="s">
        <v>16</v>
      </c>
      <c r="C11" t="s">
        <v>162</v>
      </c>
      <c r="D11">
        <v>0</v>
      </c>
      <c r="E11">
        <v>41.3784550657628</v>
      </c>
      <c r="F11">
        <f>Table223456789[[#This Row],[ARIMAPP]]*$N$4+Table223456789[[#This Row],[LSTMPP]]*$N$5</f>
        <v>5.8975673677656646</v>
      </c>
      <c r="G11" s="2">
        <f>Table223456789[[#This Row],[PP]]/$N$2</f>
        <v>1.179513473553133</v>
      </c>
      <c r="H11" s="2">
        <v>1</v>
      </c>
      <c r="I11" s="2">
        <f>Table223456789[[#This Row],[PPG]]*Table223456789[[#This Row],[Plays]]</f>
        <v>1.179513473553133</v>
      </c>
      <c r="J11" s="2">
        <v>1</v>
      </c>
      <c r="K11" s="2">
        <f>Table223456789[[#This Row],[APP]]/Table223456789[[#This Row],[Plays]]</f>
        <v>1</v>
      </c>
    </row>
    <row r="12" spans="1:14" x14ac:dyDescent="0.3">
      <c r="A12" t="s">
        <v>173</v>
      </c>
      <c r="B12" t="s">
        <v>16</v>
      </c>
      <c r="C12" t="s">
        <v>162</v>
      </c>
      <c r="D12">
        <v>8.30151515143422</v>
      </c>
      <c r="E12">
        <v>48.133878635002802</v>
      </c>
      <c r="F12">
        <f>Table223456789[[#This Row],[ARIMAPP]]*$N$4+Table223456789[[#This Row],[LSTMPP]]*$N$5</f>
        <v>9.9222756293374825</v>
      </c>
      <c r="G12" s="2">
        <f>Table223456789[[#This Row],[PP]]/$N$2</f>
        <v>1.9844551258674965</v>
      </c>
      <c r="H12" s="4">
        <v>5</v>
      </c>
      <c r="I12" s="4">
        <f>Table223456789[[#This Row],[PPG]]*Table223456789[[#This Row],[Plays]]</f>
        <v>9.9222756293374825</v>
      </c>
      <c r="J12" s="4">
        <v>8</v>
      </c>
      <c r="K12" s="2">
        <f>Table223456789[[#This Row],[APP]]/Table223456789[[#This Row],[Plays]]</f>
        <v>1.6</v>
      </c>
    </row>
    <row r="13" spans="1:14" x14ac:dyDescent="0.3">
      <c r="A13" t="s">
        <v>174</v>
      </c>
      <c r="B13" t="s">
        <v>19</v>
      </c>
      <c r="C13" t="s">
        <v>162</v>
      </c>
      <c r="D13">
        <v>19.999999990196599</v>
      </c>
      <c r="E13">
        <v>56.653632274261099</v>
      </c>
      <c r="F13">
        <f>Table223456789[[#This Row],[ARIMAPP]]*$N$4+Table223456789[[#This Row],[LSTMPP]]*$N$5</f>
        <v>15.451364748771141</v>
      </c>
      <c r="G13" s="2">
        <f>Table223456789[[#This Row],[PP]]/$N$2</f>
        <v>3.0902729497542283</v>
      </c>
      <c r="H13" s="2">
        <v>5</v>
      </c>
      <c r="I13" s="2">
        <f>Table223456789[[#This Row],[PPG]]*Table223456789[[#This Row],[Plays]]</f>
        <v>15.451364748771141</v>
      </c>
      <c r="J13" s="2">
        <v>19</v>
      </c>
      <c r="K13" s="2">
        <f>Table223456789[[#This Row],[APP]]/Table223456789[[#This Row],[Plays]]</f>
        <v>3.8</v>
      </c>
    </row>
    <row r="14" spans="1:14" x14ac:dyDescent="0.3">
      <c r="A14" t="s">
        <v>175</v>
      </c>
      <c r="B14" t="s">
        <v>16</v>
      </c>
      <c r="C14" t="s">
        <v>162</v>
      </c>
      <c r="D14">
        <v>12.0494897299788</v>
      </c>
      <c r="E14">
        <v>48.881729573960499</v>
      </c>
      <c r="F14">
        <f>Table223456789[[#This Row],[ARIMAPP]]*$N$4+Table223456789[[#This Row],[LSTMPP]]*$N$5</f>
        <v>11.411242537008942</v>
      </c>
      <c r="G14" s="2">
        <f>Table223456789[[#This Row],[PP]]/$N$2</f>
        <v>2.2822485074017882</v>
      </c>
      <c r="H14" s="5">
        <v>5</v>
      </c>
      <c r="I14" s="5">
        <f>Table223456789[[#This Row],[PPG]]*Table223456789[[#This Row],[Plays]]</f>
        <v>11.411242537008942</v>
      </c>
      <c r="J14" s="5">
        <v>8</v>
      </c>
      <c r="K14" s="5">
        <f>Table223456789[[#This Row],[APP]]/Table223456789[[#This Row],[Plays]]</f>
        <v>1.6</v>
      </c>
    </row>
    <row r="15" spans="1:14" x14ac:dyDescent="0.3">
      <c r="A15" t="s">
        <v>176</v>
      </c>
      <c r="B15" t="s">
        <v>16</v>
      </c>
      <c r="C15" t="s">
        <v>162</v>
      </c>
      <c r="D15">
        <v>8.9999999821760106</v>
      </c>
      <c r="E15">
        <v>47.704897004737099</v>
      </c>
      <c r="F15">
        <f>Table223456789[[#This Row],[ARIMAPP]]*$N$4+Table223456789[[#This Row],[LSTMPP]]*$N$5</f>
        <v>10.118758374029941</v>
      </c>
      <c r="G15" s="2">
        <f>Table223456789[[#This Row],[PP]]/$N$2</f>
        <v>2.0237516748059883</v>
      </c>
      <c r="H15" s="2">
        <v>5</v>
      </c>
      <c r="I15" s="6">
        <f>Table223456789[[#This Row],[PPG]]*Table223456789[[#This Row],[Plays]]</f>
        <v>10.118758374029941</v>
      </c>
      <c r="J15" s="2">
        <v>9</v>
      </c>
      <c r="K15" s="6">
        <f>Table223456789[[#This Row],[APP]]/Table223456789[[#This Row],[Plays]]</f>
        <v>1.8</v>
      </c>
    </row>
    <row r="16" spans="1:14" x14ac:dyDescent="0.3">
      <c r="A16" t="s">
        <v>177</v>
      </c>
      <c r="B16" t="s">
        <v>16</v>
      </c>
      <c r="C16" t="s">
        <v>162</v>
      </c>
      <c r="D16">
        <v>14.9999999866953</v>
      </c>
      <c r="E16">
        <v>49.764570770403999</v>
      </c>
      <c r="F16">
        <f>Table223456789[[#This Row],[ARIMAPP]]*$N$4+Table223456789[[#This Row],[LSTMPP]]*$N$5</f>
        <v>12.625317921416549</v>
      </c>
      <c r="G16" s="2">
        <f>Table223456789[[#This Row],[PP]]/$N$2</f>
        <v>2.52506358428331</v>
      </c>
      <c r="H16" s="2">
        <v>4</v>
      </c>
      <c r="I16" s="6">
        <f>Table223456789[[#This Row],[PPG]]*Table223456789[[#This Row],[Plays]]</f>
        <v>10.10025433713324</v>
      </c>
      <c r="J16" s="2">
        <v>14</v>
      </c>
      <c r="K16" s="6">
        <f>Table223456789[[#This Row],[APP]]/Table223456789[[#This Row],[Plays]]</f>
        <v>3.5</v>
      </c>
    </row>
    <row r="17" spans="1:11" x14ac:dyDescent="0.3">
      <c r="A17" t="s">
        <v>178</v>
      </c>
      <c r="B17" t="s">
        <v>16</v>
      </c>
      <c r="C17" t="s">
        <v>162</v>
      </c>
      <c r="D17">
        <v>2.9999999751647302</v>
      </c>
      <c r="E17">
        <v>41.074947647540696</v>
      </c>
      <c r="F17">
        <f>Table223456789[[#This Row],[ARIMAPP]]*$N$4+Table223456789[[#This Row],[LSTMPP]]*$N$5</f>
        <v>6.9608089140548781</v>
      </c>
      <c r="G17" s="2">
        <f>Table223456789[[#This Row],[PP]]/$N$2</f>
        <v>1.3921617828109756</v>
      </c>
      <c r="H17" s="2">
        <v>2</v>
      </c>
      <c r="I17" s="6">
        <f>Table223456789[[#This Row],[PPG]]*Table223456789[[#This Row],[Plays]]</f>
        <v>2.7843235656219512</v>
      </c>
      <c r="J17" s="2">
        <v>2</v>
      </c>
      <c r="K17" s="6">
        <f>Table223456789[[#This Row],[APP]]/Table223456789[[#This Row],[Plays]]</f>
        <v>1</v>
      </c>
    </row>
    <row r="18" spans="1:11" x14ac:dyDescent="0.3">
      <c r="A18" t="s">
        <v>179</v>
      </c>
      <c r="B18" t="s">
        <v>19</v>
      </c>
      <c r="C18" t="s">
        <v>162</v>
      </c>
      <c r="D18">
        <v>8.5714284811212593</v>
      </c>
      <c r="E18">
        <v>48.743525616406501</v>
      </c>
      <c r="F18">
        <f>Table223456789[[#This Row],[ARIMAPP]]*$N$4+Table223456789[[#This Row],[LSTMPP]]*$N$5</f>
        <v>10.108720090446086</v>
      </c>
      <c r="G18" s="2">
        <f>Table223456789[[#This Row],[PP]]/$N$2</f>
        <v>2.0217440180892172</v>
      </c>
      <c r="H18" s="2">
        <v>5</v>
      </c>
      <c r="I18" s="6">
        <f>Table223456789[[#This Row],[PPG]]*Table223456789[[#This Row],[Plays]]</f>
        <v>10.108720090446086</v>
      </c>
      <c r="J18" s="2">
        <v>9</v>
      </c>
      <c r="K18" s="6">
        <f>Table223456789[[#This Row],[APP]]/Table223456789[[#This Row],[Plays]]</f>
        <v>1.8</v>
      </c>
    </row>
    <row r="19" spans="1:11" x14ac:dyDescent="0.3">
      <c r="A19" t="s">
        <v>180</v>
      </c>
      <c r="B19" t="s">
        <v>19</v>
      </c>
      <c r="C19" t="s">
        <v>162</v>
      </c>
      <c r="D19">
        <v>9.6601876624785099</v>
      </c>
      <c r="E19">
        <v>48.187345418556099</v>
      </c>
      <c r="F19">
        <f>Table223456789[[#This Row],[ARIMAPP]]*$N$4+Table223456789[[#This Row],[LSTMPP]]*$N$5</f>
        <v>10.431019693912063</v>
      </c>
      <c r="G19" s="2">
        <f>Table223456789[[#This Row],[PP]]/$N$2</f>
        <v>2.0862039387824125</v>
      </c>
      <c r="H19" s="2">
        <v>4</v>
      </c>
      <c r="I19" s="6">
        <f>Table223456789[[#This Row],[PPG]]*Table223456789[[#This Row],[Plays]]</f>
        <v>8.34481575512965</v>
      </c>
      <c r="J19" s="2">
        <v>9</v>
      </c>
      <c r="K19" s="6">
        <f>Table223456789[[#This Row],[APP]]/Table223456789[[#This Row],[Plays]]</f>
        <v>2.25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961B-6BC2-446B-B648-C12E60CB651B}">
  <dimension ref="A1:N21"/>
  <sheetViews>
    <sheetView workbookViewId="0">
      <selection activeCell="N5" sqref="N5"/>
    </sheetView>
  </sheetViews>
  <sheetFormatPr defaultRowHeight="14.4" x14ac:dyDescent="0.3"/>
  <cols>
    <col min="1" max="1" width="14.88671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11</v>
      </c>
      <c r="B2" t="s">
        <v>12</v>
      </c>
      <c r="C2" t="s">
        <v>181</v>
      </c>
      <c r="D2">
        <v>6.6666577299680503</v>
      </c>
      <c r="E2">
        <v>46.048350079884102</v>
      </c>
      <c r="F2">
        <f>Table22345678910[[#This Row],[ARIMAPP]]*$N$4+Table22345678910[[#This Row],[LSTMPP]]*$N$5</f>
        <v>10.225508305399762</v>
      </c>
      <c r="G2" s="2">
        <f>Table22345678910[[#This Row],[PP]]/$N$2</f>
        <v>2.0451016610799524</v>
      </c>
      <c r="H2" s="2">
        <v>3</v>
      </c>
      <c r="I2" s="2">
        <f>Table22345678910[[#This Row],[PPG]]*Table22345678910[[#This Row],[Plays]]</f>
        <v>6.1353049832398572</v>
      </c>
      <c r="J2" s="2">
        <v>7</v>
      </c>
      <c r="K2" s="3">
        <f>Table22345678910[[#This Row],[APP]]/Table22345678910[[#This Row],[Plays]]</f>
        <v>2.3333333333333335</v>
      </c>
      <c r="M2" t="s">
        <v>14</v>
      </c>
      <c r="N2">
        <v>5</v>
      </c>
    </row>
    <row r="3" spans="1:14" x14ac:dyDescent="0.3">
      <c r="A3" t="s">
        <v>182</v>
      </c>
      <c r="B3" t="s">
        <v>16</v>
      </c>
      <c r="C3" t="s">
        <v>181</v>
      </c>
      <c r="D3">
        <v>2.9999999751647302</v>
      </c>
      <c r="E3">
        <v>41.793401694345</v>
      </c>
      <c r="F3">
        <f>Table22345678910[[#This Row],[ARIMAPP]]*$N$4+Table22345678910[[#This Row],[LSTMPP]]*$N$5</f>
        <v>8.1589228356880419</v>
      </c>
      <c r="G3" s="2">
        <f>Table22345678910[[#This Row],[PP]]/$N$2</f>
        <v>1.6317845671376083</v>
      </c>
      <c r="H3" s="4">
        <v>2</v>
      </c>
      <c r="I3" s="4">
        <f>Table22345678910[[#This Row],[PPG]]*Table22345678910[[#This Row],[Plays]]</f>
        <v>3.2635691342752167</v>
      </c>
      <c r="J3" s="4">
        <v>2</v>
      </c>
      <c r="K3" s="2">
        <f>Table22345678910[[#This Row],[APP]]/Table22345678910[[#This Row],[Plays]]</f>
        <v>1</v>
      </c>
    </row>
    <row r="4" spans="1:14" x14ac:dyDescent="0.3">
      <c r="A4" t="s">
        <v>183</v>
      </c>
      <c r="B4" t="s">
        <v>16</v>
      </c>
      <c r="C4" t="s">
        <v>181</v>
      </c>
      <c r="D4">
        <v>12.142856944087599</v>
      </c>
      <c r="E4">
        <v>51.190078612677397</v>
      </c>
      <c r="F4">
        <f>Table22345678910[[#This Row],[ARIMAPP]]*$N$4+Table22345678910[[#This Row],[LSTMPP]]*$N$5</f>
        <v>13.107178330871527</v>
      </c>
      <c r="G4" s="2">
        <f>Table22345678910[[#This Row],[PP]]/$N$2</f>
        <v>2.6214356661743055</v>
      </c>
      <c r="H4" s="4">
        <v>5</v>
      </c>
      <c r="I4" s="4">
        <f>Table22345678910[[#This Row],[PPG]]*Table22345678910[[#This Row],[Plays]]</f>
        <v>13.107178330871527</v>
      </c>
      <c r="J4" s="4">
        <v>11</v>
      </c>
      <c r="K4" s="2">
        <f>Table22345678910[[#This Row],[APP]]/Table22345678910[[#This Row],[Plays]]</f>
        <v>2.2000000000000002</v>
      </c>
      <c r="M4" t="s">
        <v>17</v>
      </c>
      <c r="N4">
        <v>0.36770252228665268</v>
      </c>
    </row>
    <row r="5" spans="1:14" x14ac:dyDescent="0.3">
      <c r="A5" t="s">
        <v>134</v>
      </c>
      <c r="B5" t="s">
        <v>19</v>
      </c>
      <c r="C5" t="s">
        <v>181</v>
      </c>
      <c r="D5">
        <v>2.9999999751647302</v>
      </c>
      <c r="E5">
        <v>42.435991854087703</v>
      </c>
      <c r="F5">
        <f>Table22345678910[[#This Row],[ARIMAPP]]*$N$4+Table22345678910[[#This Row],[LSTMPP]]*$N$5</f>
        <v>8.2674087995667094</v>
      </c>
      <c r="G5" s="2">
        <f>Table22345678910[[#This Row],[PP]]/$N$2</f>
        <v>1.6534817599133418</v>
      </c>
      <c r="H5" s="4">
        <v>2</v>
      </c>
      <c r="I5" s="4">
        <f>Table22345678910[[#This Row],[PPG]]*Table22345678910[[#This Row],[Plays]]</f>
        <v>3.3069635198266836</v>
      </c>
      <c r="J5" s="4">
        <v>2</v>
      </c>
      <c r="K5" s="2">
        <f>Table22345678910[[#This Row],[APP]]/Table22345678910[[#This Row],[Plays]]</f>
        <v>1</v>
      </c>
      <c r="M5" t="s">
        <v>20</v>
      </c>
      <c r="N5">
        <v>0.16882605846642021</v>
      </c>
    </row>
    <row r="6" spans="1:14" x14ac:dyDescent="0.3">
      <c r="A6" t="s">
        <v>184</v>
      </c>
      <c r="B6" t="s">
        <v>19</v>
      </c>
      <c r="C6" t="s">
        <v>181</v>
      </c>
      <c r="D6">
        <v>9.2380983689802907</v>
      </c>
      <c r="E6">
        <v>51.578102051798901</v>
      </c>
      <c r="F6">
        <f>Table22345678910[[#This Row],[ARIMAPP]]*$N$4+Table22345678910[[#This Row],[LSTMPP]]*$N$5</f>
        <v>12.104599743990253</v>
      </c>
      <c r="G6" s="2">
        <f>Table22345678910[[#This Row],[PP]]/$N$2</f>
        <v>2.4209199487980504</v>
      </c>
      <c r="H6" s="2">
        <v>4</v>
      </c>
      <c r="I6" s="2">
        <f>Table22345678910[[#This Row],[PPG]]*Table22345678910[[#This Row],[Plays]]</f>
        <v>9.6836797951922016</v>
      </c>
      <c r="J6" s="2">
        <v>12</v>
      </c>
      <c r="K6" s="2">
        <f>Table22345678910[[#This Row],[APP]]/Table22345678910[[#This Row],[Plays]]</f>
        <v>3</v>
      </c>
    </row>
    <row r="7" spans="1:14" x14ac:dyDescent="0.3">
      <c r="A7" t="s">
        <v>185</v>
      </c>
      <c r="B7" t="s">
        <v>19</v>
      </c>
      <c r="C7" t="s">
        <v>181</v>
      </c>
      <c r="D7">
        <v>17.9999998227579</v>
      </c>
      <c r="E7">
        <v>55.140112286748298</v>
      </c>
      <c r="F7">
        <f>Table22345678910[[#This Row],[ARIMAPP]]*$N$4+Table22345678910[[#This Row],[LSTMPP]]*$N$5</f>
        <v>15.927733156754924</v>
      </c>
      <c r="G7" s="2">
        <f>Table22345678910[[#This Row],[PP]]/$N$2</f>
        <v>3.1855466313509848</v>
      </c>
      <c r="H7" s="4">
        <v>5</v>
      </c>
      <c r="I7" s="4">
        <f>Table22345678910[[#This Row],[PPG]]*Table22345678910[[#This Row],[Plays]]</f>
        <v>15.927733156754924</v>
      </c>
      <c r="J7" s="4">
        <v>15</v>
      </c>
      <c r="K7" s="2">
        <f>Table22345678910[[#This Row],[APP]]/Table22345678910[[#This Row],[Plays]]</f>
        <v>3</v>
      </c>
      <c r="M7" t="s">
        <v>22</v>
      </c>
      <c r="N7" cm="1">
        <f t="array" ref="N7">(SUM(Table22345678910[Tot]-Table22345678910[APP]))^2</f>
        <v>3.594247499413235E-27</v>
      </c>
    </row>
    <row r="8" spans="1:14" x14ac:dyDescent="0.3">
      <c r="A8" t="s">
        <v>186</v>
      </c>
      <c r="B8" t="s">
        <v>16</v>
      </c>
      <c r="C8" t="s">
        <v>181</v>
      </c>
      <c r="D8">
        <v>12.142856944087599</v>
      </c>
      <c r="E8">
        <v>50.7364619495605</v>
      </c>
      <c r="F8">
        <f>Table22345678910[[#This Row],[ARIMAPP]]*$N$4+Table22345678910[[#This Row],[LSTMPP]]*$N$5</f>
        <v>13.030596017582811</v>
      </c>
      <c r="G8" s="2">
        <f>Table22345678910[[#This Row],[PP]]/$N$2</f>
        <v>2.6061192035165623</v>
      </c>
      <c r="H8" s="4">
        <v>5</v>
      </c>
      <c r="I8" s="4">
        <f>Table22345678910[[#This Row],[PPG]]*Table22345678910[[#This Row],[Plays]]</f>
        <v>13.030596017582813</v>
      </c>
      <c r="J8" s="4">
        <v>11</v>
      </c>
      <c r="K8" s="2">
        <f>Table22345678910[[#This Row],[APP]]/Table22345678910[[#This Row],[Plays]]</f>
        <v>2.2000000000000002</v>
      </c>
    </row>
    <row r="9" spans="1:14" x14ac:dyDescent="0.3">
      <c r="A9" t="s">
        <v>187</v>
      </c>
      <c r="B9" t="s">
        <v>15</v>
      </c>
      <c r="C9" t="s">
        <v>181</v>
      </c>
      <c r="D9">
        <v>34.999999985595601</v>
      </c>
      <c r="E9">
        <v>60.1326592441862</v>
      </c>
      <c r="F9">
        <f>Table22345678910[[#This Row],[ARIMAPP]]*$N$4+Table22345678910[[#This Row],[LSTMPP]]*$N$5</f>
        <v>23.021548120036613</v>
      </c>
      <c r="G9" s="2">
        <f>Table22345678910[[#This Row],[PP]]/$N$2</f>
        <v>4.6043096240073229</v>
      </c>
      <c r="H9" s="2">
        <v>5</v>
      </c>
      <c r="I9" s="2">
        <f>Table22345678910[[#This Row],[PPG]]*Table22345678910[[#This Row],[Plays]]</f>
        <v>23.021548120036613</v>
      </c>
      <c r="J9" s="2">
        <v>34</v>
      </c>
      <c r="K9" s="2">
        <f>Table22345678910[[#This Row],[APP]]/Table22345678910[[#This Row],[Plays]]</f>
        <v>6.8</v>
      </c>
    </row>
    <row r="10" spans="1:14" x14ac:dyDescent="0.3">
      <c r="A10" t="s">
        <v>188</v>
      </c>
      <c r="B10" t="s">
        <v>19</v>
      </c>
      <c r="C10" t="s">
        <v>181</v>
      </c>
      <c r="D10">
        <v>9.7619049372109803</v>
      </c>
      <c r="E10">
        <v>49.429807420162703</v>
      </c>
      <c r="F10">
        <f>Table22345678910[[#This Row],[ARIMAPP]]*$N$4+Table22345678910[[#This Row],[LSTMPP]]*$N$5</f>
        <v>11.934516625235286</v>
      </c>
      <c r="G10" s="2">
        <f>Table22345678910[[#This Row],[PP]]/$N$2</f>
        <v>2.386903325047057</v>
      </c>
      <c r="H10" s="4">
        <v>5</v>
      </c>
      <c r="I10" s="4">
        <f>Table22345678910[[#This Row],[PPG]]*Table22345678910[[#This Row],[Plays]]</f>
        <v>11.934516625235286</v>
      </c>
      <c r="J10" s="4">
        <v>9</v>
      </c>
      <c r="K10" s="2">
        <f>Table22345678910[[#This Row],[APP]]/Table22345678910[[#This Row],[Plays]]</f>
        <v>1.8</v>
      </c>
    </row>
    <row r="11" spans="1:14" x14ac:dyDescent="0.3">
      <c r="A11" t="s">
        <v>190</v>
      </c>
      <c r="B11" t="s">
        <v>12</v>
      </c>
      <c r="C11" t="s">
        <v>181</v>
      </c>
      <c r="D11">
        <v>9.1904825109354498</v>
      </c>
      <c r="E11">
        <v>45.607010826967901</v>
      </c>
      <c r="F11">
        <f>Table22345678910[[#This Row],[ARIMAPP]]*$N$4+Table22345678910[[#This Row],[LSTMPP]]*$N$5</f>
        <v>11.079015476654675</v>
      </c>
      <c r="G11" s="2">
        <f>Table22345678910[[#This Row],[PP]]/$N$2</f>
        <v>2.2158030953309349</v>
      </c>
      <c r="H11" s="4">
        <v>2</v>
      </c>
      <c r="I11" s="4">
        <f>Table22345678910[[#This Row],[PPG]]*Table22345678910[[#This Row],[Plays]]</f>
        <v>4.4316061906618698</v>
      </c>
      <c r="J11" s="4">
        <v>7</v>
      </c>
      <c r="K11" s="2">
        <f>Table22345678910[[#This Row],[APP]]/Table22345678910[[#This Row],[Plays]]</f>
        <v>3.5</v>
      </c>
    </row>
    <row r="12" spans="1:14" x14ac:dyDescent="0.3">
      <c r="A12" t="s">
        <v>191</v>
      </c>
      <c r="B12" t="s">
        <v>16</v>
      </c>
      <c r="C12" t="s">
        <v>181</v>
      </c>
      <c r="D12">
        <v>13.571427559971699</v>
      </c>
      <c r="E12">
        <v>51.4909526347979</v>
      </c>
      <c r="F12">
        <f>Table22345678910[[#This Row],[ARIMAPP]]*$N$4+Table22345678910[[#This Row],[LSTMPP]]*$N$5</f>
        <v>13.68326272484625</v>
      </c>
      <c r="G12" s="2">
        <f>Table22345678910[[#This Row],[PP]]/$N$2</f>
        <v>2.73665254496925</v>
      </c>
      <c r="H12" s="4">
        <v>5</v>
      </c>
      <c r="I12" s="4">
        <f>Table22345678910[[#This Row],[PPG]]*Table22345678910[[#This Row],[Plays]]</f>
        <v>13.68326272484625</v>
      </c>
      <c r="J12" s="4">
        <v>13</v>
      </c>
      <c r="K12" s="2">
        <f>Table22345678910[[#This Row],[APP]]/Table22345678910[[#This Row],[Plays]]</f>
        <v>2.6</v>
      </c>
    </row>
    <row r="13" spans="1:14" x14ac:dyDescent="0.3">
      <c r="A13" t="s">
        <v>192</v>
      </c>
      <c r="B13" t="s">
        <v>16</v>
      </c>
      <c r="C13" t="s">
        <v>181</v>
      </c>
      <c r="D13">
        <v>10.8571419118216</v>
      </c>
      <c r="E13">
        <v>47.282816448847001</v>
      </c>
      <c r="F13">
        <f>Table22345678910[[#This Row],[ARIMAPP]]*$N$4+Table22345678910[[#This Row],[LSTMPP]]*$N$5</f>
        <v>11.974770000050992</v>
      </c>
      <c r="G13" s="2">
        <f>Table22345678910[[#This Row],[PP]]/$N$2</f>
        <v>2.3949540000101983</v>
      </c>
      <c r="H13" s="4">
        <v>5</v>
      </c>
      <c r="I13" s="4">
        <f>Table22345678910[[#This Row],[PPG]]*Table22345678910[[#This Row],[Plays]]</f>
        <v>11.974770000050992</v>
      </c>
      <c r="J13" s="4">
        <v>9</v>
      </c>
      <c r="K13" s="2">
        <f>Table22345678910[[#This Row],[APP]]/Table22345678910[[#This Row],[Plays]]</f>
        <v>1.8</v>
      </c>
    </row>
    <row r="14" spans="1:14" x14ac:dyDescent="0.3">
      <c r="A14" t="s">
        <v>193</v>
      </c>
      <c r="B14" t="s">
        <v>15</v>
      </c>
      <c r="C14" t="s">
        <v>181</v>
      </c>
      <c r="D14">
        <v>9.5714274374466193</v>
      </c>
      <c r="E14">
        <v>46.580649608797799</v>
      </c>
      <c r="F14">
        <f>Table22345678910[[#This Row],[ARIMAPP]]*$N$4+Table22345678910[[#This Row],[LSTMPP]]*$N$5</f>
        <v>11.383465484891525</v>
      </c>
      <c r="G14" s="2">
        <f>Table22345678910[[#This Row],[PP]]/$N$2</f>
        <v>2.2766930969783052</v>
      </c>
      <c r="H14" s="4">
        <v>3</v>
      </c>
      <c r="I14" s="4">
        <f>Table22345678910[[#This Row],[PPG]]*Table22345678910[[#This Row],[Plays]]</f>
        <v>6.8300792909349157</v>
      </c>
      <c r="J14" s="4">
        <v>7</v>
      </c>
      <c r="K14" s="2">
        <f>Table22345678910[[#This Row],[APP]]/Table22345678910[[#This Row],[Plays]]</f>
        <v>2.3333333333333335</v>
      </c>
    </row>
    <row r="15" spans="1:14" x14ac:dyDescent="0.3">
      <c r="A15" t="s">
        <v>194</v>
      </c>
      <c r="B15" t="s">
        <v>19</v>
      </c>
      <c r="C15" t="s">
        <v>181</v>
      </c>
      <c r="D15">
        <v>14.6666646869923</v>
      </c>
      <c r="E15">
        <v>53.426303763073399</v>
      </c>
      <c r="F15">
        <f>Table22345678910[[#This Row],[ARIMAPP]]*$N$4+Table22345678910[[#This Row],[LSTMPP]]*$N$5</f>
        <v>14.412721881689002</v>
      </c>
      <c r="G15" s="5">
        <f>Table22345678910[[#This Row],[PP]]/$N$2</f>
        <v>2.8825443763378003</v>
      </c>
      <c r="H15" s="5">
        <v>5</v>
      </c>
      <c r="I15" s="5">
        <f>Table22345678910[[#This Row],[PPG]]*Table22345678910[[#This Row],[Plays]]</f>
        <v>14.412721881689002</v>
      </c>
      <c r="J15" s="5">
        <v>13</v>
      </c>
      <c r="K15" s="5">
        <f>Table22345678910[[#This Row],[APP]]/Table22345678910[[#This Row],[Plays]]</f>
        <v>2.6</v>
      </c>
    </row>
    <row r="16" spans="1:14" x14ac:dyDescent="0.3">
      <c r="A16" t="s">
        <v>137</v>
      </c>
      <c r="B16" t="s">
        <v>19</v>
      </c>
      <c r="C16" t="s">
        <v>181</v>
      </c>
      <c r="D16">
        <v>6.9523814558843799</v>
      </c>
      <c r="E16">
        <v>46.464112728549402</v>
      </c>
      <c r="F16">
        <f>Table22345678910[[#This Row],[ARIMAPP]]*$N$4+Table22345678910[[#This Row],[LSTMPP]]*$N$5</f>
        <v>10.400761209328058</v>
      </c>
      <c r="G16" s="6">
        <f>Table22345678910[[#This Row],[PP]]/$N$2</f>
        <v>2.0801522418656115</v>
      </c>
      <c r="H16" s="2">
        <v>4</v>
      </c>
      <c r="I16" s="6">
        <f>Table22345678910[[#This Row],[PPG]]*Table22345678910[[#This Row],[Plays]]</f>
        <v>8.3206089674624462</v>
      </c>
      <c r="J16" s="2">
        <v>6</v>
      </c>
      <c r="K16" s="6">
        <f>Table22345678910[[#This Row],[APP]]/Table22345678910[[#This Row],[Plays]]</f>
        <v>1.5</v>
      </c>
    </row>
    <row r="17" spans="1:11" x14ac:dyDescent="0.3">
      <c r="A17" t="s">
        <v>195</v>
      </c>
      <c r="B17" t="s">
        <v>19</v>
      </c>
      <c r="C17" t="s">
        <v>181</v>
      </c>
      <c r="D17">
        <v>20.9047636656584</v>
      </c>
      <c r="E17">
        <v>61.094275282987503</v>
      </c>
      <c r="F17">
        <f>Table22345678910[[#This Row],[ARIMAPP]]*$N$4+Table22345678910[[#This Row],[LSTMPP]]*$N$5</f>
        <v>18.001040018558186</v>
      </c>
      <c r="G17" s="6">
        <f>Table22345678910[[#This Row],[PP]]/$N$2</f>
        <v>3.6002080037116371</v>
      </c>
      <c r="H17" s="2">
        <v>5</v>
      </c>
      <c r="I17" s="6">
        <f>Table22345678910[[#This Row],[PPG]]*Table22345678910[[#This Row],[Plays]]</f>
        <v>18.001040018558186</v>
      </c>
      <c r="J17" s="2">
        <v>21</v>
      </c>
      <c r="K17" s="6">
        <f>Table22345678910[[#This Row],[APP]]/Table22345678910[[#This Row],[Plays]]</f>
        <v>4.2</v>
      </c>
    </row>
    <row r="18" spans="1:11" x14ac:dyDescent="0.3">
      <c r="A18" t="s">
        <v>196</v>
      </c>
      <c r="B18" t="s">
        <v>16</v>
      </c>
      <c r="C18" t="s">
        <v>181</v>
      </c>
      <c r="D18">
        <v>1.0476190057723</v>
      </c>
      <c r="E18">
        <v>39.728960282764</v>
      </c>
      <c r="F18">
        <f>Table22345678910[[#This Row],[ARIMAPP]]*$N$4+Table22345678910[[#This Row],[LSTMPP]]*$N$5</f>
        <v>7.0924959223259112</v>
      </c>
      <c r="G18" s="6">
        <f>Table22345678910[[#This Row],[PP]]/$N$2</f>
        <v>1.4184991844651822</v>
      </c>
      <c r="H18" s="2">
        <v>1</v>
      </c>
      <c r="I18" s="6">
        <f>Table22345678910[[#This Row],[PPG]]*Table22345678910[[#This Row],[Plays]]</f>
        <v>1.4184991844651822</v>
      </c>
      <c r="J18" s="2">
        <v>1</v>
      </c>
      <c r="K18" s="6">
        <f>Table22345678910[[#This Row],[APP]]/Table22345678910[[#This Row],[Plays]]</f>
        <v>1</v>
      </c>
    </row>
    <row r="19" spans="1:11" x14ac:dyDescent="0.3">
      <c r="A19" t="s">
        <v>197</v>
      </c>
      <c r="B19" t="s">
        <v>19</v>
      </c>
      <c r="C19" t="s">
        <v>181</v>
      </c>
      <c r="D19">
        <v>1.3809528225765599</v>
      </c>
      <c r="E19">
        <v>42.073792722170602</v>
      </c>
      <c r="F19">
        <f>Table22345678910[[#This Row],[ARIMAPP]]*$N$4+Table22345678910[[#This Row],[LSTMPP]]*$N$5</f>
        <v>7.6109324260374924</v>
      </c>
      <c r="G19" s="6">
        <f>Table22345678910[[#This Row],[PP]]/$N$2</f>
        <v>1.5221864852074984</v>
      </c>
      <c r="H19" s="2">
        <v>1</v>
      </c>
      <c r="I19" s="6">
        <f>Table22345678910[[#This Row],[PPG]]*Table22345678910[[#This Row],[Plays]]</f>
        <v>1.5221864852074984</v>
      </c>
      <c r="J19" s="2">
        <v>1</v>
      </c>
      <c r="K19" s="6">
        <f>Table22345678910[[#This Row],[APP]]/Table22345678910[[#This Row],[Plays]]</f>
        <v>1</v>
      </c>
    </row>
    <row r="20" spans="1:11" x14ac:dyDescent="0.3">
      <c r="A20" t="s">
        <v>198</v>
      </c>
      <c r="B20" t="s">
        <v>16</v>
      </c>
      <c r="C20" t="s">
        <v>181</v>
      </c>
      <c r="D20">
        <v>5</v>
      </c>
      <c r="E20">
        <v>44.697598182771301</v>
      </c>
      <c r="F20">
        <f>Table22345678910[[#This Row],[ARIMAPP]]*$N$4+Table22345678910[[#This Row],[LSTMPP]]*$N$5</f>
        <v>9.3846319355463681</v>
      </c>
      <c r="G20" s="6">
        <f>Table22345678910[[#This Row],[PP]]/$N$2</f>
        <v>1.8769263871092736</v>
      </c>
      <c r="H20" s="2">
        <v>3</v>
      </c>
      <c r="I20" s="6">
        <f>Table22345678910[[#This Row],[PPG]]*Table22345678910[[#This Row],[Plays]]</f>
        <v>5.6307791613278209</v>
      </c>
      <c r="J20" s="2">
        <v>5</v>
      </c>
      <c r="K20" s="6">
        <f>Table22345678910[[#This Row],[APP]]/Table22345678910[[#This Row],[Plays]]</f>
        <v>1.6666666666666667</v>
      </c>
    </row>
    <row r="21" spans="1:11" x14ac:dyDescent="0.3">
      <c r="A21" t="s">
        <v>199</v>
      </c>
      <c r="B21" t="s">
        <v>19</v>
      </c>
      <c r="C21" t="s">
        <v>181</v>
      </c>
      <c r="D21">
        <v>0</v>
      </c>
      <c r="E21">
        <v>40.377546694067703</v>
      </c>
      <c r="F21">
        <f>Table22345678910[[#This Row],[ARIMAPP]]*$N$4+Table22345678910[[#This Row],[LSTMPP]]*$N$5</f>
        <v>6.8167820589032857</v>
      </c>
      <c r="G21" s="6">
        <f>Table22345678910[[#This Row],[PP]]/$N$2</f>
        <v>1.3633564117806571</v>
      </c>
      <c r="H21" s="2">
        <v>1</v>
      </c>
      <c r="I21" s="6">
        <f>Table22345678910[[#This Row],[PPG]]*Table22345678910[[#This Row],[Plays]]</f>
        <v>1.3633564117806571</v>
      </c>
      <c r="J21" s="2">
        <v>1</v>
      </c>
      <c r="K21" s="6">
        <f>Table22345678910[[#This Row],[APP]]/Table22345678910[[#This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509A-BCEA-46E7-B646-121D4C2909F0}">
  <dimension ref="A1:N17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201</v>
      </c>
      <c r="B2" t="s">
        <v>19</v>
      </c>
      <c r="C2" t="s">
        <v>200</v>
      </c>
      <c r="D2">
        <v>2.9999999813735401</v>
      </c>
      <c r="E2">
        <v>42.259436634648097</v>
      </c>
      <c r="F2">
        <f>Table2234567891011[[#This Row],[ARIMAPP]]*$N$4+Table2234567891011[[#This Row],[LSTMPP]]*$N$5</f>
        <v>9.0883733971033784</v>
      </c>
      <c r="G2" s="2">
        <f>Table2234567891011[[#This Row],[PP]]/$N$2</f>
        <v>1.8176746794206757</v>
      </c>
      <c r="H2" s="4">
        <v>3</v>
      </c>
      <c r="I2" s="4">
        <f>Table2234567891011[[#This Row],[PPG]]*Table2234567891011[[#This Row],[Plays]]</f>
        <v>5.4530240382620274</v>
      </c>
      <c r="J2" s="4">
        <v>3</v>
      </c>
      <c r="K2" s="2">
        <f>Table2234567891011[[#This Row],[APP]]/Table2234567891011[[#This Row],[Plays]]</f>
        <v>1</v>
      </c>
      <c r="M2" t="s">
        <v>14</v>
      </c>
      <c r="N2">
        <v>5</v>
      </c>
    </row>
    <row r="3" spans="1:14" x14ac:dyDescent="0.3">
      <c r="A3" t="s">
        <v>202</v>
      </c>
      <c r="B3" t="s">
        <v>19</v>
      </c>
      <c r="C3" t="s">
        <v>200</v>
      </c>
      <c r="D3">
        <v>33.666633102439697</v>
      </c>
      <c r="E3">
        <v>68.076430002134103</v>
      </c>
      <c r="F3">
        <f>Table2234567891011[[#This Row],[ARIMAPP]]*$N$4+Table2234567891011[[#This Row],[LSTMPP]]*$N$5</f>
        <v>25.100961972860397</v>
      </c>
      <c r="G3" s="2">
        <f>Table2234567891011[[#This Row],[PP]]/$N$2</f>
        <v>5.0201923945720797</v>
      </c>
      <c r="H3" s="2">
        <v>5</v>
      </c>
      <c r="I3" s="2">
        <f>Table2234567891011[[#This Row],[PPG]]*Table2234567891011[[#This Row],[Plays]]</f>
        <v>25.100961972860397</v>
      </c>
      <c r="J3" s="2">
        <v>38</v>
      </c>
      <c r="K3" s="2">
        <f>Table2234567891011[[#This Row],[APP]]/Table2234567891011[[#This Row],[Plays]]</f>
        <v>7.6</v>
      </c>
    </row>
    <row r="4" spans="1:14" x14ac:dyDescent="0.3">
      <c r="A4" t="s">
        <v>203</v>
      </c>
      <c r="B4" t="s">
        <v>15</v>
      </c>
      <c r="C4" t="s">
        <v>200</v>
      </c>
      <c r="D4">
        <v>7.9999999733907803</v>
      </c>
      <c r="E4">
        <v>44.961984274242504</v>
      </c>
      <c r="F4">
        <f>Table2234567891011[[#This Row],[ARIMAPP]]*$N$4+Table2234567891011[[#This Row],[LSTMPP]]*$N$5</f>
        <v>11.4138852277383</v>
      </c>
      <c r="G4" s="2">
        <f>Table2234567891011[[#This Row],[PP]]/$N$2</f>
        <v>2.2827770455476601</v>
      </c>
      <c r="H4" s="2">
        <v>3</v>
      </c>
      <c r="I4" s="2">
        <f>Table2234567891011[[#This Row],[PPG]]*Table2234567891011[[#This Row],[Plays]]</f>
        <v>6.8483311366429804</v>
      </c>
      <c r="J4" s="2">
        <v>7</v>
      </c>
      <c r="K4" s="2">
        <f>Table2234567891011[[#This Row],[APP]]/Table2234567891011[[#This Row],[Plays]]</f>
        <v>2.3333333333333335</v>
      </c>
      <c r="M4" t="s">
        <v>17</v>
      </c>
      <c r="N4">
        <v>0.36277978575843689</v>
      </c>
    </row>
    <row r="5" spans="1:14" x14ac:dyDescent="0.3">
      <c r="A5" t="s">
        <v>204</v>
      </c>
      <c r="B5" t="s">
        <v>16</v>
      </c>
      <c r="C5" t="s">
        <v>200</v>
      </c>
      <c r="D5">
        <v>16.9523798125817</v>
      </c>
      <c r="E5">
        <v>48.8407777570905</v>
      </c>
      <c r="F5">
        <f>Table2234567891011[[#This Row],[ARIMAPP]]*$N$4+Table2234567891011[[#This Row],[LSTMPP]]*$N$5</f>
        <v>15.395912892468722</v>
      </c>
      <c r="G5" s="2">
        <f>Table2234567891011[[#This Row],[PP]]/$N$2</f>
        <v>3.0791825784937443</v>
      </c>
      <c r="H5" s="4">
        <v>5</v>
      </c>
      <c r="I5" s="4">
        <f>Table2234567891011[[#This Row],[PPG]]*Table2234567891011[[#This Row],[Plays]]</f>
        <v>15.395912892468722</v>
      </c>
      <c r="J5" s="4">
        <v>14</v>
      </c>
      <c r="K5" s="2">
        <f>Table2234567891011[[#This Row],[APP]]/Table2234567891011[[#This Row],[Plays]]</f>
        <v>2.8</v>
      </c>
      <c r="M5" t="s">
        <v>20</v>
      </c>
      <c r="N5">
        <v>0.1893076359665955</v>
      </c>
    </row>
    <row r="6" spans="1:14" x14ac:dyDescent="0.3">
      <c r="A6" t="s">
        <v>205</v>
      </c>
      <c r="B6" t="s">
        <v>16</v>
      </c>
      <c r="C6" t="s">
        <v>200</v>
      </c>
      <c r="D6">
        <v>14.3333324947801</v>
      </c>
      <c r="E6">
        <v>51.4710894232296</v>
      </c>
      <c r="F6">
        <f>Table2234567891011[[#This Row],[ARIMAPP]]*$N$4+Table2234567891011[[#This Row],[LSTMPP]]*$N$5</f>
        <v>14.943713550997598</v>
      </c>
      <c r="G6" s="2">
        <f>Table2234567891011[[#This Row],[PP]]/$N$2</f>
        <v>2.9887427101995199</v>
      </c>
      <c r="H6" s="4">
        <v>5</v>
      </c>
      <c r="I6" s="4">
        <f>Table2234567891011[[#This Row],[PPG]]*Table2234567891011[[#This Row],[Plays]]</f>
        <v>14.9437135509976</v>
      </c>
      <c r="J6" s="4">
        <v>13</v>
      </c>
      <c r="K6" s="2">
        <f>Table2234567891011[[#This Row],[APP]]/Table2234567891011[[#This Row],[Plays]]</f>
        <v>2.6</v>
      </c>
    </row>
    <row r="7" spans="1:14" x14ac:dyDescent="0.3">
      <c r="A7" t="s">
        <v>206</v>
      </c>
      <c r="B7" t="s">
        <v>19</v>
      </c>
      <c r="C7" t="s">
        <v>200</v>
      </c>
      <c r="D7">
        <v>33.523824011852298</v>
      </c>
      <c r="E7">
        <v>61.1650407437116</v>
      </c>
      <c r="F7">
        <f>Table2234567891011[[#This Row],[ARIMAPP]]*$N$4+Table2234567891011[[#This Row],[LSTMPP]]*$N$5</f>
        <v>23.740774959815859</v>
      </c>
      <c r="G7" s="2">
        <f>Table2234567891011[[#This Row],[PP]]/$N$2</f>
        <v>4.7481549919631716</v>
      </c>
      <c r="H7" s="4">
        <v>5</v>
      </c>
      <c r="I7" s="4">
        <f>Table2234567891011[[#This Row],[PPG]]*Table2234567891011[[#This Row],[Plays]]</f>
        <v>23.740774959815859</v>
      </c>
      <c r="J7" s="4">
        <v>28</v>
      </c>
      <c r="K7" s="2">
        <f>Table2234567891011[[#This Row],[APP]]/Table2234567891011[[#This Row],[Plays]]</f>
        <v>5.6</v>
      </c>
      <c r="M7" t="s">
        <v>22</v>
      </c>
      <c r="N7" cm="1">
        <f t="array" ref="N7">(SUM(Table2234567891011[Tot]-Table2234567891011[APP]))^2</f>
        <v>7.8886090522101181E-29</v>
      </c>
    </row>
    <row r="8" spans="1:14" x14ac:dyDescent="0.3">
      <c r="A8" t="s">
        <v>207</v>
      </c>
      <c r="B8" t="s">
        <v>16</v>
      </c>
      <c r="C8" t="s">
        <v>200</v>
      </c>
      <c r="D8">
        <v>20.666666883824099</v>
      </c>
      <c r="E8">
        <v>54.466384423630501</v>
      </c>
      <c r="F8">
        <f>Table2234567891011[[#This Row],[ARIMAPP]]*$N$4+Table2234567891011[[#This Row],[LSTMPP]]*$N$5</f>
        <v>17.808351459339981</v>
      </c>
      <c r="G8" s="2">
        <f>Table2234567891011[[#This Row],[PP]]/$N$2</f>
        <v>3.5616702918679963</v>
      </c>
      <c r="H8" s="4">
        <v>5</v>
      </c>
      <c r="I8" s="4">
        <f>Table2234567891011[[#This Row],[PPG]]*Table2234567891011[[#This Row],[Plays]]</f>
        <v>17.808351459339981</v>
      </c>
      <c r="J8" s="4">
        <v>19</v>
      </c>
      <c r="K8" s="2">
        <f>Table2234567891011[[#This Row],[APP]]/Table2234567891011[[#This Row],[Plays]]</f>
        <v>3.8</v>
      </c>
    </row>
    <row r="9" spans="1:14" x14ac:dyDescent="0.3">
      <c r="A9" t="s">
        <v>208</v>
      </c>
      <c r="B9" t="s">
        <v>15</v>
      </c>
      <c r="C9" t="s">
        <v>200</v>
      </c>
      <c r="D9">
        <v>4.23606795266452</v>
      </c>
      <c r="E9">
        <v>42.530091466995998</v>
      </c>
      <c r="F9">
        <f>Table2234567891011[[#This Row],[ARIMAPP]]*$N$4+Table2234567891011[[#This Row],[LSTMPP]]*$N$5</f>
        <v>9.5880308973859023</v>
      </c>
      <c r="G9" s="2">
        <f>Table2234567891011[[#This Row],[PP]]/$N$2</f>
        <v>1.9176061794771804</v>
      </c>
      <c r="H9" s="4">
        <v>2</v>
      </c>
      <c r="I9" s="4">
        <f>Table2234567891011[[#This Row],[PPG]]*Table2234567891011[[#This Row],[Plays]]</f>
        <v>3.8352123589543607</v>
      </c>
      <c r="J9" s="4">
        <v>2</v>
      </c>
      <c r="K9" s="2">
        <f>Table2234567891011[[#This Row],[APP]]/Table2234567891011[[#This Row],[Plays]]</f>
        <v>1</v>
      </c>
    </row>
    <row r="10" spans="1:14" x14ac:dyDescent="0.3">
      <c r="A10" t="s">
        <v>209</v>
      </c>
      <c r="B10" t="s">
        <v>12</v>
      </c>
      <c r="C10" t="s">
        <v>200</v>
      </c>
      <c r="D10">
        <v>17.714286846805599</v>
      </c>
      <c r="E10">
        <v>55.322585451508097</v>
      </c>
      <c r="F10">
        <f>Table2234567891011[[#This Row],[ARIMAPP]]*$N$4+Table2234567891011[[#This Row],[LSTMPP]]*$N$5</f>
        <v>16.8993730545326</v>
      </c>
      <c r="G10" s="2">
        <f>Table2234567891011[[#This Row],[PP]]/$N$2</f>
        <v>3.3798746109065201</v>
      </c>
      <c r="H10" s="2">
        <v>5</v>
      </c>
      <c r="I10" s="2">
        <f>Table2234567891011[[#This Row],[PPG]]*Table2234567891011[[#This Row],[Plays]]</f>
        <v>16.8993730545326</v>
      </c>
      <c r="J10" s="2">
        <v>16</v>
      </c>
      <c r="K10" s="2">
        <f>Table2234567891011[[#This Row],[APP]]/Table2234567891011[[#This Row],[Plays]]</f>
        <v>3.2</v>
      </c>
    </row>
    <row r="11" spans="1:14" x14ac:dyDescent="0.3">
      <c r="A11" t="s">
        <v>210</v>
      </c>
      <c r="B11" t="s">
        <v>19</v>
      </c>
      <c r="C11" t="s">
        <v>200</v>
      </c>
      <c r="D11">
        <v>0</v>
      </c>
      <c r="E11">
        <v>39.973391145690599</v>
      </c>
      <c r="F11">
        <f>Table2234567891011[[#This Row],[ARIMAPP]]*$N$4+Table2234567891011[[#This Row],[LSTMPP]]*$N$5</f>
        <v>7.5672681793587273</v>
      </c>
      <c r="G11" s="2">
        <f>Table2234567891011[[#This Row],[PP]]/$N$2</f>
        <v>1.5134536358717454</v>
      </c>
      <c r="H11" s="2">
        <v>1</v>
      </c>
      <c r="I11" s="2">
        <f>Table2234567891011[[#This Row],[PPG]]*Table2234567891011[[#This Row],[Plays]]</f>
        <v>1.5134536358717454</v>
      </c>
      <c r="J11" s="2">
        <v>1</v>
      </c>
      <c r="K11" s="2">
        <f>Table2234567891011[[#This Row],[APP]]/Table2234567891011[[#This Row],[Plays]]</f>
        <v>1</v>
      </c>
    </row>
    <row r="12" spans="1:14" x14ac:dyDescent="0.3">
      <c r="A12" t="s">
        <v>211</v>
      </c>
      <c r="B12" t="s">
        <v>15</v>
      </c>
      <c r="C12" t="s">
        <v>200</v>
      </c>
      <c r="D12">
        <v>3.6190475327959502</v>
      </c>
      <c r="E12">
        <v>43.653147942150802</v>
      </c>
      <c r="F12">
        <f>Table2234567891011[[#This Row],[ARIMAPP]]*$N$4+Table2234567891011[[#This Row],[LSTMPP]]*$N$5</f>
        <v>9.5767915280259359</v>
      </c>
      <c r="G12" s="2">
        <f>Table2234567891011[[#This Row],[PP]]/$N$2</f>
        <v>1.9153583056051873</v>
      </c>
      <c r="H12" s="2">
        <v>4</v>
      </c>
      <c r="I12" s="2">
        <f>Table2234567891011[[#This Row],[PPG]]*Table2234567891011[[#This Row],[Plays]]</f>
        <v>7.6614332224207491</v>
      </c>
      <c r="J12" s="2">
        <v>4</v>
      </c>
      <c r="K12" s="2">
        <f>Table2234567891011[[#This Row],[APP]]/Table2234567891011[[#This Row],[Plays]]</f>
        <v>1</v>
      </c>
    </row>
    <row r="13" spans="1:14" x14ac:dyDescent="0.3">
      <c r="A13" t="s">
        <v>212</v>
      </c>
      <c r="B13" t="s">
        <v>16</v>
      </c>
      <c r="C13" t="s">
        <v>200</v>
      </c>
      <c r="D13">
        <v>12.714286916857001</v>
      </c>
      <c r="E13">
        <v>50.856584138122997</v>
      </c>
      <c r="F13">
        <f>Table2234567891011[[#This Row],[ARIMAPP]]*$N$4+Table2234567891011[[#This Row],[LSTMPP]]*$N$5</f>
        <v>14.240026000293003</v>
      </c>
      <c r="G13" s="2">
        <f>Table2234567891011[[#This Row],[PP]]/$N$2</f>
        <v>2.8480052000586005</v>
      </c>
      <c r="H13" s="5">
        <v>5</v>
      </c>
      <c r="I13" s="5">
        <f>Table2234567891011[[#This Row],[PPG]]*Table2234567891011[[#This Row],[Plays]]</f>
        <v>14.240026000293003</v>
      </c>
      <c r="J13" s="5">
        <v>11</v>
      </c>
      <c r="K13" s="5">
        <f>Table2234567891011[[#This Row],[APP]]/Table2234567891011[[#This Row],[Plays]]</f>
        <v>2.2000000000000002</v>
      </c>
    </row>
    <row r="14" spans="1:14" x14ac:dyDescent="0.3">
      <c r="A14" t="s">
        <v>213</v>
      </c>
      <c r="B14" t="s">
        <v>19</v>
      </c>
      <c r="C14" t="s">
        <v>200</v>
      </c>
      <c r="D14">
        <v>9.3333332304234293</v>
      </c>
      <c r="E14">
        <v>46.378788314696401</v>
      </c>
      <c r="F14">
        <f>Table2234567891011[[#This Row],[ARIMAPP]]*$N$4+Table2234567891011[[#This Row],[LSTMPP]]*$N$5</f>
        <v>12.165803404595451</v>
      </c>
      <c r="G14" s="2">
        <f>Table2234567891011[[#This Row],[PP]]/$N$2</f>
        <v>2.43316068091909</v>
      </c>
      <c r="H14" s="2">
        <v>5</v>
      </c>
      <c r="I14" s="6">
        <f>Table2234567891011[[#This Row],[PPG]]*Table2234567891011[[#This Row],[Plays]]</f>
        <v>12.165803404595451</v>
      </c>
      <c r="J14" s="2">
        <v>9</v>
      </c>
      <c r="K14" s="6">
        <f>Table2234567891011[[#This Row],[APP]]/Table2234567891011[[#This Row],[Plays]]</f>
        <v>1.8</v>
      </c>
    </row>
    <row r="15" spans="1:14" x14ac:dyDescent="0.3">
      <c r="A15" t="s">
        <v>214</v>
      </c>
      <c r="B15" t="s">
        <v>19</v>
      </c>
      <c r="C15" t="s">
        <v>200</v>
      </c>
      <c r="D15">
        <v>16.857142027054302</v>
      </c>
      <c r="E15">
        <v>56.021623205019999</v>
      </c>
      <c r="F15">
        <f>Table2234567891011[[#This Row],[ARIMAPP]]*$N$4+Table2234567891011[[#This Row],[LSTMPP]]*$N$5</f>
        <v>16.720751425028006</v>
      </c>
      <c r="G15" s="2">
        <f>Table2234567891011[[#This Row],[PP]]/$N$2</f>
        <v>3.3441502850056013</v>
      </c>
      <c r="H15" s="2">
        <v>5</v>
      </c>
      <c r="I15" s="6">
        <f>Table2234567891011[[#This Row],[PPG]]*Table2234567891011[[#This Row],[Plays]]</f>
        <v>16.720751425028006</v>
      </c>
      <c r="J15" s="2">
        <v>17</v>
      </c>
      <c r="K15" s="6">
        <f>Table2234567891011[[#This Row],[APP]]/Table2234567891011[[#This Row],[Plays]]</f>
        <v>3.4</v>
      </c>
    </row>
    <row r="16" spans="1:14" x14ac:dyDescent="0.3">
      <c r="A16" t="s">
        <v>215</v>
      </c>
      <c r="B16" t="s">
        <v>19</v>
      </c>
      <c r="C16" t="s">
        <v>200</v>
      </c>
      <c r="D16">
        <v>9.9999999921368197</v>
      </c>
      <c r="E16">
        <v>49.549957278654297</v>
      </c>
      <c r="F16">
        <f>Table2234567891011[[#This Row],[ARIMAPP]]*$N$4+Table2234567891011[[#This Row],[LSTMPP]]*$N$5</f>
        <v>13.007983129399612</v>
      </c>
      <c r="G16" s="2">
        <f>Table2234567891011[[#This Row],[PP]]/$N$2</f>
        <v>2.6015966258799224</v>
      </c>
      <c r="H16" s="2">
        <v>5</v>
      </c>
      <c r="I16" s="6">
        <f>Table2234567891011[[#This Row],[PPG]]*Table2234567891011[[#This Row],[Plays]]</f>
        <v>13.007983129399612</v>
      </c>
      <c r="J16" s="2">
        <v>9</v>
      </c>
      <c r="K16" s="6">
        <f>Table2234567891011[[#This Row],[APP]]/Table2234567891011[[#This Row],[Plays]]</f>
        <v>1.8</v>
      </c>
    </row>
    <row r="17" spans="1:11" x14ac:dyDescent="0.3">
      <c r="A17" t="s">
        <v>216</v>
      </c>
      <c r="B17" t="s">
        <v>19</v>
      </c>
      <c r="C17" t="s">
        <v>200</v>
      </c>
      <c r="D17">
        <v>3.29535669021806</v>
      </c>
      <c r="E17">
        <v>50.899311878636901</v>
      </c>
      <c r="F17">
        <f>Table2234567891011[[#This Row],[ARIMAPP]]*$N$4+Table2234567891011[[#This Row],[LSTMPP]]*$N$5</f>
        <v>10.831117198146144</v>
      </c>
      <c r="G17" s="2">
        <f>Table2234567891011[[#This Row],[PP]]/$N$2</f>
        <v>2.1662234396292286</v>
      </c>
      <c r="H17" s="2">
        <v>4</v>
      </c>
      <c r="I17" s="6">
        <f>Table2234567891011[[#This Row],[PPG]]*Table2234567891011[[#This Row],[Plays]]</f>
        <v>8.6648937585169143</v>
      </c>
      <c r="J17" s="2">
        <v>13</v>
      </c>
      <c r="K17" s="6">
        <f>Table2234567891011[[#This Row],[APP]]/Table2234567891011[[#This Row],[Plays]]</f>
        <v>3.25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123-96FC-4396-B58D-4EB92917DC8B}">
  <dimension ref="A1:N18"/>
  <sheetViews>
    <sheetView workbookViewId="0">
      <selection activeCell="N5" sqref="N5"/>
    </sheetView>
  </sheetViews>
  <sheetFormatPr defaultRowHeight="14.4" x14ac:dyDescent="0.3"/>
  <cols>
    <col min="1" max="1" width="12.777343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218</v>
      </c>
      <c r="B2" t="s">
        <v>16</v>
      </c>
      <c r="C2" t="s">
        <v>217</v>
      </c>
      <c r="D2">
        <v>5.9999999880258503</v>
      </c>
      <c r="E2">
        <v>43.989943361709201</v>
      </c>
      <c r="F2">
        <f>Table223456789101112[[#This Row],[ARIMAPP]]*$N$4+Table223456789101112[[#This Row],[LSTMPP]]*$N$5</f>
        <v>8.9415936474441668</v>
      </c>
      <c r="G2" s="2">
        <f>Table223456789101112[[#This Row],[PP]]/$N$2</f>
        <v>1.7883187294888334</v>
      </c>
      <c r="H2" s="4">
        <v>5</v>
      </c>
      <c r="I2" s="4">
        <f>Table223456789101112[[#This Row],[PPG]]*Table223456789101112[[#This Row],[Plays]]</f>
        <v>8.9415936474441668</v>
      </c>
      <c r="J2" s="4">
        <v>5</v>
      </c>
      <c r="K2" s="2">
        <f>Table223456789101112[[#This Row],[APP]]/Table223456789101112[[#This Row],[Plays]]</f>
        <v>1</v>
      </c>
      <c r="M2" t="s">
        <v>14</v>
      </c>
      <c r="N2">
        <v>5</v>
      </c>
    </row>
    <row r="3" spans="1:14" x14ac:dyDescent="0.3">
      <c r="A3" t="s">
        <v>145</v>
      </c>
      <c r="B3" t="s">
        <v>12</v>
      </c>
      <c r="C3" t="s">
        <v>217</v>
      </c>
      <c r="D3">
        <v>5.2380951183999596</v>
      </c>
      <c r="E3">
        <v>46.021966354933603</v>
      </c>
      <c r="F3">
        <f>Table223456789101112[[#This Row],[ARIMAPP]]*$N$4+Table223456789101112[[#This Row],[LSTMPP]]*$N$5</f>
        <v>8.9627582933598298</v>
      </c>
      <c r="G3" s="2">
        <f>Table223456789101112[[#This Row],[PP]]/$N$2</f>
        <v>1.7925516586719659</v>
      </c>
      <c r="H3" s="2">
        <v>5</v>
      </c>
      <c r="I3" s="2">
        <f>Table223456789101112[[#This Row],[PPG]]*Table223456789101112[[#This Row],[Plays]]</f>
        <v>8.9627582933598298</v>
      </c>
      <c r="J3" s="2">
        <v>6</v>
      </c>
      <c r="K3" s="2">
        <f>Table223456789101112[[#This Row],[APP]]/Table223456789101112[[#This Row],[Plays]]</f>
        <v>1.2</v>
      </c>
    </row>
    <row r="4" spans="1:14" x14ac:dyDescent="0.3">
      <c r="A4" t="s">
        <v>219</v>
      </c>
      <c r="B4" t="s">
        <v>15</v>
      </c>
      <c r="C4" t="s">
        <v>217</v>
      </c>
      <c r="D4">
        <v>15.9999999476131</v>
      </c>
      <c r="E4">
        <v>54.863628888810801</v>
      </c>
      <c r="F4">
        <f>Table223456789101112[[#This Row],[ARIMAPP]]*$N$4+Table223456789101112[[#This Row],[LSTMPP]]*$N$5</f>
        <v>14.363898755075596</v>
      </c>
      <c r="G4" s="2">
        <f>Table223456789101112[[#This Row],[PP]]/$N$2</f>
        <v>2.872779751015119</v>
      </c>
      <c r="H4" s="4">
        <v>5</v>
      </c>
      <c r="I4" s="4">
        <f>Table223456789101112[[#This Row],[PPG]]*Table223456789101112[[#This Row],[Plays]]</f>
        <v>14.363898755075596</v>
      </c>
      <c r="J4" s="4">
        <v>16</v>
      </c>
      <c r="K4" s="2">
        <f>Table223456789101112[[#This Row],[APP]]/Table223456789101112[[#This Row],[Plays]]</f>
        <v>3.2</v>
      </c>
      <c r="M4" t="s">
        <v>17</v>
      </c>
      <c r="N4">
        <v>0.37714148382615786</v>
      </c>
    </row>
    <row r="5" spans="1:14" x14ac:dyDescent="0.3">
      <c r="A5" t="s">
        <v>220</v>
      </c>
      <c r="B5" t="s">
        <v>16</v>
      </c>
      <c r="C5" t="s">
        <v>217</v>
      </c>
      <c r="D5">
        <v>4.7619048985370602</v>
      </c>
      <c r="E5">
        <v>41.490766008007299</v>
      </c>
      <c r="F5">
        <f>Table223456789101112[[#This Row],[ARIMAPP]]*$N$4+Table223456789101112[[#This Row],[LSTMPP]]*$N$5</f>
        <v>8.0952206401321334</v>
      </c>
      <c r="G5" s="2">
        <f>Table223456789101112[[#This Row],[PP]]/$N$2</f>
        <v>1.6190441280264267</v>
      </c>
      <c r="H5" s="4">
        <v>4</v>
      </c>
      <c r="I5" s="4">
        <f>Table223456789101112[[#This Row],[PPG]]*Table223456789101112[[#This Row],[Plays]]</f>
        <v>6.4761765121057069</v>
      </c>
      <c r="J5" s="4">
        <v>4</v>
      </c>
      <c r="K5" s="2">
        <f>Table223456789101112[[#This Row],[APP]]/Table223456789101112[[#This Row],[Plays]]</f>
        <v>1</v>
      </c>
      <c r="M5" t="s">
        <v>20</v>
      </c>
      <c r="N5">
        <v>0.15182435435496933</v>
      </c>
    </row>
    <row r="6" spans="1:14" x14ac:dyDescent="0.3">
      <c r="A6" t="s">
        <v>221</v>
      </c>
      <c r="B6" t="s">
        <v>16</v>
      </c>
      <c r="C6" t="s">
        <v>217</v>
      </c>
      <c r="D6">
        <v>9.7945440641269297</v>
      </c>
      <c r="E6">
        <v>44.932293012862502</v>
      </c>
      <c r="F6">
        <f>Table223456789101112[[#This Row],[ARIMAPP]]*$N$4+Table223456789101112[[#This Row],[LSTMPP]]*$N$5</f>
        <v>10.515745258111666</v>
      </c>
      <c r="G6" s="2">
        <f>Table223456789101112[[#This Row],[PP]]/$N$2</f>
        <v>2.1031490516223332</v>
      </c>
      <c r="H6" s="2">
        <v>4</v>
      </c>
      <c r="I6" s="2">
        <f>Table223456789101112[[#This Row],[PPG]]*Table223456789101112[[#This Row],[Plays]]</f>
        <v>8.4125962064893329</v>
      </c>
      <c r="J6" s="2">
        <v>10</v>
      </c>
      <c r="K6" s="2">
        <f>Table223456789101112[[#This Row],[APP]]/Table223456789101112[[#This Row],[Plays]]</f>
        <v>2.5</v>
      </c>
    </row>
    <row r="7" spans="1:14" x14ac:dyDescent="0.3">
      <c r="A7" t="s">
        <v>222</v>
      </c>
      <c r="B7" t="s">
        <v>19</v>
      </c>
      <c r="C7" t="s">
        <v>217</v>
      </c>
      <c r="D7">
        <v>10.6666663481602</v>
      </c>
      <c r="E7">
        <v>50.434429358225401</v>
      </c>
      <c r="F7">
        <f>Table223456789101112[[#This Row],[ARIMAPP]]*$N$4+Table223456789101112[[#This Row],[LSTMPP]]*$N$5</f>
        <v>11.680017048597565</v>
      </c>
      <c r="G7" s="2">
        <f>Table223456789101112[[#This Row],[PP]]/$N$2</f>
        <v>2.3360034097195128</v>
      </c>
      <c r="H7" s="4">
        <v>5</v>
      </c>
      <c r="I7" s="4">
        <f>Table223456789101112[[#This Row],[PPG]]*Table223456789101112[[#This Row],[Plays]]</f>
        <v>11.680017048597565</v>
      </c>
      <c r="J7" s="4">
        <v>11</v>
      </c>
      <c r="K7" s="2">
        <f>Table223456789101112[[#This Row],[APP]]/Table223456789101112[[#This Row],[Plays]]</f>
        <v>2.2000000000000002</v>
      </c>
      <c r="M7" t="s">
        <v>22</v>
      </c>
      <c r="N7" cm="1">
        <f t="array" ref="N7">(SUM(Table223456789101112[Tot]-Table223456789101112[APP]))^2</f>
        <v>7.0997481469891062E-30</v>
      </c>
    </row>
    <row r="8" spans="1:14" x14ac:dyDescent="0.3">
      <c r="A8" t="s">
        <v>223</v>
      </c>
      <c r="B8" t="s">
        <v>19</v>
      </c>
      <c r="C8" t="s">
        <v>217</v>
      </c>
      <c r="D8">
        <v>9.61904717545106</v>
      </c>
      <c r="E8">
        <v>44.808599148989401</v>
      </c>
      <c r="F8">
        <f>Table223456789101112[[#This Row],[ARIMAPP]]*$N$4+Table223456789101112[[#This Row],[LSTMPP]]*$N$5</f>
        <v>10.43077836008937</v>
      </c>
      <c r="G8" s="2">
        <f>Table223456789101112[[#This Row],[PP]]/$N$2</f>
        <v>2.086155672017874</v>
      </c>
      <c r="H8" s="2">
        <v>2</v>
      </c>
      <c r="I8" s="2">
        <f>Table223456789101112[[#This Row],[PPG]]*Table223456789101112[[#This Row],[Plays]]</f>
        <v>4.172311344035748</v>
      </c>
      <c r="J8" s="2">
        <v>7</v>
      </c>
      <c r="K8" s="2">
        <f>Table223456789101112[[#This Row],[APP]]/Table223456789101112[[#This Row],[Plays]]</f>
        <v>3.5</v>
      </c>
    </row>
    <row r="9" spans="1:14" x14ac:dyDescent="0.3">
      <c r="A9" t="s">
        <v>224</v>
      </c>
      <c r="B9" t="s">
        <v>19</v>
      </c>
      <c r="C9" t="s">
        <v>217</v>
      </c>
      <c r="D9">
        <v>19.975402340839398</v>
      </c>
      <c r="E9">
        <v>57.701568284820503</v>
      </c>
      <c r="F9">
        <f>Table223456789101112[[#This Row],[ARIMAPP]]*$N$4+Table223456789101112[[#This Row],[LSTMPP]]*$N$5</f>
        <v>16.294056228960727</v>
      </c>
      <c r="G9" s="2">
        <f>Table223456789101112[[#This Row],[PP]]/$N$2</f>
        <v>3.2588112457921454</v>
      </c>
      <c r="H9" s="4">
        <v>4</v>
      </c>
      <c r="I9" s="4">
        <f>Table223456789101112[[#This Row],[PPG]]*Table223456789101112[[#This Row],[Plays]]</f>
        <v>13.035244983168582</v>
      </c>
      <c r="J9" s="4">
        <v>20</v>
      </c>
      <c r="K9" s="2">
        <f>Table223456789101112[[#This Row],[APP]]/Table223456789101112[[#This Row],[Plays]]</f>
        <v>5</v>
      </c>
    </row>
    <row r="10" spans="1:14" x14ac:dyDescent="0.3">
      <c r="A10" t="s">
        <v>225</v>
      </c>
      <c r="B10" t="s">
        <v>15</v>
      </c>
      <c r="C10" t="s">
        <v>217</v>
      </c>
      <c r="D10">
        <v>8.2380949819366993</v>
      </c>
      <c r="E10">
        <v>44.988000629835099</v>
      </c>
      <c r="F10">
        <f>Table223456789101112[[#This Row],[ARIMAPP]]*$N$4+Table223456789101112[[#This Row],[LSTMPP]]*$N$5</f>
        <v>9.9372015147340989</v>
      </c>
      <c r="G10" s="2">
        <f>Table223456789101112[[#This Row],[PP]]/$N$2</f>
        <v>1.9874403029468197</v>
      </c>
      <c r="H10" s="2">
        <v>4</v>
      </c>
      <c r="I10" s="2">
        <f>Table223456789101112[[#This Row],[PPG]]*Table223456789101112[[#This Row],[Plays]]</f>
        <v>7.9497612117872789</v>
      </c>
      <c r="J10" s="2">
        <v>7</v>
      </c>
      <c r="K10" s="2">
        <f>Table223456789101112[[#This Row],[APP]]/Table223456789101112[[#This Row],[Plays]]</f>
        <v>1.75</v>
      </c>
    </row>
    <row r="11" spans="1:14" x14ac:dyDescent="0.3">
      <c r="A11" t="s">
        <v>226</v>
      </c>
      <c r="B11" t="s">
        <v>19</v>
      </c>
      <c r="C11" t="s">
        <v>217</v>
      </c>
      <c r="D11">
        <v>13.236067977499699</v>
      </c>
      <c r="E11">
        <v>48.8058542873463</v>
      </c>
      <c r="F11">
        <f>Table223456789101112[[#This Row],[ARIMAPP]]*$N$4+Table223456789101112[[#This Row],[LSTMPP]]*$N$5</f>
        <v>12.401787632977193</v>
      </c>
      <c r="G11" s="2">
        <f>Table223456789101112[[#This Row],[PP]]/$N$2</f>
        <v>2.4803575265954385</v>
      </c>
      <c r="H11" s="2">
        <v>3</v>
      </c>
      <c r="I11" s="2">
        <f>Table223456789101112[[#This Row],[PPG]]*Table223456789101112[[#This Row],[Plays]]</f>
        <v>7.4410725797863151</v>
      </c>
      <c r="J11" s="2">
        <v>11</v>
      </c>
      <c r="K11" s="2">
        <f>Table223456789101112[[#This Row],[APP]]/Table223456789101112[[#This Row],[Plays]]</f>
        <v>3.6666666666666665</v>
      </c>
    </row>
    <row r="12" spans="1:14" x14ac:dyDescent="0.3">
      <c r="A12" t="s">
        <v>227</v>
      </c>
      <c r="B12" t="s">
        <v>19</v>
      </c>
      <c r="C12" t="s">
        <v>217</v>
      </c>
      <c r="D12">
        <v>8.9523810328942002</v>
      </c>
      <c r="E12">
        <v>47.137356299812097</v>
      </c>
      <c r="F12">
        <f>Table223456789101112[[#This Row],[ARIMAPP]]*$N$4+Table223456789101112[[#This Row],[LSTMPP]]*$N$5</f>
        <v>10.532912952741988</v>
      </c>
      <c r="G12" s="2">
        <f>Table223456789101112[[#This Row],[PP]]/$N$2</f>
        <v>2.1065825905483977</v>
      </c>
      <c r="H12" s="4">
        <v>5</v>
      </c>
      <c r="I12" s="4">
        <f>Table223456789101112[[#This Row],[PPG]]*Table223456789101112[[#This Row],[Plays]]</f>
        <v>10.532912952741988</v>
      </c>
      <c r="J12" s="4">
        <v>9</v>
      </c>
      <c r="K12" s="2">
        <f>Table223456789101112[[#This Row],[APP]]/Table223456789101112[[#This Row],[Plays]]</f>
        <v>1.8</v>
      </c>
    </row>
    <row r="13" spans="1:14" x14ac:dyDescent="0.3">
      <c r="A13" t="s">
        <v>228</v>
      </c>
      <c r="B13" t="s">
        <v>19</v>
      </c>
      <c r="C13" t="s">
        <v>217</v>
      </c>
      <c r="D13">
        <v>16.956671094385399</v>
      </c>
      <c r="E13">
        <v>52.410657745746597</v>
      </c>
      <c r="F13">
        <f>Table223456789101112[[#This Row],[ARIMAPP]]*$N$4+Table223456789101112[[#This Row],[LSTMPP]]*$N$5</f>
        <v>14.352278370855878</v>
      </c>
      <c r="G13" s="2">
        <f>Table223456789101112[[#This Row],[PP]]/$N$2</f>
        <v>2.8704556741711755</v>
      </c>
      <c r="H13" s="2">
        <v>5</v>
      </c>
      <c r="I13" s="2">
        <f>Table223456789101112[[#This Row],[PPG]]*Table223456789101112[[#This Row],[Plays]]</f>
        <v>14.352278370855878</v>
      </c>
      <c r="J13" s="2">
        <v>17</v>
      </c>
      <c r="K13" s="2">
        <f>Table223456789101112[[#This Row],[APP]]/Table223456789101112[[#This Row],[Plays]]</f>
        <v>3.4</v>
      </c>
    </row>
    <row r="14" spans="1:14" x14ac:dyDescent="0.3">
      <c r="A14" t="s">
        <v>229</v>
      </c>
      <c r="B14" t="s">
        <v>16</v>
      </c>
      <c r="C14" t="s">
        <v>217</v>
      </c>
      <c r="D14">
        <v>7.9999995682346903</v>
      </c>
      <c r="E14">
        <v>49.016527761837999</v>
      </c>
      <c r="F14">
        <f>Table223456789101112[[#This Row],[ARIMAPP]]*$N$4+Table223456789101112[[#This Row],[LSTMPP]]*$N$5</f>
        <v>10.459034387936137</v>
      </c>
      <c r="G14" s="2">
        <f>Table223456789101112[[#This Row],[PP]]/$N$2</f>
        <v>2.0918068775872274</v>
      </c>
      <c r="H14" s="2">
        <v>5</v>
      </c>
      <c r="I14" s="2">
        <f>Table223456789101112[[#This Row],[PPG]]*Table223456789101112[[#This Row],[Plays]]</f>
        <v>10.459034387936137</v>
      </c>
      <c r="J14" s="2">
        <v>8</v>
      </c>
      <c r="K14" s="2">
        <f>Table223456789101112[[#This Row],[APP]]/Table223456789101112[[#This Row],[Plays]]</f>
        <v>1.6</v>
      </c>
    </row>
    <row r="15" spans="1:14" x14ac:dyDescent="0.3">
      <c r="A15" t="s">
        <v>230</v>
      </c>
      <c r="B15" t="s">
        <v>19</v>
      </c>
      <c r="C15" t="s">
        <v>217</v>
      </c>
      <c r="D15">
        <v>3.9999988858814199</v>
      </c>
      <c r="E15">
        <v>42.2318443934534</v>
      </c>
      <c r="F15">
        <f>Table223456789101112[[#This Row],[ARIMAPP]]*$N$4+Table223456789101112[[#This Row],[LSTMPP]]*$N$5</f>
        <v>7.9203880233798909</v>
      </c>
      <c r="G15" s="2">
        <f>Table223456789101112[[#This Row],[PP]]/$N$2</f>
        <v>1.5840776046759781</v>
      </c>
      <c r="H15" s="4">
        <v>2</v>
      </c>
      <c r="I15" s="4">
        <f>Table223456789101112[[#This Row],[PPG]]*Table223456789101112[[#This Row],[Plays]]</f>
        <v>3.1681552093519563</v>
      </c>
      <c r="J15" s="4">
        <v>3</v>
      </c>
      <c r="K15" s="2">
        <f>Table223456789101112[[#This Row],[APP]]/Table223456789101112[[#This Row],[Plays]]</f>
        <v>1.5</v>
      </c>
    </row>
    <row r="16" spans="1:14" x14ac:dyDescent="0.3">
      <c r="A16" t="s">
        <v>231</v>
      </c>
      <c r="B16" t="s">
        <v>16</v>
      </c>
      <c r="C16" t="s">
        <v>217</v>
      </c>
      <c r="D16">
        <v>0.47618808181275402</v>
      </c>
      <c r="E16">
        <v>41.242162840061603</v>
      </c>
      <c r="F16">
        <f>Table223456789101112[[#This Row],[ARIMAPP]]*$N$4+Table223456789101112[[#This Row],[LSTMPP]]*$N$5</f>
        <v>6.4411550251500556</v>
      </c>
      <c r="G16" s="2">
        <f>Table223456789101112[[#This Row],[PP]]/$N$2</f>
        <v>1.2882310050300112</v>
      </c>
      <c r="H16" s="5">
        <v>1</v>
      </c>
      <c r="I16" s="5">
        <f>Table223456789101112[[#This Row],[PPG]]*Table223456789101112[[#This Row],[Plays]]</f>
        <v>1.2882310050300112</v>
      </c>
      <c r="J16" s="5">
        <v>2</v>
      </c>
      <c r="K16" s="5">
        <f>Table223456789101112[[#This Row],[APP]]/Table223456789101112[[#This Row],[Plays]]</f>
        <v>2</v>
      </c>
    </row>
    <row r="17" spans="1:11" x14ac:dyDescent="0.3">
      <c r="A17" t="s">
        <v>232</v>
      </c>
      <c r="B17" t="s">
        <v>15</v>
      </c>
      <c r="C17" t="s">
        <v>217</v>
      </c>
      <c r="D17">
        <v>3.66667423171035</v>
      </c>
      <c r="E17">
        <v>41.200044390018597</v>
      </c>
      <c r="F17">
        <f>Table223456789101112[[#This Row],[ARIMAPP]]*$N$4+Table223456789101112[[#This Row],[LSTMPP]]*$N$5</f>
        <v>7.6380250993650289</v>
      </c>
      <c r="G17" s="2">
        <f>Table223456789101112[[#This Row],[PP]]/$N$2</f>
        <v>1.5276050198730058</v>
      </c>
      <c r="H17" s="2">
        <v>4</v>
      </c>
      <c r="I17" s="6">
        <f>Table223456789101112[[#This Row],[PPG]]*Table223456789101112[[#This Row],[Plays]]</f>
        <v>6.1104200794920231</v>
      </c>
      <c r="J17" s="2">
        <v>3</v>
      </c>
      <c r="K17" s="6">
        <f>Table223456789101112[[#This Row],[APP]]/Table223456789101112[[#This Row],[Plays]]</f>
        <v>0.75</v>
      </c>
    </row>
    <row r="18" spans="1:11" x14ac:dyDescent="0.3">
      <c r="A18" t="s">
        <v>233</v>
      </c>
      <c r="B18" t="s">
        <v>19</v>
      </c>
      <c r="C18" t="s">
        <v>217</v>
      </c>
      <c r="D18">
        <v>1.3809528225765599</v>
      </c>
      <c r="E18">
        <v>40.2638230290896</v>
      </c>
      <c r="F18">
        <f>Table223456789101112[[#This Row],[ARIMAPP]]*$N$4+Table223456789101112[[#This Row],[LSTMPP]]*$N$5</f>
        <v>6.6338435318547191</v>
      </c>
      <c r="G18" s="2">
        <f>Table223456789101112[[#This Row],[PP]]/$N$2</f>
        <v>1.3267687063709439</v>
      </c>
      <c r="H18" s="2">
        <v>2</v>
      </c>
      <c r="I18" s="6">
        <f>Table223456789101112[[#This Row],[PPG]]*Table223456789101112[[#This Row],[Plays]]</f>
        <v>2.6535374127418878</v>
      </c>
      <c r="J18" s="2">
        <v>1</v>
      </c>
      <c r="K18" s="6">
        <f>Table223456789101112[[#This Row],[APP]]/Table223456789101112[[#This Row],[Plays]]</f>
        <v>0.5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5F72-3A39-475C-BA66-D5CC10AC530E}">
  <dimension ref="A1:N21"/>
  <sheetViews>
    <sheetView workbookViewId="0">
      <selection activeCell="N5" sqref="N5"/>
    </sheetView>
  </sheetViews>
  <sheetFormatPr defaultRowHeight="14.4" x14ac:dyDescent="0.3"/>
  <cols>
    <col min="1" max="1" width="15.21875" bestFit="1" customWidth="1"/>
    <col min="2" max="2" width="10" bestFit="1" customWidth="1"/>
    <col min="3" max="3" width="7.88671875" bestFit="1" customWidth="1"/>
    <col min="4" max="4" width="12.6640625" bestFit="1" customWidth="1"/>
    <col min="5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234</v>
      </c>
      <c r="B2" t="s">
        <v>19</v>
      </c>
      <c r="C2" t="s">
        <v>235</v>
      </c>
      <c r="D2">
        <v>11.952375596089899</v>
      </c>
      <c r="E2">
        <v>50.456590320160998</v>
      </c>
      <c r="F2">
        <f>Table22345678910111213[[#This Row],[ARIMAPP]]*$N$4+Table22345678910111213[[#This Row],[LSTMPP]]*$N$5</f>
        <v>15.670690491411239</v>
      </c>
      <c r="G2" s="2">
        <f>Table22345678910111213[[#This Row],[PP]]/$N$2</f>
        <v>3.1341380982822478</v>
      </c>
      <c r="H2" s="2">
        <v>5</v>
      </c>
      <c r="I2" s="2">
        <f>Table22345678910111213[[#This Row],[PPG]]*Table22345678910111213[[#This Row],[Plays]]</f>
        <v>15.670690491411239</v>
      </c>
      <c r="J2" s="2">
        <v>10</v>
      </c>
      <c r="K2" s="3">
        <f>Table22345678910111213[[#This Row],[APP]]/Table22345678910111213[[#This Row],[Plays]]</f>
        <v>2</v>
      </c>
      <c r="M2" t="s">
        <v>14</v>
      </c>
      <c r="N2">
        <v>5</v>
      </c>
    </row>
    <row r="3" spans="1:14" x14ac:dyDescent="0.3">
      <c r="A3" t="s">
        <v>236</v>
      </c>
      <c r="B3" t="s">
        <v>19</v>
      </c>
      <c r="C3" t="s">
        <v>235</v>
      </c>
      <c r="D3">
        <v>8.2380947264399698</v>
      </c>
      <c r="E3">
        <v>48.576083161106901</v>
      </c>
      <c r="F3">
        <f>Table22345678910111213[[#This Row],[ARIMAPP]]*$N$4+Table22345678910111213[[#This Row],[LSTMPP]]*$N$5</f>
        <v>13.903993294862223</v>
      </c>
      <c r="G3" s="2">
        <f>Table22345678910111213[[#This Row],[PP]]/$N$2</f>
        <v>2.7807986589724445</v>
      </c>
      <c r="H3" s="4">
        <v>5</v>
      </c>
      <c r="I3" s="4">
        <f>Table22345678910111213[[#This Row],[PPG]]*Table22345678910111213[[#This Row],[Plays]]</f>
        <v>13.903993294862222</v>
      </c>
      <c r="J3" s="4">
        <v>9</v>
      </c>
      <c r="K3" s="2">
        <f>Table22345678910111213[[#This Row],[APP]]/Table22345678910111213[[#This Row],[Plays]]</f>
        <v>1.8</v>
      </c>
    </row>
    <row r="4" spans="1:14" x14ac:dyDescent="0.3">
      <c r="A4" t="s">
        <v>237</v>
      </c>
      <c r="B4" t="s">
        <v>16</v>
      </c>
      <c r="C4" t="s">
        <v>235</v>
      </c>
      <c r="D4">
        <v>0</v>
      </c>
      <c r="E4">
        <v>42.046499487354701</v>
      </c>
      <c r="F4">
        <f>Table22345678910111213[[#This Row],[ARIMAPP]]*$N$4+Table22345678910111213[[#This Row],[LSTMPP]]*$N$5</f>
        <v>9.4551338047759206</v>
      </c>
      <c r="G4" s="2">
        <f>Table22345678910111213[[#This Row],[PP]]/$N$2</f>
        <v>1.8910267609551841</v>
      </c>
      <c r="H4" s="2">
        <v>1</v>
      </c>
      <c r="I4" s="2">
        <f>Table22345678910111213[[#This Row],[PPG]]*Table22345678910111213[[#This Row],[Plays]]</f>
        <v>1.8910267609551841</v>
      </c>
      <c r="J4" s="2">
        <v>1</v>
      </c>
      <c r="K4" s="2">
        <f>Table22345678910111213[[#This Row],[APP]]/Table22345678910111213[[#This Row],[Plays]]</f>
        <v>1</v>
      </c>
      <c r="M4" t="s">
        <v>17</v>
      </c>
      <c r="N4">
        <v>0.36179854211409568</v>
      </c>
    </row>
    <row r="5" spans="1:14" x14ac:dyDescent="0.3">
      <c r="A5" t="s">
        <v>238</v>
      </c>
      <c r="B5" t="s">
        <v>19</v>
      </c>
      <c r="C5" t="s">
        <v>235</v>
      </c>
      <c r="D5">
        <v>0</v>
      </c>
      <c r="E5">
        <v>40.742928760003899</v>
      </c>
      <c r="F5">
        <f>Table22345678910111213[[#This Row],[ARIMAPP]]*$N$4+Table22345678910111213[[#This Row],[LSTMPP]]*$N$5</f>
        <v>9.1619955934773145</v>
      </c>
      <c r="G5" s="2">
        <f>Table22345678910111213[[#This Row],[PP]]/$N$2</f>
        <v>1.8323991186954629</v>
      </c>
      <c r="H5" s="4">
        <v>1</v>
      </c>
      <c r="I5" s="4">
        <f>Table22345678910111213[[#This Row],[PPG]]*Table22345678910111213[[#This Row],[Plays]]</f>
        <v>1.8323991186954629</v>
      </c>
      <c r="J5" s="4">
        <v>1</v>
      </c>
      <c r="K5" s="2">
        <f>Table22345678910111213[[#This Row],[APP]]/Table22345678910111213[[#This Row],[Plays]]</f>
        <v>1</v>
      </c>
      <c r="M5" t="s">
        <v>20</v>
      </c>
      <c r="N5">
        <v>0.22487326935788104</v>
      </c>
    </row>
    <row r="6" spans="1:14" x14ac:dyDescent="0.3">
      <c r="A6" t="s">
        <v>239</v>
      </c>
      <c r="B6" t="s">
        <v>15</v>
      </c>
      <c r="C6" t="s">
        <v>235</v>
      </c>
      <c r="D6">
        <v>34</v>
      </c>
      <c r="E6">
        <v>45.231098800123398</v>
      </c>
      <c r="F6">
        <f>Table22345678910111213[[#This Row],[ARIMAPP]]*$N$4+Table22345678910111213[[#This Row],[LSTMPP]]*$N$5</f>
        <v>22.472415495712333</v>
      </c>
      <c r="G6" s="2">
        <f>Table22345678910111213[[#This Row],[PP]]/$N$2</f>
        <v>4.4944830991424665</v>
      </c>
      <c r="H6" s="4">
        <v>4</v>
      </c>
      <c r="I6" s="4">
        <f>Table22345678910111213[[#This Row],[PPG]]*Table22345678910111213[[#This Row],[Plays]]</f>
        <v>17.977932396569866</v>
      </c>
      <c r="J6" s="4">
        <v>34</v>
      </c>
      <c r="K6" s="2">
        <f>Table22345678910111213[[#This Row],[APP]]/Table22345678910111213[[#This Row],[Plays]]</f>
        <v>8.5</v>
      </c>
    </row>
    <row r="7" spans="1:14" x14ac:dyDescent="0.3">
      <c r="A7" t="s">
        <v>240</v>
      </c>
      <c r="B7" t="s">
        <v>16</v>
      </c>
      <c r="C7" t="s">
        <v>235</v>
      </c>
      <c r="D7">
        <v>18.142861843710001</v>
      </c>
      <c r="E7">
        <v>53.897874646362702</v>
      </c>
      <c r="F7">
        <f>Table22345678910111213[[#This Row],[ARIMAPP]]*$N$4+Table22345678910111213[[#This Row],[LSTMPP]]*$N$5</f>
        <v>18.684252248000561</v>
      </c>
      <c r="G7" s="2">
        <f>Table22345678910111213[[#This Row],[PP]]/$N$2</f>
        <v>3.7368504496001123</v>
      </c>
      <c r="H7" s="2">
        <v>5</v>
      </c>
      <c r="I7" s="2">
        <f>Table22345678910111213[[#This Row],[PPG]]*Table22345678910111213[[#This Row],[Plays]]</f>
        <v>18.684252248000561</v>
      </c>
      <c r="J7" s="2">
        <v>18</v>
      </c>
      <c r="K7" s="2">
        <f>Table22345678910111213[[#This Row],[APP]]/Table22345678910111213[[#This Row],[Plays]]</f>
        <v>3.6</v>
      </c>
      <c r="M7" t="s">
        <v>22</v>
      </c>
      <c r="N7" cm="1">
        <f t="array" ref="N7">(SUM(Table22345678910111213[Tot]-Table22345678910111213[APP]))^2</f>
        <v>7.1194696696196315E-29</v>
      </c>
    </row>
    <row r="8" spans="1:14" x14ac:dyDescent="0.3">
      <c r="A8" t="s">
        <v>241</v>
      </c>
      <c r="B8" t="s">
        <v>12</v>
      </c>
      <c r="C8" t="s">
        <v>235</v>
      </c>
      <c r="D8">
        <v>11.8571427072077</v>
      </c>
      <c r="E8">
        <v>50.569340018477497</v>
      </c>
      <c r="F8">
        <f>Table22345678910111213[[#This Row],[ARIMAPP]]*$N$4+Table22345678910111213[[#This Row],[LSTMPP]]*$N$5</f>
        <v>15.66158976433189</v>
      </c>
      <c r="G8" s="2">
        <f>Table22345678910111213[[#This Row],[PP]]/$N$2</f>
        <v>3.1323179528663778</v>
      </c>
      <c r="H8" s="4">
        <v>5</v>
      </c>
      <c r="I8" s="4">
        <f>Table22345678910111213[[#This Row],[PPG]]*Table22345678910111213[[#This Row],[Plays]]</f>
        <v>15.66158976433189</v>
      </c>
      <c r="J8" s="4">
        <v>12</v>
      </c>
      <c r="K8" s="2">
        <f>Table22345678910111213[[#This Row],[APP]]/Table22345678910111213[[#This Row],[Plays]]</f>
        <v>2.4</v>
      </c>
    </row>
    <row r="9" spans="1:14" x14ac:dyDescent="0.3">
      <c r="A9" t="s">
        <v>242</v>
      </c>
      <c r="B9" t="s">
        <v>19</v>
      </c>
      <c r="C9" t="s">
        <v>235</v>
      </c>
      <c r="D9">
        <v>8.7142851944606399</v>
      </c>
      <c r="E9">
        <v>48.11476945994</v>
      </c>
      <c r="F9">
        <f>Table22345678910111213[[#This Row],[ARIMAPP]]*$N$4+Table22345678910111213[[#This Row],[LSTMPP]]*$N$5</f>
        <v>13.972541191779744</v>
      </c>
      <c r="G9" s="2">
        <f>Table22345678910111213[[#This Row],[PP]]/$N$2</f>
        <v>2.7945082383559487</v>
      </c>
      <c r="H9" s="2">
        <v>5</v>
      </c>
      <c r="I9" s="2">
        <f>Table22345678910111213[[#This Row],[PPG]]*Table22345678910111213[[#This Row],[Plays]]</f>
        <v>13.972541191779744</v>
      </c>
      <c r="J9" s="2">
        <v>9</v>
      </c>
      <c r="K9" s="2">
        <f>Table22345678910111213[[#This Row],[APP]]/Table22345678910111213[[#This Row],[Plays]]</f>
        <v>1.8</v>
      </c>
    </row>
    <row r="10" spans="1:14" x14ac:dyDescent="0.3">
      <c r="A10" t="s">
        <v>243</v>
      </c>
      <c r="B10" t="s">
        <v>19</v>
      </c>
      <c r="C10" t="s">
        <v>235</v>
      </c>
      <c r="D10">
        <v>34.999999984354901</v>
      </c>
      <c r="E10">
        <v>68.307645845387199</v>
      </c>
      <c r="F10">
        <f>Table22345678910111213[[#This Row],[ARIMAPP]]*$N$4+Table22345678910111213[[#This Row],[LSTMPP]]*$N$5</f>
        <v>28.023512611725472</v>
      </c>
      <c r="G10" s="2">
        <f>Table22345678910111213[[#This Row],[PP]]/$N$2</f>
        <v>5.6047025223450948</v>
      </c>
      <c r="H10" s="4">
        <v>5</v>
      </c>
      <c r="I10" s="4">
        <f>Table22345678910111213[[#This Row],[PPG]]*Table22345678910111213[[#This Row],[Plays]]</f>
        <v>28.023512611725472</v>
      </c>
      <c r="J10" s="4">
        <v>35</v>
      </c>
      <c r="K10" s="2">
        <f>Table22345678910111213[[#This Row],[APP]]/Table22345678910111213[[#This Row],[Plays]]</f>
        <v>7</v>
      </c>
    </row>
    <row r="11" spans="1:14" x14ac:dyDescent="0.3">
      <c r="A11" t="s">
        <v>244</v>
      </c>
      <c r="B11" t="s">
        <v>16</v>
      </c>
      <c r="C11" t="s">
        <v>235</v>
      </c>
      <c r="D11">
        <v>15.0000004330696</v>
      </c>
      <c r="E11">
        <v>49.317077337862102</v>
      </c>
      <c r="F11">
        <f>Table22345678910111213[[#This Row],[ARIMAPP]]*$N$4+Table22345678910111213[[#This Row],[LSTMPP]]*$N$5</f>
        <v>16.5170707045359</v>
      </c>
      <c r="G11" s="2">
        <f>Table22345678910111213[[#This Row],[PP]]/$N$2</f>
        <v>3.3034141409071802</v>
      </c>
      <c r="H11" s="2">
        <v>5</v>
      </c>
      <c r="I11" s="2">
        <f>Table22345678910111213[[#This Row],[PPG]]*Table22345678910111213[[#This Row],[Plays]]</f>
        <v>16.5170707045359</v>
      </c>
      <c r="J11" s="2">
        <v>15</v>
      </c>
      <c r="K11" s="2">
        <f>Table22345678910111213[[#This Row],[APP]]/Table22345678910111213[[#This Row],[Plays]]</f>
        <v>3</v>
      </c>
    </row>
    <row r="12" spans="1:14" x14ac:dyDescent="0.3">
      <c r="A12" t="s">
        <v>245</v>
      </c>
      <c r="B12" t="s">
        <v>16</v>
      </c>
      <c r="C12" t="s">
        <v>235</v>
      </c>
      <c r="D12">
        <v>23.333341381403301</v>
      </c>
      <c r="E12">
        <v>50.477002995985501</v>
      </c>
      <c r="F12">
        <f>Table22345678910111213[[#This Row],[ARIMAPP]]*$N$4+Table22345678910111213[[#This Row],[LSTMPP]]*$N$5</f>
        <v>19.79289758553703</v>
      </c>
      <c r="G12" s="2">
        <f>Table22345678910111213[[#This Row],[PP]]/$N$2</f>
        <v>3.9585795171074061</v>
      </c>
      <c r="H12" s="4">
        <v>5</v>
      </c>
      <c r="I12" s="4">
        <f>Table22345678910111213[[#This Row],[PPG]]*Table22345678910111213[[#This Row],[Plays]]</f>
        <v>19.79289758553703</v>
      </c>
      <c r="J12" s="4">
        <v>23</v>
      </c>
      <c r="K12" s="2">
        <f>Table22345678910111213[[#This Row],[APP]]/Table22345678910111213[[#This Row],[Plays]]</f>
        <v>4.5999999999999996</v>
      </c>
    </row>
    <row r="13" spans="1:14" x14ac:dyDescent="0.3">
      <c r="A13" t="s">
        <v>246</v>
      </c>
      <c r="B13" t="s">
        <v>16</v>
      </c>
      <c r="C13" t="s">
        <v>235</v>
      </c>
      <c r="D13">
        <v>12.236067977499699</v>
      </c>
      <c r="E13">
        <v>49.272431649983197</v>
      </c>
      <c r="F13">
        <f>Table22345678910111213[[#This Row],[ARIMAPP]]*$N$4+Table22345678910111213[[#This Row],[LSTMPP]]*$N$5</f>
        <v>15.507044349812817</v>
      </c>
      <c r="G13" s="2">
        <f>Table22345678910111213[[#This Row],[PP]]/$N$2</f>
        <v>3.1014088699625635</v>
      </c>
      <c r="H13" s="2">
        <v>4</v>
      </c>
      <c r="I13" s="2">
        <f>Table22345678910111213[[#This Row],[PPG]]*Table22345678910111213[[#This Row],[Plays]]</f>
        <v>12.405635479850254</v>
      </c>
      <c r="J13" s="2">
        <v>10</v>
      </c>
      <c r="K13" s="2">
        <f>Table22345678910111213[[#This Row],[APP]]/Table22345678910111213[[#This Row],[Plays]]</f>
        <v>2.5</v>
      </c>
    </row>
    <row r="14" spans="1:14" x14ac:dyDescent="0.3">
      <c r="A14" t="s">
        <v>247</v>
      </c>
      <c r="B14" t="s">
        <v>16</v>
      </c>
      <c r="C14" t="s">
        <v>235</v>
      </c>
      <c r="D14">
        <v>8.9999969004276501</v>
      </c>
      <c r="E14">
        <v>46.414427471488402</v>
      </c>
      <c r="F14">
        <f>Table22345678910111213[[#This Row],[ARIMAPP]]*$N$4+Table22345678910111213[[#This Row],[LSTMPP]]*$N$5</f>
        <v>13.693549808493948</v>
      </c>
      <c r="G14" s="2">
        <f>Table22345678910111213[[#This Row],[PP]]/$N$2</f>
        <v>2.7387099616987896</v>
      </c>
      <c r="H14" s="2">
        <v>4</v>
      </c>
      <c r="I14" s="2">
        <f>Table22345678910111213[[#This Row],[PPG]]*Table22345678910111213[[#This Row],[Plays]]</f>
        <v>10.954839846795158</v>
      </c>
      <c r="J14" s="2">
        <v>9</v>
      </c>
      <c r="K14" s="2">
        <f>Table22345678910111213[[#This Row],[APP]]/Table22345678910111213[[#This Row],[Plays]]</f>
        <v>2.25</v>
      </c>
    </row>
    <row r="15" spans="1:14" x14ac:dyDescent="0.3">
      <c r="A15" t="s">
        <v>248</v>
      </c>
      <c r="B15" t="s">
        <v>19</v>
      </c>
      <c r="C15" t="s">
        <v>235</v>
      </c>
      <c r="D15">
        <v>32.238088394103997</v>
      </c>
      <c r="E15">
        <v>58.430406133602197</v>
      </c>
      <c r="F15">
        <f>Table22345678910111213[[#This Row],[ARIMAPP]]*$N$4+Table22345678910111213[[#This Row],[LSTMPP]]*$N$5</f>
        <v>24.803129838704084</v>
      </c>
      <c r="G15" s="2">
        <f>Table22345678910111213[[#This Row],[PP]]/$N$2</f>
        <v>4.9606259677408167</v>
      </c>
      <c r="H15" s="4">
        <v>5</v>
      </c>
      <c r="I15" s="4">
        <f>Table22345678910111213[[#This Row],[PPG]]*Table22345678910111213[[#This Row],[Plays]]</f>
        <v>24.803129838704084</v>
      </c>
      <c r="J15" s="4">
        <v>29</v>
      </c>
      <c r="K15" s="2">
        <f>Table22345678910111213[[#This Row],[APP]]/Table22345678910111213[[#This Row],[Plays]]</f>
        <v>5.8</v>
      </c>
    </row>
    <row r="16" spans="1:14" x14ac:dyDescent="0.3">
      <c r="A16" t="s">
        <v>249</v>
      </c>
      <c r="B16" t="s">
        <v>19</v>
      </c>
      <c r="C16" t="s">
        <v>235</v>
      </c>
      <c r="D16">
        <v>16.047618953040399</v>
      </c>
      <c r="E16">
        <v>50.365231243451099</v>
      </c>
      <c r="F16">
        <f>Table22345678910111213[[#This Row],[ARIMAPP]]*$N$4+Table22345678910111213[[#This Row],[LSTMPP]]*$N$5</f>
        <v>17.13179935329309</v>
      </c>
      <c r="G16" s="2">
        <f>Table22345678910111213[[#This Row],[PP]]/$N$2</f>
        <v>3.4263598706586178</v>
      </c>
      <c r="H16" s="2">
        <v>5</v>
      </c>
      <c r="I16" s="2">
        <f>Table22345678910111213[[#This Row],[PPG]]*Table22345678910111213[[#This Row],[Plays]]</f>
        <v>17.13179935329309</v>
      </c>
      <c r="J16" s="2">
        <v>15</v>
      </c>
      <c r="K16" s="2">
        <f>Table22345678910111213[[#This Row],[APP]]/Table22345678910111213[[#This Row],[Plays]]</f>
        <v>3</v>
      </c>
    </row>
    <row r="17" spans="1:11" x14ac:dyDescent="0.3">
      <c r="A17" t="s">
        <v>250</v>
      </c>
      <c r="B17" t="s">
        <v>19</v>
      </c>
      <c r="C17" t="s">
        <v>235</v>
      </c>
      <c r="D17">
        <v>19.333346110825602</v>
      </c>
      <c r="E17">
        <v>58.662470416420099</v>
      </c>
      <c r="F17">
        <f>Table22345678910111213[[#This Row],[ARIMAPP]]*$N$4+Table22345678910111213[[#This Row],[LSTMPP]]*$N$5</f>
        <v>20.186397948234291</v>
      </c>
      <c r="G17" s="2">
        <f>Table22345678910111213[[#This Row],[PP]]/$N$2</f>
        <v>4.0372795896468583</v>
      </c>
      <c r="H17" s="4">
        <v>5</v>
      </c>
      <c r="I17" s="4">
        <f>Table22345678910111213[[#This Row],[PPG]]*Table22345678910111213[[#This Row],[Plays]]</f>
        <v>20.186397948234291</v>
      </c>
      <c r="J17" s="4">
        <v>18</v>
      </c>
      <c r="K17" s="2">
        <f>Table22345678910111213[[#This Row],[APP]]/Table22345678910111213[[#This Row],[Plays]]</f>
        <v>3.6</v>
      </c>
    </row>
    <row r="18" spans="1:11" x14ac:dyDescent="0.3">
      <c r="A18" t="s">
        <v>251</v>
      </c>
      <c r="B18" t="s">
        <v>15</v>
      </c>
      <c r="C18" t="s">
        <v>235</v>
      </c>
      <c r="D18">
        <v>-0.29440797547533398</v>
      </c>
      <c r="E18">
        <v>38.812392088586002</v>
      </c>
      <c r="F18">
        <f>Table22345678910111213[[#This Row],[ARIMAPP]]*$N$4+Table22345678910111213[[#This Row],[LSTMPP]]*$N$5</f>
        <v>8.6213531242465535</v>
      </c>
      <c r="G18" s="5">
        <f>Table22345678910111213[[#This Row],[PP]]/$N$2</f>
        <v>1.7242706248493107</v>
      </c>
      <c r="H18" s="5">
        <v>2</v>
      </c>
      <c r="I18" s="5">
        <f>Table22345678910111213[[#This Row],[PPG]]*Table22345678910111213[[#This Row],[Plays]]</f>
        <v>3.4485412496986214</v>
      </c>
      <c r="J18" s="5">
        <v>7</v>
      </c>
      <c r="K18" s="5">
        <f>Table22345678910111213[[#This Row],[APP]]/Table22345678910111213[[#This Row],[Plays]]</f>
        <v>3.5</v>
      </c>
    </row>
    <row r="19" spans="1:11" x14ac:dyDescent="0.3">
      <c r="A19" t="s">
        <v>161</v>
      </c>
      <c r="B19" t="s">
        <v>16</v>
      </c>
      <c r="C19" t="s">
        <v>235</v>
      </c>
      <c r="D19">
        <v>2.7619037107600999</v>
      </c>
      <c r="E19">
        <v>41.535169194220003</v>
      </c>
      <c r="F19">
        <f>Table22345678910111213[[#This Row],[ARIMAPP]]*$N$4+Table22345678910111213[[#This Row],[LSTMPP]]*$N$5</f>
        <v>10.339402026049513</v>
      </c>
      <c r="G19" s="6">
        <f>Table22345678910111213[[#This Row],[PP]]/$N$2</f>
        <v>2.0678804052099027</v>
      </c>
      <c r="H19" s="2">
        <v>1</v>
      </c>
      <c r="I19" s="6">
        <f>Table22345678910111213[[#This Row],[PPG]]*Table22345678910111213[[#This Row],[Plays]]</f>
        <v>2.0678804052099027</v>
      </c>
      <c r="J19" s="2">
        <v>2</v>
      </c>
      <c r="K19" s="6">
        <f>Table22345678910111213[[#This Row],[APP]]/Table22345678910111213[[#This Row],[Plays]]</f>
        <v>2</v>
      </c>
    </row>
    <row r="20" spans="1:11" x14ac:dyDescent="0.3">
      <c r="A20" t="s">
        <v>252</v>
      </c>
      <c r="B20" t="s">
        <v>19</v>
      </c>
      <c r="C20" t="s">
        <v>235</v>
      </c>
      <c r="D20">
        <v>1.0476190057723</v>
      </c>
      <c r="E20">
        <v>43.233100585168998</v>
      </c>
      <c r="F20">
        <f>Table22345678910111213[[#This Row],[ARIMAPP]]*$N$4+Table22345678910111213[[#This Row],[LSTMPP]]*$N$5</f>
        <v>10.100995702044509</v>
      </c>
      <c r="G20" s="6">
        <f>Table22345678910111213[[#This Row],[PP]]/$N$2</f>
        <v>2.0201991404089017</v>
      </c>
      <c r="H20" s="2">
        <v>1</v>
      </c>
      <c r="I20" s="6">
        <f>Table22345678910111213[[#This Row],[PPG]]*Table22345678910111213[[#This Row],[Plays]]</f>
        <v>2.0201991404089017</v>
      </c>
      <c r="J20" s="2">
        <v>1</v>
      </c>
      <c r="K20" s="6">
        <f>Table22345678910111213[[#This Row],[APP]]/Table22345678910111213[[#This Row],[Plays]]</f>
        <v>1</v>
      </c>
    </row>
    <row r="21" spans="1:11" x14ac:dyDescent="0.3">
      <c r="A21" t="s">
        <v>253</v>
      </c>
      <c r="B21" t="s">
        <v>19</v>
      </c>
      <c r="C21" t="s">
        <v>235</v>
      </c>
      <c r="D21">
        <v>1.5712310345527001</v>
      </c>
      <c r="E21">
        <v>43.134890051973798</v>
      </c>
      <c r="F21">
        <f>Table22345678910111213[[#This Row],[ARIMAPP]]*$N$4+Table22345678910111213[[#This Row],[LSTMPP]]*$N$5</f>
        <v>10.268352847005676</v>
      </c>
      <c r="G21" s="6">
        <f>Table22345678910111213[[#This Row],[PP]]/$N$2</f>
        <v>2.0536705694011355</v>
      </c>
      <c r="H21" s="2">
        <v>1</v>
      </c>
      <c r="I21" s="6">
        <f>Table22345678910111213[[#This Row],[PPG]]*Table22345678910111213[[#This Row],[Plays]]</f>
        <v>2.0536705694011355</v>
      </c>
      <c r="J21" s="2">
        <v>1</v>
      </c>
      <c r="K21" s="6">
        <f>Table22345678910111213[[#This Row],[APP]]/Table22345678910111213[[#This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C16-07FD-49A2-B803-78478F4BD4BB}">
  <dimension ref="A1:N20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254</v>
      </c>
      <c r="B2" t="s">
        <v>16</v>
      </c>
      <c r="C2" t="s">
        <v>255</v>
      </c>
      <c r="D2">
        <v>23.3333393964691</v>
      </c>
      <c r="E2">
        <v>57.9871665322814</v>
      </c>
      <c r="F2">
        <f>Table2234567891011121314[[#This Row],[ARIMAPP]]*$N$4+Table2234567891011121314[[#This Row],[LSTMPP]]*$N$5</f>
        <v>23.274293717781191</v>
      </c>
      <c r="G2" s="2">
        <f>Table2234567891011121314[[#This Row],[PP]]/$N$2</f>
        <v>4.6548587435562379</v>
      </c>
      <c r="H2" s="2">
        <v>5</v>
      </c>
      <c r="I2" s="2">
        <f>Table2234567891011121314[[#This Row],[PPG]]*Table2234567891011121314[[#This Row],[Plays]]</f>
        <v>23.274293717781191</v>
      </c>
      <c r="J2" s="2">
        <v>20</v>
      </c>
      <c r="K2" s="3">
        <f>Table2234567891011121314[[#This Row],[APP]]/Table2234567891011121314[[#This Row],[Plays]]</f>
        <v>4</v>
      </c>
      <c r="M2" t="s">
        <v>14</v>
      </c>
      <c r="N2">
        <v>5</v>
      </c>
    </row>
    <row r="3" spans="1:14" x14ac:dyDescent="0.3">
      <c r="A3" t="s">
        <v>256</v>
      </c>
      <c r="B3" t="s">
        <v>19</v>
      </c>
      <c r="C3" t="s">
        <v>255</v>
      </c>
      <c r="D3">
        <v>32.857145150520601</v>
      </c>
      <c r="E3">
        <v>63.786511473112299</v>
      </c>
      <c r="F3">
        <f>Table2234567891011121314[[#This Row],[ARIMAPP]]*$N$4+Table2234567891011121314[[#This Row],[LSTMPP]]*$N$5</f>
        <v>28.169634368033226</v>
      </c>
      <c r="G3" s="2">
        <f>Table2234567891011121314[[#This Row],[PP]]/$N$2</f>
        <v>5.6339268736066455</v>
      </c>
      <c r="H3" s="4">
        <v>5</v>
      </c>
      <c r="I3" s="4">
        <f>Table2234567891011121314[[#This Row],[PPG]]*Table2234567891011121314[[#This Row],[Plays]]</f>
        <v>28.169634368033229</v>
      </c>
      <c r="J3" s="4">
        <v>28</v>
      </c>
      <c r="K3" s="2">
        <f>Table2234567891011121314[[#This Row],[APP]]/Table2234567891011121314[[#This Row],[Plays]]</f>
        <v>5.6</v>
      </c>
    </row>
    <row r="4" spans="1:14" x14ac:dyDescent="0.3">
      <c r="A4" t="s">
        <v>257</v>
      </c>
      <c r="B4" t="s">
        <v>19</v>
      </c>
      <c r="C4" t="s">
        <v>255</v>
      </c>
      <c r="D4">
        <v>29</v>
      </c>
      <c r="E4">
        <v>58.767109538287301</v>
      </c>
      <c r="F4">
        <f>Table2234567891011121314[[#This Row],[ARIMAPP]]*$N$4+Table2234567891011121314[[#This Row],[LSTMPP]]*$N$5</f>
        <v>25.498855328235756</v>
      </c>
      <c r="G4" s="2">
        <f>Table2234567891011121314[[#This Row],[PP]]/$N$2</f>
        <v>5.0997710656471513</v>
      </c>
      <c r="H4" s="2">
        <v>5</v>
      </c>
      <c r="I4" s="2">
        <f>Table2234567891011121314[[#This Row],[PPG]]*Table2234567891011121314[[#This Row],[Plays]]</f>
        <v>25.498855328235756</v>
      </c>
      <c r="J4" s="2">
        <v>28</v>
      </c>
      <c r="K4" s="2">
        <f>Table2234567891011121314[[#This Row],[APP]]/Table2234567891011121314[[#This Row],[Plays]]</f>
        <v>5.6</v>
      </c>
      <c r="M4" t="s">
        <v>17</v>
      </c>
      <c r="N4">
        <v>0.35710443634541289</v>
      </c>
    </row>
    <row r="5" spans="1:14" x14ac:dyDescent="0.3">
      <c r="A5" t="s">
        <v>258</v>
      </c>
      <c r="B5" t="s">
        <v>16</v>
      </c>
      <c r="C5" t="s">
        <v>255</v>
      </c>
      <c r="D5">
        <v>20.999999876760199</v>
      </c>
      <c r="E5">
        <v>49.349354427852802</v>
      </c>
      <c r="F5">
        <f>Table2234567891011121314[[#This Row],[ARIMAPP]]*$N$4+Table2234567891011121314[[#This Row],[LSTMPP]]*$N$5</f>
        <v>20.215297866555282</v>
      </c>
      <c r="G5" s="2">
        <f>Table2234567891011121314[[#This Row],[PP]]/$N$2</f>
        <v>4.0430595733110568</v>
      </c>
      <c r="H5" s="4">
        <v>4</v>
      </c>
      <c r="I5" s="4">
        <f>Table2234567891011121314[[#This Row],[PPG]]*Table2234567891011121314[[#This Row],[Plays]]</f>
        <v>16.172238293244227</v>
      </c>
      <c r="J5" s="4">
        <v>14</v>
      </c>
      <c r="K5" s="2">
        <f>Table2234567891011121314[[#This Row],[APP]]/Table2234567891011121314[[#This Row],[Plays]]</f>
        <v>3.5</v>
      </c>
      <c r="M5" t="s">
        <v>20</v>
      </c>
      <c r="N5">
        <v>0.25767519949833662</v>
      </c>
    </row>
    <row r="6" spans="1:14" x14ac:dyDescent="0.3">
      <c r="A6" t="s">
        <v>259</v>
      </c>
      <c r="B6" t="s">
        <v>19</v>
      </c>
      <c r="C6" t="s">
        <v>255</v>
      </c>
      <c r="D6">
        <v>8.0952381165034595</v>
      </c>
      <c r="E6">
        <v>48.7278360130517</v>
      </c>
      <c r="F6">
        <f>Table2234567891011121314[[#This Row],[ARIMAPP]]*$N$4+Table2234567891011121314[[#This Row],[LSTMPP]]*$N$5</f>
        <v>15.446800310461198</v>
      </c>
      <c r="G6" s="2">
        <f>Table2234567891011121314[[#This Row],[PP]]/$N$2</f>
        <v>3.0893600620922395</v>
      </c>
      <c r="H6" s="2">
        <v>4</v>
      </c>
      <c r="I6" s="2">
        <f>Table2234567891011121314[[#This Row],[PPG]]*Table2234567891011121314[[#This Row],[Plays]]</f>
        <v>12.357440248368958</v>
      </c>
      <c r="J6" s="2">
        <v>10</v>
      </c>
      <c r="K6" s="2">
        <f>Table2234567891011121314[[#This Row],[APP]]/Table2234567891011121314[[#This Row],[Plays]]</f>
        <v>2.5</v>
      </c>
    </row>
    <row r="7" spans="1:14" x14ac:dyDescent="0.3">
      <c r="A7" t="s">
        <v>260</v>
      </c>
      <c r="B7" t="s">
        <v>19</v>
      </c>
      <c r="C7" t="s">
        <v>255</v>
      </c>
      <c r="D7">
        <v>4.5020559809734699</v>
      </c>
      <c r="E7">
        <v>43.261472778623997</v>
      </c>
      <c r="F7">
        <f>Table2234567891011121314[[#This Row],[ARIMAPP]]*$N$4+Table2234567891011121314[[#This Row],[LSTMPP]]*$N$5</f>
        <v>12.755112792304823</v>
      </c>
      <c r="G7" s="2">
        <f>Table2234567891011121314[[#This Row],[PP]]/$N$2</f>
        <v>2.5510225584609647</v>
      </c>
      <c r="H7" s="4">
        <v>2</v>
      </c>
      <c r="I7" s="4">
        <f>Table2234567891011121314[[#This Row],[PPG]]*Table2234567891011121314[[#This Row],[Plays]]</f>
        <v>5.1020451169219294</v>
      </c>
      <c r="J7" s="4">
        <v>4</v>
      </c>
      <c r="K7" s="2">
        <f>Table2234567891011121314[[#This Row],[APP]]/Table2234567891011121314[[#This Row],[Plays]]</f>
        <v>2</v>
      </c>
      <c r="M7" t="s">
        <v>22</v>
      </c>
      <c r="N7" cm="1">
        <f t="array" ref="N7">(SUM(Table2234567891011121314[Tot]-Table2234567891011121314[APP]))^2</f>
        <v>2.8477878678478526E-28</v>
      </c>
    </row>
    <row r="8" spans="1:14" x14ac:dyDescent="0.3">
      <c r="A8" t="s">
        <v>261</v>
      </c>
      <c r="B8" t="s">
        <v>16</v>
      </c>
      <c r="C8" t="s">
        <v>255</v>
      </c>
      <c r="D8">
        <v>25.4285675260621</v>
      </c>
      <c r="E8">
        <v>59.075656488369802</v>
      </c>
      <c r="F8">
        <f>Table2234567891011121314[[#This Row],[ARIMAPP]]*$N$4+Table2234567891011121314[[#This Row],[LSTMPP]]*$N$5</f>
        <v>24.302985844601569</v>
      </c>
      <c r="G8" s="2">
        <f>Table2234567891011121314[[#This Row],[PP]]/$N$2</f>
        <v>4.8605971689203136</v>
      </c>
      <c r="H8" s="2">
        <v>5</v>
      </c>
      <c r="I8" s="2">
        <f>Table2234567891011121314[[#This Row],[PPG]]*Table2234567891011121314[[#This Row],[Plays]]</f>
        <v>24.302985844601569</v>
      </c>
      <c r="J8" s="2">
        <v>31</v>
      </c>
      <c r="K8" s="2">
        <f>Table2234567891011121314[[#This Row],[APP]]/Table2234567891011121314[[#This Row],[Plays]]</f>
        <v>6.2</v>
      </c>
    </row>
    <row r="9" spans="1:14" x14ac:dyDescent="0.3">
      <c r="A9" t="s">
        <v>262</v>
      </c>
      <c r="B9" t="s">
        <v>12</v>
      </c>
      <c r="C9" t="s">
        <v>255</v>
      </c>
      <c r="D9">
        <v>24.999996377396901</v>
      </c>
      <c r="E9">
        <v>58.961704336067498</v>
      </c>
      <c r="F9">
        <f>Table2234567891011121314[[#This Row],[ARIMAPP]]*$N$4+Table2234567891011121314[[#This Row],[LSTMPP]]*$N$5</f>
        <v>24.120578542545815</v>
      </c>
      <c r="G9" s="2">
        <f>Table2234567891011121314[[#This Row],[PP]]/$N$2</f>
        <v>4.8241157085091633</v>
      </c>
      <c r="H9" s="4">
        <v>5</v>
      </c>
      <c r="I9" s="4">
        <f>Table2234567891011121314[[#This Row],[PPG]]*Table2234567891011121314[[#This Row],[Plays]]</f>
        <v>24.120578542545815</v>
      </c>
      <c r="J9" s="4">
        <v>21</v>
      </c>
      <c r="K9" s="2">
        <f>Table2234567891011121314[[#This Row],[APP]]/Table2234567891011121314[[#This Row],[Plays]]</f>
        <v>4.2</v>
      </c>
    </row>
    <row r="10" spans="1:14" x14ac:dyDescent="0.3">
      <c r="A10" t="s">
        <v>263</v>
      </c>
      <c r="B10" t="s">
        <v>16</v>
      </c>
      <c r="C10" t="s">
        <v>255</v>
      </c>
      <c r="D10">
        <v>11.666665572773301</v>
      </c>
      <c r="E10">
        <v>50.938134565911</v>
      </c>
      <c r="F10">
        <f>Table2234567891011121314[[#This Row],[ARIMAPP]]*$N$4+Table2234567891011121314[[#This Row],[LSTMPP]]*$N$5</f>
        <v>17.291712019739876</v>
      </c>
      <c r="G10" s="2">
        <f>Table2234567891011121314[[#This Row],[PP]]/$N$2</f>
        <v>3.4583424039479751</v>
      </c>
      <c r="H10" s="2">
        <v>3</v>
      </c>
      <c r="I10" s="2">
        <f>Table2234567891011121314[[#This Row],[PPG]]*Table2234567891011121314[[#This Row],[Plays]]</f>
        <v>10.375027211843925</v>
      </c>
      <c r="J10" s="2">
        <v>14</v>
      </c>
      <c r="K10" s="2">
        <f>Table2234567891011121314[[#This Row],[APP]]/Table2234567891011121314[[#This Row],[Plays]]</f>
        <v>4.666666666666667</v>
      </c>
    </row>
    <row r="11" spans="1:14" x14ac:dyDescent="0.3">
      <c r="A11" t="s">
        <v>264</v>
      </c>
      <c r="B11" t="s">
        <v>19</v>
      </c>
      <c r="C11" t="s">
        <v>255</v>
      </c>
      <c r="D11">
        <v>29.139402181332699</v>
      </c>
      <c r="E11">
        <v>68.905146108211198</v>
      </c>
      <c r="F11">
        <f>Table2234567891011121314[[#This Row],[ARIMAPP]]*$N$4+Table2234567891011121314[[#This Row],[LSTMPP]]*$N$5</f>
        <v>28.160957061302462</v>
      </c>
      <c r="G11" s="2">
        <f>Table2234567891011121314[[#This Row],[PP]]/$N$2</f>
        <v>5.6321914122604921</v>
      </c>
      <c r="H11" s="4">
        <v>5</v>
      </c>
      <c r="I11" s="4">
        <f>Table2234567891011121314[[#This Row],[PPG]]*Table2234567891011121314[[#This Row],[Plays]]</f>
        <v>28.160957061302462</v>
      </c>
      <c r="J11" s="4">
        <v>30</v>
      </c>
      <c r="K11" s="2">
        <f>Table2234567891011121314[[#This Row],[APP]]/Table2234567891011121314[[#This Row],[Plays]]</f>
        <v>6</v>
      </c>
    </row>
    <row r="12" spans="1:14" x14ac:dyDescent="0.3">
      <c r="A12" t="s">
        <v>265</v>
      </c>
      <c r="B12" t="s">
        <v>16</v>
      </c>
      <c r="C12" t="s">
        <v>255</v>
      </c>
      <c r="D12">
        <v>23.3333393964691</v>
      </c>
      <c r="E12">
        <v>54.011036509375103</v>
      </c>
      <c r="F12">
        <f>Table2234567891011121314[[#This Row],[ARIMAPP]]*$N$4+Table2234567891011121314[[#This Row],[LSTMPP]]*$N$5</f>
        <v>22.249743620897487</v>
      </c>
      <c r="G12" s="2">
        <f>Table2234567891011121314[[#This Row],[PP]]/$N$2</f>
        <v>4.4499487241794977</v>
      </c>
      <c r="H12" s="2">
        <v>5</v>
      </c>
      <c r="I12" s="2">
        <f>Table2234567891011121314[[#This Row],[PPG]]*Table2234567891011121314[[#This Row],[Plays]]</f>
        <v>22.24974362089749</v>
      </c>
      <c r="J12" s="2">
        <v>20</v>
      </c>
      <c r="K12" s="2">
        <f>Table2234567891011121314[[#This Row],[APP]]/Table2234567891011121314[[#This Row],[Plays]]</f>
        <v>4</v>
      </c>
    </row>
    <row r="13" spans="1:14" x14ac:dyDescent="0.3">
      <c r="A13" t="s">
        <v>266</v>
      </c>
      <c r="B13" t="s">
        <v>19</v>
      </c>
      <c r="C13" t="s">
        <v>255</v>
      </c>
      <c r="D13">
        <v>23.142856925322</v>
      </c>
      <c r="E13">
        <v>58.6284845862453</v>
      </c>
      <c r="F13">
        <f>Table2234567891011121314[[#This Row],[ARIMAPP]]*$N$4+Table2234567891011121314[[#This Row],[LSTMPP]]*$N$5</f>
        <v>23.371523339785561</v>
      </c>
      <c r="G13" s="2">
        <f>Table2234567891011121314[[#This Row],[PP]]/$N$2</f>
        <v>4.6743046679571121</v>
      </c>
      <c r="H13" s="4">
        <v>5</v>
      </c>
      <c r="I13" s="4">
        <f>Table2234567891011121314[[#This Row],[PPG]]*Table2234567891011121314[[#This Row],[Plays]]</f>
        <v>23.371523339785561</v>
      </c>
      <c r="J13" s="4">
        <v>22</v>
      </c>
      <c r="K13" s="2">
        <f>Table2234567891011121314[[#This Row],[APP]]/Table2234567891011121314[[#This Row],[Plays]]</f>
        <v>4.4000000000000004</v>
      </c>
    </row>
    <row r="14" spans="1:14" x14ac:dyDescent="0.3">
      <c r="A14" t="s">
        <v>267</v>
      </c>
      <c r="B14" t="s">
        <v>19</v>
      </c>
      <c r="C14" t="s">
        <v>255</v>
      </c>
      <c r="D14">
        <v>19.4761902712475</v>
      </c>
      <c r="E14">
        <v>56.009520742043499</v>
      </c>
      <c r="F14">
        <f>Table2234567891011121314[[#This Row],[ARIMAPP]]*$N$4+Table2234567891011121314[[#This Row],[LSTMPP]]*$N$5</f>
        <v>21.387298379982134</v>
      </c>
      <c r="G14" s="2">
        <f>Table2234567891011121314[[#This Row],[PP]]/$N$2</f>
        <v>4.2774596759964272</v>
      </c>
      <c r="H14" s="2">
        <v>5</v>
      </c>
      <c r="I14" s="2">
        <f>Table2234567891011121314[[#This Row],[PPG]]*Table2234567891011121314[[#This Row],[Plays]]</f>
        <v>21.387298379982134</v>
      </c>
      <c r="J14" s="2">
        <v>17</v>
      </c>
      <c r="K14" s="2">
        <f>Table2234567891011121314[[#This Row],[APP]]/Table2234567891011121314[[#This Row],[Plays]]</f>
        <v>3.4</v>
      </c>
    </row>
    <row r="15" spans="1:14" x14ac:dyDescent="0.3">
      <c r="A15" t="s">
        <v>268</v>
      </c>
      <c r="B15" t="s">
        <v>19</v>
      </c>
      <c r="C15" t="s">
        <v>255</v>
      </c>
      <c r="D15">
        <v>3.33334403645335</v>
      </c>
      <c r="E15">
        <v>44.364816514994899</v>
      </c>
      <c r="F15">
        <f>Table2234567891011121314[[#This Row],[ARIMAPP]]*$N$4+Table2234567891011121314[[#This Row],[LSTMPP]]*$N$5</f>
        <v>12.622064889491428</v>
      </c>
      <c r="G15" s="2">
        <f>Table2234567891011121314[[#This Row],[PP]]/$N$2</f>
        <v>2.5244129778982858</v>
      </c>
      <c r="H15" s="4">
        <v>3</v>
      </c>
      <c r="I15" s="4">
        <f>Table2234567891011121314[[#This Row],[PPG]]*Table2234567891011121314[[#This Row],[Plays]]</f>
        <v>7.5732389336948573</v>
      </c>
      <c r="J15" s="4">
        <v>3</v>
      </c>
      <c r="K15" s="2">
        <f>Table2234567891011121314[[#This Row],[APP]]/Table2234567891011121314[[#This Row],[Plays]]</f>
        <v>1</v>
      </c>
    </row>
    <row r="16" spans="1:14" x14ac:dyDescent="0.3">
      <c r="A16" t="s">
        <v>269</v>
      </c>
      <c r="B16" t="s">
        <v>15</v>
      </c>
      <c r="C16" t="s">
        <v>255</v>
      </c>
      <c r="D16">
        <v>60.3333467929751</v>
      </c>
      <c r="E16">
        <v>85.4764847818238</v>
      </c>
      <c r="F16">
        <f>Table2234567891011121314[[#This Row],[ARIMAPP]]*$N$4+Table2234567891011121314[[#This Row],[LSTMPP]]*$N$5</f>
        <v>43.570476067910676</v>
      </c>
      <c r="G16" s="2">
        <f>Table2234567891011121314[[#This Row],[PP]]/$N$2</f>
        <v>8.7140952135821355</v>
      </c>
      <c r="H16" s="4">
        <v>5</v>
      </c>
      <c r="I16" s="4">
        <f>Table2234567891011121314[[#This Row],[PPG]]*Table2234567891011121314[[#This Row],[Plays]]</f>
        <v>43.570476067910676</v>
      </c>
      <c r="J16" s="4">
        <v>58</v>
      </c>
      <c r="K16" s="2">
        <f>Table2234567891011121314[[#This Row],[APP]]/Table2234567891011121314[[#This Row],[Plays]]</f>
        <v>11.6</v>
      </c>
    </row>
    <row r="17" spans="1:11" x14ac:dyDescent="0.3">
      <c r="A17" t="s">
        <v>270</v>
      </c>
      <c r="B17" t="s">
        <v>15</v>
      </c>
      <c r="C17" t="s">
        <v>255</v>
      </c>
      <c r="D17">
        <v>6.1904429168628301</v>
      </c>
      <c r="E17">
        <v>51.641305996826198</v>
      </c>
      <c r="F17">
        <f>Table2234567891011121314[[#This Row],[ARIMAPP]]*$N$4+Table2234567891011121314[[#This Row],[LSTMPP]]*$N$5</f>
        <v>15.517318453641593</v>
      </c>
      <c r="G17" s="2">
        <f>Table2234567891011121314[[#This Row],[PP]]/$N$2</f>
        <v>3.1034636907283186</v>
      </c>
      <c r="H17" s="2">
        <v>4</v>
      </c>
      <c r="I17" s="2">
        <f>Table2234567891011121314[[#This Row],[PPG]]*Table2234567891011121314[[#This Row],[Plays]]</f>
        <v>12.413854762913274</v>
      </c>
      <c r="J17" s="2">
        <v>15</v>
      </c>
      <c r="K17" s="2">
        <f>Table2234567891011121314[[#This Row],[APP]]/Table2234567891011121314[[#This Row],[Plays]]</f>
        <v>3.75</v>
      </c>
    </row>
    <row r="18" spans="1:11" x14ac:dyDescent="0.3">
      <c r="A18" t="s">
        <v>161</v>
      </c>
      <c r="B18" t="s">
        <v>19</v>
      </c>
      <c r="C18" t="s">
        <v>255</v>
      </c>
      <c r="D18">
        <v>0</v>
      </c>
      <c r="E18">
        <v>39.609453457031798</v>
      </c>
      <c r="F18">
        <f>Table2234567891011121314[[#This Row],[ARIMAPP]]*$N$4+Table2234567891011121314[[#This Row],[LSTMPP]]*$N$5</f>
        <v>10.206373821560748</v>
      </c>
      <c r="G18" s="6">
        <f>Table2234567891011121314[[#This Row],[PP]]/$N$2</f>
        <v>2.0412747643121496</v>
      </c>
      <c r="H18" s="2">
        <v>1</v>
      </c>
      <c r="I18" s="6">
        <f>Table2234567891011121314[[#This Row],[PPG]]*Table2234567891011121314[[#This Row],[Plays]]</f>
        <v>2.0412747643121496</v>
      </c>
      <c r="J18" s="2">
        <v>1</v>
      </c>
      <c r="K18" s="6">
        <f>Table2234567891011121314[[#This Row],[APP]]/Table2234567891011121314[[#This Row],[Plays]]</f>
        <v>1</v>
      </c>
    </row>
    <row r="19" spans="1:11" x14ac:dyDescent="0.3">
      <c r="A19" t="s">
        <v>271</v>
      </c>
      <c r="B19" t="s">
        <v>16</v>
      </c>
      <c r="C19" t="s">
        <v>255</v>
      </c>
      <c r="D19">
        <v>1.61904664117024</v>
      </c>
      <c r="E19">
        <v>42.6984831269571</v>
      </c>
      <c r="F19">
        <f>Table2234567891011121314[[#This Row],[ARIMAPP]]*$N$4+Table2234567891011121314[[#This Row],[LSTMPP]]*$N$5</f>
        <v>11.580508896227062</v>
      </c>
      <c r="G19" s="6">
        <f>Table2234567891011121314[[#This Row],[PP]]/$N$2</f>
        <v>2.3161017792454124</v>
      </c>
      <c r="H19" s="2">
        <v>2</v>
      </c>
      <c r="I19" s="6">
        <f>Table2234567891011121314[[#This Row],[PPG]]*Table2234567891011121314[[#This Row],[Plays]]</f>
        <v>4.6322035584908248</v>
      </c>
      <c r="J19" s="2">
        <v>2</v>
      </c>
      <c r="K19" s="6">
        <f>Table2234567891011121314[[#This Row],[APP]]/Table2234567891011121314[[#This Row],[Plays]]</f>
        <v>1</v>
      </c>
    </row>
    <row r="20" spans="1:11" x14ac:dyDescent="0.3">
      <c r="A20" t="s">
        <v>272</v>
      </c>
      <c r="B20" t="s">
        <v>16</v>
      </c>
      <c r="C20" t="s">
        <v>255</v>
      </c>
      <c r="D20">
        <v>3.34859517638378</v>
      </c>
      <c r="E20">
        <v>46.0658570476823</v>
      </c>
      <c r="F20">
        <f>Table2234567891011121314[[#This Row],[ARIMAPP]]*$N$4+Table2234567891011121314[[#This Row],[LSTMPP]]*$N$5</f>
        <v>13.065827097834891</v>
      </c>
      <c r="G20" s="6">
        <f>Table2234567891011121314[[#This Row],[PP]]/$N$2</f>
        <v>2.613165419566978</v>
      </c>
      <c r="H20" s="2">
        <v>2</v>
      </c>
      <c r="I20" s="6">
        <f>Table2234567891011121314[[#This Row],[PPG]]*Table2234567891011121314[[#This Row],[Plays]]</f>
        <v>5.226330839133956</v>
      </c>
      <c r="J20" s="2">
        <v>2</v>
      </c>
      <c r="K20" s="6">
        <f>Table2234567891011121314[[#This Row],[APP]]/Table2234567891011121314[[#This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357A-5622-4B74-B422-894F828C0845}">
  <dimension ref="A1:N21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4" width="12.6640625" bestFit="1" customWidth="1"/>
    <col min="5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273</v>
      </c>
      <c r="B2" t="s">
        <v>15</v>
      </c>
      <c r="C2" t="s">
        <v>274</v>
      </c>
      <c r="D2">
        <v>6.3809523174569298</v>
      </c>
      <c r="E2">
        <v>45.478177481945998</v>
      </c>
      <c r="F2">
        <f>Table223456789101112131415[[#This Row],[ARIMAPP]]*$N$4+Table223456789101112131415[[#This Row],[LSTMPP]]*$N$5</f>
        <v>9.5004569230248386</v>
      </c>
      <c r="G2" s="2">
        <f>Table223456789101112131415[[#This Row],[PP]]/$N$2</f>
        <v>1.9000913846049676</v>
      </c>
      <c r="H2" s="2">
        <v>5</v>
      </c>
      <c r="I2" s="2">
        <f>Table223456789101112131415[[#This Row],[PPG]]*Table223456789101112131415[[#This Row],[Plays]]</f>
        <v>9.5004569230248386</v>
      </c>
      <c r="J2" s="2">
        <v>6</v>
      </c>
      <c r="K2" s="3">
        <f>Table223456789101112131415[[#This Row],[APP]]/Table223456789101112131415[[#This Row],[Plays]]</f>
        <v>1.2</v>
      </c>
      <c r="M2" t="s">
        <v>14</v>
      </c>
      <c r="N2">
        <v>5</v>
      </c>
    </row>
    <row r="3" spans="1:14" x14ac:dyDescent="0.3">
      <c r="A3" t="s">
        <v>275</v>
      </c>
      <c r="B3" t="s">
        <v>12</v>
      </c>
      <c r="C3" t="s">
        <v>274</v>
      </c>
      <c r="D3">
        <v>18.999999980861901</v>
      </c>
      <c r="E3">
        <v>60.9231372880568</v>
      </c>
      <c r="F3">
        <f>Table223456789101112131415[[#This Row],[ARIMAPP]]*$N$4+Table223456789101112131415[[#This Row],[LSTMPP]]*$N$5</f>
        <v>16.548379873665858</v>
      </c>
      <c r="G3" s="2">
        <f>Table223456789101112131415[[#This Row],[PP]]/$N$2</f>
        <v>3.3096759747331719</v>
      </c>
      <c r="H3" s="4">
        <v>5</v>
      </c>
      <c r="I3" s="4">
        <f>Table223456789101112131415[[#This Row],[PPG]]*Table223456789101112131415[[#This Row],[Plays]]</f>
        <v>16.548379873665858</v>
      </c>
      <c r="J3" s="4">
        <v>19</v>
      </c>
      <c r="K3" s="2">
        <f>Table223456789101112131415[[#This Row],[APP]]/Table223456789101112131415[[#This Row],[Plays]]</f>
        <v>3.8</v>
      </c>
    </row>
    <row r="4" spans="1:14" x14ac:dyDescent="0.3">
      <c r="A4" t="s">
        <v>276</v>
      </c>
      <c r="B4" t="s">
        <v>16</v>
      </c>
      <c r="C4" t="s">
        <v>274</v>
      </c>
      <c r="D4">
        <v>15.999999976661099</v>
      </c>
      <c r="E4">
        <v>51.712908890163803</v>
      </c>
      <c r="F4">
        <f>Table223456789101112131415[[#This Row],[ARIMAPP]]*$N$4+Table223456789101112131415[[#This Row],[LSTMPP]]*$N$5</f>
        <v>13.999970852036091</v>
      </c>
      <c r="G4" s="2">
        <f>Table223456789101112131415[[#This Row],[PP]]/$N$2</f>
        <v>2.799994170407218</v>
      </c>
      <c r="H4" s="4">
        <v>4</v>
      </c>
      <c r="I4" s="4">
        <f>Table223456789101112131415[[#This Row],[PPG]]*Table223456789101112131415[[#This Row],[Plays]]</f>
        <v>11.199976681628872</v>
      </c>
      <c r="J4" s="4">
        <v>15</v>
      </c>
      <c r="K4" s="2">
        <f>Table223456789101112131415[[#This Row],[APP]]/Table223456789101112131415[[#This Row],[Plays]]</f>
        <v>3.75</v>
      </c>
      <c r="M4" t="s">
        <v>17</v>
      </c>
      <c r="N4">
        <v>0.36561901549906384</v>
      </c>
    </row>
    <row r="5" spans="1:14" x14ac:dyDescent="0.3">
      <c r="A5" t="s">
        <v>277</v>
      </c>
      <c r="B5" t="s">
        <v>16</v>
      </c>
      <c r="C5" t="s">
        <v>274</v>
      </c>
      <c r="D5">
        <v>-1.3809528225765599</v>
      </c>
      <c r="E5">
        <v>37.666074027779203</v>
      </c>
      <c r="F5">
        <f>Table223456789101112131415[[#This Row],[ARIMAPP]]*$N$4+Table223456789101112131415[[#This Row],[LSTMPP]]*$N$5</f>
        <v>5.4313523575637301</v>
      </c>
      <c r="G5" s="2">
        <f>Table223456789101112131415[[#This Row],[PP]]/$N$2</f>
        <v>1.086270471512746</v>
      </c>
      <c r="H5" s="2">
        <v>2</v>
      </c>
      <c r="I5" s="2">
        <f>Table223456789101112131415[[#This Row],[PPG]]*Table223456789101112131415[[#This Row],[Plays]]</f>
        <v>2.1725409430254921</v>
      </c>
      <c r="J5" s="2">
        <v>-1</v>
      </c>
      <c r="K5" s="2">
        <f>Table223456789101112131415[[#This Row],[APP]]/Table223456789101112131415[[#This Row],[Plays]]</f>
        <v>-0.5</v>
      </c>
      <c r="M5" t="s">
        <v>20</v>
      </c>
      <c r="N5">
        <v>0.15760216911979633</v>
      </c>
    </row>
    <row r="6" spans="1:14" x14ac:dyDescent="0.3">
      <c r="A6" t="s">
        <v>278</v>
      </c>
      <c r="B6" t="s">
        <v>19</v>
      </c>
      <c r="C6" t="s">
        <v>274</v>
      </c>
      <c r="D6">
        <v>3.9523806082976001</v>
      </c>
      <c r="E6">
        <v>45.143397448652799</v>
      </c>
      <c r="F6">
        <f>Table223456789101112131415[[#This Row],[ARIMAPP]]*$N$4+Table223456789101112131415[[#This Row],[LSTMPP]]*$N$5</f>
        <v>8.5597628662281195</v>
      </c>
      <c r="G6" s="2">
        <f>Table223456789101112131415[[#This Row],[PP]]/$N$2</f>
        <v>1.711952573245624</v>
      </c>
      <c r="H6" s="4">
        <v>5</v>
      </c>
      <c r="I6" s="4">
        <f>Table223456789101112131415[[#This Row],[PPG]]*Table223456789101112131415[[#This Row],[Plays]]</f>
        <v>8.5597628662281195</v>
      </c>
      <c r="J6" s="4">
        <v>4</v>
      </c>
      <c r="K6" s="2">
        <f>Table223456789101112131415[[#This Row],[APP]]/Table223456789101112131415[[#This Row],[Plays]]</f>
        <v>0.8</v>
      </c>
    </row>
    <row r="7" spans="1:14" x14ac:dyDescent="0.3">
      <c r="A7" t="s">
        <v>279</v>
      </c>
      <c r="B7" t="s">
        <v>16</v>
      </c>
      <c r="C7" t="s">
        <v>274</v>
      </c>
      <c r="D7">
        <v>-1.3809528225765599</v>
      </c>
      <c r="E7">
        <v>38.754846417006497</v>
      </c>
      <c r="F7">
        <f>Table223456789101112131415[[#This Row],[ARIMAPP]]*$N$4+Table223456789101112131415[[#This Row],[LSTMPP]]*$N$5</f>
        <v>5.602945247783695</v>
      </c>
      <c r="G7" s="2">
        <f>Table223456789101112131415[[#This Row],[PP]]/$N$2</f>
        <v>1.120589049556739</v>
      </c>
      <c r="H7" s="2">
        <v>2</v>
      </c>
      <c r="I7" s="2">
        <f>Table223456789101112131415[[#This Row],[PPG]]*Table223456789101112131415[[#This Row],[Plays]]</f>
        <v>2.241178099113478</v>
      </c>
      <c r="J7" s="2">
        <v>-1</v>
      </c>
      <c r="K7" s="2">
        <f>Table223456789101112131415[[#This Row],[APP]]/Table223456789101112131415[[#This Row],[Plays]]</f>
        <v>-0.5</v>
      </c>
      <c r="M7" t="s">
        <v>22</v>
      </c>
      <c r="N7" cm="1">
        <f t="array" ref="N7">(SUM(Table223456789101112131415[Tot]-Table223456789101112131415[APP]))^2</f>
        <v>1.135959703518257E-28</v>
      </c>
    </row>
    <row r="8" spans="1:14" x14ac:dyDescent="0.3">
      <c r="A8" t="s">
        <v>280</v>
      </c>
      <c r="B8" t="s">
        <v>19</v>
      </c>
      <c r="C8" t="s">
        <v>274</v>
      </c>
      <c r="D8">
        <v>13.7142979854709</v>
      </c>
      <c r="E8">
        <v>52.919134449397497</v>
      </c>
      <c r="F8">
        <f>Table223456789101112131415[[#This Row],[ARIMAPP]]*$N$4+Table223456789101112131415[[#This Row],[LSTMPP]]*$N$5</f>
        <v>13.354378504875848</v>
      </c>
      <c r="G8" s="2">
        <f>Table223456789101112131415[[#This Row],[PP]]/$N$2</f>
        <v>2.6708757009751696</v>
      </c>
      <c r="H8" s="4">
        <v>5</v>
      </c>
      <c r="I8" s="4">
        <f>Table223456789101112131415[[#This Row],[PPG]]*Table223456789101112131415[[#This Row],[Plays]]</f>
        <v>13.354378504875848</v>
      </c>
      <c r="J8" s="4">
        <v>15</v>
      </c>
      <c r="K8" s="2">
        <f>Table223456789101112131415[[#This Row],[APP]]/Table223456789101112131415[[#This Row],[Plays]]</f>
        <v>3</v>
      </c>
    </row>
    <row r="9" spans="1:14" x14ac:dyDescent="0.3">
      <c r="A9" t="s">
        <v>281</v>
      </c>
      <c r="B9" t="s">
        <v>19</v>
      </c>
      <c r="C9" t="s">
        <v>274</v>
      </c>
      <c r="D9">
        <v>22.047618778535899</v>
      </c>
      <c r="E9">
        <v>61.168648778609104</v>
      </c>
      <c r="F9">
        <f>Table223456789101112131415[[#This Row],[ARIMAPP]]*$N$4+Table223456789101112131415[[#This Row],[LSTMPP]]*$N$5</f>
        <v>17.701340401542744</v>
      </c>
      <c r="G9" s="2">
        <f>Table223456789101112131415[[#This Row],[PP]]/$N$2</f>
        <v>3.5402680803085489</v>
      </c>
      <c r="H9" s="4">
        <v>5</v>
      </c>
      <c r="I9" s="4">
        <f>Table223456789101112131415[[#This Row],[PPG]]*Table223456789101112131415[[#This Row],[Plays]]</f>
        <v>17.701340401542744</v>
      </c>
      <c r="J9" s="4">
        <v>22</v>
      </c>
      <c r="K9" s="2">
        <f>Table223456789101112131415[[#This Row],[APP]]/Table223456789101112131415[[#This Row],[Plays]]</f>
        <v>4.4000000000000004</v>
      </c>
    </row>
    <row r="10" spans="1:14" x14ac:dyDescent="0.3">
      <c r="A10" t="s">
        <v>282</v>
      </c>
      <c r="B10" t="s">
        <v>19</v>
      </c>
      <c r="C10" t="s">
        <v>274</v>
      </c>
      <c r="D10">
        <v>5.2360679588733303</v>
      </c>
      <c r="E10">
        <v>43.656280614252402</v>
      </c>
      <c r="F10">
        <f>Table223456789101112131415[[#This Row],[ARIMAPP]]*$N$4+Table223456789101112131415[[#This Row],[LSTMPP]]*$N$5</f>
        <v>8.7947305327181517</v>
      </c>
      <c r="G10" s="2">
        <f>Table223456789101112131415[[#This Row],[PP]]/$N$2</f>
        <v>1.7589461065436303</v>
      </c>
      <c r="H10" s="2">
        <v>3</v>
      </c>
      <c r="I10" s="2">
        <f>Table223456789101112131415[[#This Row],[PPG]]*Table223456789101112131415[[#This Row],[Plays]]</f>
        <v>5.2768383196308903</v>
      </c>
      <c r="J10" s="2">
        <v>3</v>
      </c>
      <c r="K10" s="2">
        <f>Table223456789101112131415[[#This Row],[APP]]/Table223456789101112131415[[#This Row],[Plays]]</f>
        <v>1</v>
      </c>
    </row>
    <row r="11" spans="1:14" x14ac:dyDescent="0.3">
      <c r="A11" t="s">
        <v>283</v>
      </c>
      <c r="B11" t="s">
        <v>19</v>
      </c>
      <c r="C11" t="s">
        <v>274</v>
      </c>
      <c r="D11">
        <v>7.9999999774445296</v>
      </c>
      <c r="E11">
        <v>47.494929409587101</v>
      </c>
      <c r="F11">
        <f>Table223456789101112131415[[#This Row],[ARIMAPP]]*$N$4+Table223456789101112131415[[#This Row],[LSTMPP]]*$N$5</f>
        <v>10.410256012888336</v>
      </c>
      <c r="G11" s="2">
        <f>Table223456789101112131415[[#This Row],[PP]]/$N$2</f>
        <v>2.0820512025776674</v>
      </c>
      <c r="H11" s="2">
        <v>5</v>
      </c>
      <c r="I11" s="2">
        <f>Table223456789101112131415[[#This Row],[PPG]]*Table223456789101112131415[[#This Row],[Plays]]</f>
        <v>10.410256012888336</v>
      </c>
      <c r="J11" s="2">
        <v>8</v>
      </c>
      <c r="K11" s="2">
        <f>Table223456789101112131415[[#This Row],[APP]]/Table223456789101112131415[[#This Row],[Plays]]</f>
        <v>1.6</v>
      </c>
    </row>
    <row r="12" spans="1:14" x14ac:dyDescent="0.3">
      <c r="A12" t="s">
        <v>284</v>
      </c>
      <c r="B12" t="s">
        <v>19</v>
      </c>
      <c r="C12" t="s">
        <v>274</v>
      </c>
      <c r="D12">
        <v>23.000011159730501</v>
      </c>
      <c r="E12">
        <v>62.519410449613098</v>
      </c>
      <c r="F12">
        <f>Table223456789101112131415[[#This Row],[ARIMAPP]]*$N$4+Table223456789101112131415[[#This Row],[LSTMPP]]*$N$5</f>
        <v>18.262436135638033</v>
      </c>
      <c r="G12" s="2">
        <f>Table223456789101112131415[[#This Row],[PP]]/$N$2</f>
        <v>3.6524872271276068</v>
      </c>
      <c r="H12" s="2">
        <v>5</v>
      </c>
      <c r="I12" s="2">
        <f>Table223456789101112131415[[#This Row],[PPG]]*Table223456789101112131415[[#This Row],[Plays]]</f>
        <v>18.262436135638033</v>
      </c>
      <c r="J12" s="2">
        <v>26</v>
      </c>
      <c r="K12" s="2">
        <f>Table223456789101112131415[[#This Row],[APP]]/Table223456789101112131415[[#This Row],[Plays]]</f>
        <v>5.2</v>
      </c>
    </row>
    <row r="13" spans="1:14" x14ac:dyDescent="0.3">
      <c r="A13" t="s">
        <v>285</v>
      </c>
      <c r="B13" t="s">
        <v>16</v>
      </c>
      <c r="C13" t="s">
        <v>274</v>
      </c>
      <c r="D13">
        <v>1.42857130728939</v>
      </c>
      <c r="E13">
        <v>39.081300702381398</v>
      </c>
      <c r="F13">
        <f>Table223456789101112131415[[#This Row],[ARIMAPP]]*$N$4+Table223456789101112131415[[#This Row],[LSTMPP]]*$N$5</f>
        <v>6.6816105976596853</v>
      </c>
      <c r="G13" s="2">
        <f>Table223456789101112131415[[#This Row],[PP]]/$N$2</f>
        <v>1.336322119531937</v>
      </c>
      <c r="H13" s="4">
        <v>1</v>
      </c>
      <c r="I13" s="4">
        <f>Table223456789101112131415[[#This Row],[PPG]]*Table223456789101112131415[[#This Row],[Plays]]</f>
        <v>1.336322119531937</v>
      </c>
      <c r="J13" s="4">
        <v>1</v>
      </c>
      <c r="K13" s="2">
        <f>Table223456789101112131415[[#This Row],[APP]]/Table223456789101112131415[[#This Row],[Plays]]</f>
        <v>1</v>
      </c>
    </row>
    <row r="14" spans="1:14" x14ac:dyDescent="0.3">
      <c r="A14" t="s">
        <v>286</v>
      </c>
      <c r="B14" t="s">
        <v>16</v>
      </c>
      <c r="C14" t="s">
        <v>274</v>
      </c>
      <c r="D14">
        <v>23.236067977499701</v>
      </c>
      <c r="E14">
        <v>58.275996070702199</v>
      </c>
      <c r="F14">
        <f>Table223456789101112131415[[#This Row],[ARIMAPP]]*$N$4+Table223456789101112131415[[#This Row],[LSTMPP]]*$N$5</f>
        <v>17.679971686362158</v>
      </c>
      <c r="G14" s="2">
        <f>Table223456789101112131415[[#This Row],[PP]]/$N$2</f>
        <v>3.5359943372724318</v>
      </c>
      <c r="H14" s="2">
        <v>5</v>
      </c>
      <c r="I14" s="2">
        <f>Table223456789101112131415[[#This Row],[PPG]]*Table223456789101112131415[[#This Row],[Plays]]</f>
        <v>17.679971686362158</v>
      </c>
      <c r="J14" s="2">
        <v>21</v>
      </c>
      <c r="K14" s="2">
        <f>Table223456789101112131415[[#This Row],[APP]]/Table223456789101112131415[[#This Row],[Plays]]</f>
        <v>4.2</v>
      </c>
    </row>
    <row r="15" spans="1:14" x14ac:dyDescent="0.3">
      <c r="A15" t="s">
        <v>287</v>
      </c>
      <c r="B15" t="s">
        <v>19</v>
      </c>
      <c r="C15" t="s">
        <v>274</v>
      </c>
      <c r="D15">
        <v>9.9999999627470899</v>
      </c>
      <c r="E15">
        <v>48.102436903835198</v>
      </c>
      <c r="F15">
        <f>Table223456789101112131415[[#This Row],[ARIMAPP]]*$N$4+Table223456789101112131415[[#This Row],[LSTMPP]]*$N$5</f>
        <v>11.237238537362833</v>
      </c>
      <c r="G15" s="2">
        <f>Table223456789101112131415[[#This Row],[PP]]/$N$2</f>
        <v>2.2474477074725665</v>
      </c>
      <c r="H15" s="2">
        <v>5</v>
      </c>
      <c r="I15" s="2">
        <f>Table223456789101112131415[[#This Row],[PPG]]*Table223456789101112131415[[#This Row],[Plays]]</f>
        <v>11.237238537362833</v>
      </c>
      <c r="J15" s="2">
        <v>10</v>
      </c>
      <c r="K15" s="2">
        <f>Table223456789101112131415[[#This Row],[APP]]/Table223456789101112131415[[#This Row],[Plays]]</f>
        <v>2</v>
      </c>
    </row>
    <row r="16" spans="1:14" x14ac:dyDescent="0.3">
      <c r="A16" t="s">
        <v>288</v>
      </c>
      <c r="B16" t="s">
        <v>15</v>
      </c>
      <c r="C16" t="s">
        <v>274</v>
      </c>
      <c r="D16">
        <v>5.7142893509752701</v>
      </c>
      <c r="E16">
        <v>43.816138000491598</v>
      </c>
      <c r="F16">
        <f>Table223456789101112131415[[#This Row],[ARIMAPP]]*$N$4+Table223456789101112131415[[#This Row],[LSTMPP]]*$N$5</f>
        <v>8.9947712381101734</v>
      </c>
      <c r="G16" s="2">
        <f>Table223456789101112131415[[#This Row],[PP]]/$N$2</f>
        <v>1.7989542476220346</v>
      </c>
      <c r="H16" s="4">
        <v>1</v>
      </c>
      <c r="I16" s="4">
        <f>Table223456789101112131415[[#This Row],[PPG]]*Table223456789101112131415[[#This Row],[Plays]]</f>
        <v>1.7989542476220346</v>
      </c>
      <c r="J16" s="4">
        <v>4</v>
      </c>
      <c r="K16" s="2">
        <f>Table223456789101112131415[[#This Row],[APP]]/Table223456789101112131415[[#This Row],[Plays]]</f>
        <v>4</v>
      </c>
    </row>
    <row r="17" spans="1:11" x14ac:dyDescent="0.3">
      <c r="A17" t="s">
        <v>289</v>
      </c>
      <c r="B17" t="s">
        <v>16</v>
      </c>
      <c r="C17" t="s">
        <v>274</v>
      </c>
      <c r="D17">
        <v>17.999999997816101</v>
      </c>
      <c r="E17">
        <v>56.234409617655601</v>
      </c>
      <c r="F17">
        <f>Table223456789101112131415[[#This Row],[ARIMAPP]]*$N$4+Table223456789101112131415[[#This Row],[LSTMPP]]*$N$5</f>
        <v>15.443807213098335</v>
      </c>
      <c r="G17" s="6">
        <f>Table223456789101112131415[[#This Row],[PP]]/$N$2</f>
        <v>3.088761442619667</v>
      </c>
      <c r="H17" s="2">
        <v>5</v>
      </c>
      <c r="I17" s="6">
        <f>Table223456789101112131415[[#This Row],[PPG]]*Table223456789101112131415[[#This Row],[Plays]]</f>
        <v>15.443807213098335</v>
      </c>
      <c r="J17" s="2">
        <v>17</v>
      </c>
      <c r="K17" s="6">
        <f>Table223456789101112131415[[#This Row],[APP]]/Table223456789101112131415[[#This Row],[Plays]]</f>
        <v>3.4</v>
      </c>
    </row>
    <row r="18" spans="1:11" x14ac:dyDescent="0.3">
      <c r="A18" t="s">
        <v>290</v>
      </c>
      <c r="B18" t="s">
        <v>19</v>
      </c>
      <c r="C18" t="s">
        <v>274</v>
      </c>
      <c r="D18">
        <v>16.849489721944199</v>
      </c>
      <c r="E18">
        <v>50.48212305002</v>
      </c>
      <c r="F18">
        <f>Table223456789101112131415[[#This Row],[ARIMAPP]]*$N$4+Table223456789101112131415[[#This Row],[LSTMPP]]*$N$5</f>
        <v>14.116585938254453</v>
      </c>
      <c r="G18" s="6">
        <f>Table223456789101112131415[[#This Row],[PP]]/$N$2</f>
        <v>2.8233171876508907</v>
      </c>
      <c r="H18" s="2">
        <v>5</v>
      </c>
      <c r="I18" s="6">
        <f>Table223456789101112131415[[#This Row],[PPG]]*Table223456789101112131415[[#This Row],[Plays]]</f>
        <v>14.116585938254453</v>
      </c>
      <c r="J18" s="2">
        <v>12</v>
      </c>
      <c r="K18" s="6">
        <f>Table223456789101112131415[[#This Row],[APP]]/Table223456789101112131415[[#This Row],[Plays]]</f>
        <v>2.4</v>
      </c>
    </row>
    <row r="19" spans="1:11" x14ac:dyDescent="0.3">
      <c r="A19" t="s">
        <v>43</v>
      </c>
      <c r="B19" t="s">
        <v>16</v>
      </c>
      <c r="C19" t="s">
        <v>274</v>
      </c>
      <c r="D19">
        <v>11.999909997787899</v>
      </c>
      <c r="E19">
        <v>54.472424277167697</v>
      </c>
      <c r="F19">
        <f>Table223456789101112131415[[#This Row],[ARIMAPP]]*$N$4+Table223456789101112131415[[#This Row],[LSTMPP]]*$N$5</f>
        <v>12.972367502764067</v>
      </c>
      <c r="G19" s="6">
        <f>Table223456789101112131415[[#This Row],[PP]]/$N$2</f>
        <v>2.5944735005528132</v>
      </c>
      <c r="H19" s="2">
        <v>5</v>
      </c>
      <c r="I19" s="6">
        <f>Table223456789101112131415[[#This Row],[PPG]]*Table223456789101112131415[[#This Row],[Plays]]</f>
        <v>12.972367502764065</v>
      </c>
      <c r="J19" s="2">
        <v>12</v>
      </c>
      <c r="K19" s="6">
        <f>Table223456789101112131415[[#This Row],[APP]]/Table223456789101112131415[[#This Row],[Plays]]</f>
        <v>2.4</v>
      </c>
    </row>
    <row r="20" spans="1:11" x14ac:dyDescent="0.3">
      <c r="A20" t="s">
        <v>291</v>
      </c>
      <c r="B20" t="s">
        <v>19</v>
      </c>
      <c r="C20" t="s">
        <v>274</v>
      </c>
      <c r="D20">
        <v>0</v>
      </c>
      <c r="E20">
        <v>40.531536194706099</v>
      </c>
      <c r="F20">
        <f>Table223456789101112131415[[#This Row],[ARIMAPP]]*$N$4+Table223456789101112131415[[#This Row],[LSTMPP]]*$N$5</f>
        <v>6.3878580220432166</v>
      </c>
      <c r="G20" s="6">
        <f>Table223456789101112131415[[#This Row],[PP]]/$N$2</f>
        <v>1.2775716044086434</v>
      </c>
      <c r="H20" s="2">
        <v>1</v>
      </c>
      <c r="I20" s="6">
        <f>Table223456789101112131415[[#This Row],[PPG]]*Table223456789101112131415[[#This Row],[Plays]]</f>
        <v>1.2775716044086434</v>
      </c>
      <c r="J20" s="2">
        <v>1</v>
      </c>
      <c r="K20" s="6">
        <f>Table223456789101112131415[[#This Row],[APP]]/Table223456789101112131415[[#This Row],[Plays]]</f>
        <v>1</v>
      </c>
    </row>
    <row r="21" spans="1:11" x14ac:dyDescent="0.3">
      <c r="A21" t="s">
        <v>292</v>
      </c>
      <c r="B21" t="s">
        <v>19</v>
      </c>
      <c r="C21" t="s">
        <v>274</v>
      </c>
      <c r="D21">
        <v>13.1504786219958</v>
      </c>
      <c r="E21">
        <v>47.372608942595797</v>
      </c>
      <c r="F21">
        <f>Table223456789101112131415[[#This Row],[ARIMAPP]]*$N$4+Table223456789101112131415[[#This Row],[LSTMPP]]*$N$5</f>
        <v>12.274090973332548</v>
      </c>
      <c r="G21" s="6">
        <f>Table223456789101112131415[[#This Row],[PP]]/$N$2</f>
        <v>2.4548181946665095</v>
      </c>
      <c r="H21" s="2">
        <v>2</v>
      </c>
      <c r="I21" s="6">
        <f>Table223456789101112131415[[#This Row],[PPG]]*Table223456789101112131415[[#This Row],[Plays]]</f>
        <v>4.909636389333019</v>
      </c>
      <c r="J21" s="2">
        <v>2</v>
      </c>
      <c r="K21" s="6">
        <f>Table223456789101112131415[[#This Row],[APP]]/Table223456789101112131415[[#This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4FAE-11A4-4EBE-9077-17512B779CF4}">
  <dimension ref="A1:N20"/>
  <sheetViews>
    <sheetView workbookViewId="0">
      <selection activeCell="N5" sqref="N5"/>
    </sheetView>
  </sheetViews>
  <sheetFormatPr defaultRowHeight="14.4" x14ac:dyDescent="0.3"/>
  <cols>
    <col min="1" max="1" width="15.1093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294</v>
      </c>
      <c r="B2" t="s">
        <v>16</v>
      </c>
      <c r="C2" t="s">
        <v>293</v>
      </c>
      <c r="D2">
        <v>1.0476190057723</v>
      </c>
      <c r="E2">
        <v>41.982956168558196</v>
      </c>
      <c r="F2">
        <f>Table22345678910111213141516[[#This Row],[ARIMAPP]]*$N$4+Table22345678910111213141516[[#This Row],[LSTMPP]]*$N$5</f>
        <v>8.8173389505009947</v>
      </c>
      <c r="G2" s="2">
        <f>Table22345678910111213141516[[#This Row],[PP]]/$N$2</f>
        <v>1.7634677901001989</v>
      </c>
      <c r="H2" s="4">
        <v>1</v>
      </c>
      <c r="I2" s="4">
        <f>Table22345678910111213141516[[#This Row],[PPG]]*Table22345678910111213141516[[#This Row],[Plays]]</f>
        <v>1.7634677901001989</v>
      </c>
      <c r="J2" s="4">
        <v>1</v>
      </c>
      <c r="K2" s="2">
        <f>Table22345678910111213141516[[#This Row],[APP]]/Table22345678910111213141516[[#This Row],[Plays]]</f>
        <v>1</v>
      </c>
      <c r="M2" t="s">
        <v>14</v>
      </c>
      <c r="N2">
        <v>5</v>
      </c>
    </row>
    <row r="3" spans="1:14" x14ac:dyDescent="0.3">
      <c r="A3" t="s">
        <v>295</v>
      </c>
      <c r="B3" t="s">
        <v>15</v>
      </c>
      <c r="C3" t="s">
        <v>293</v>
      </c>
      <c r="D3">
        <v>6.0476189850662401</v>
      </c>
      <c r="E3">
        <v>45.437005828550497</v>
      </c>
      <c r="F3">
        <f>Table22345678910111213141516[[#This Row],[ARIMAPP]]*$N$4+Table22345678910111213141516[[#This Row],[LSTMPP]]*$N$5</f>
        <v>11.303503362178054</v>
      </c>
      <c r="G3" s="2">
        <f>Table22345678910111213141516[[#This Row],[PP]]/$N$2</f>
        <v>2.2607006724356107</v>
      </c>
      <c r="H3" s="4">
        <v>5</v>
      </c>
      <c r="I3" s="4">
        <f>Table22345678910111213141516[[#This Row],[PPG]]*Table22345678910111213141516[[#This Row],[Plays]]</f>
        <v>11.303503362178054</v>
      </c>
      <c r="J3" s="4">
        <v>6</v>
      </c>
      <c r="K3" s="2">
        <f>Table22345678910111213141516[[#This Row],[APP]]/Table22345678910111213141516[[#This Row],[Plays]]</f>
        <v>1.2</v>
      </c>
    </row>
    <row r="4" spans="1:14" x14ac:dyDescent="0.3">
      <c r="A4" t="s">
        <v>189</v>
      </c>
      <c r="B4" t="s">
        <v>15</v>
      </c>
      <c r="C4" t="s">
        <v>293</v>
      </c>
      <c r="D4">
        <v>14</v>
      </c>
      <c r="E4">
        <v>52.434144173578296</v>
      </c>
      <c r="F4">
        <f>Table22345678910111213141516[[#This Row],[ARIMAPP]]*$N$4+Table22345678910111213141516[[#This Row],[LSTMPP]]*$N$5</f>
        <v>15.56002412207771</v>
      </c>
      <c r="G4" s="2">
        <f>Table22345678910111213141516[[#This Row],[PP]]/$N$2</f>
        <v>3.1120048244155418</v>
      </c>
      <c r="H4" s="2">
        <v>3</v>
      </c>
      <c r="I4" s="2">
        <f>Table22345678910111213141516[[#This Row],[PPG]]*Table22345678910111213141516[[#This Row],[Plays]]</f>
        <v>9.3360144732466246</v>
      </c>
      <c r="J4" s="2">
        <v>14</v>
      </c>
      <c r="K4" s="2">
        <f>Table22345678910111213141516[[#This Row],[APP]]/Table22345678910111213141516[[#This Row],[Plays]]</f>
        <v>4.666666666666667</v>
      </c>
      <c r="M4" t="s">
        <v>17</v>
      </c>
      <c r="N4">
        <v>0.35832451747151256</v>
      </c>
    </row>
    <row r="5" spans="1:14" x14ac:dyDescent="0.3">
      <c r="A5" t="s">
        <v>296</v>
      </c>
      <c r="B5" t="s">
        <v>16</v>
      </c>
      <c r="C5" t="s">
        <v>293</v>
      </c>
      <c r="D5">
        <v>19.9999486355606</v>
      </c>
      <c r="E5">
        <v>59.921092221969303</v>
      </c>
      <c r="F5">
        <f>Table22345678910111213141516[[#This Row],[ARIMAPP]]*$N$4+Table22345678910111213141516[[#This Row],[LSTMPP]]*$N$5</f>
        <v>19.215431643308321</v>
      </c>
      <c r="G5" s="2">
        <f>Table22345678910111213141516[[#This Row],[PP]]/$N$2</f>
        <v>3.8430863286616641</v>
      </c>
      <c r="H5" s="4">
        <v>5</v>
      </c>
      <c r="I5" s="4">
        <f>Table22345678910111213141516[[#This Row],[PPG]]*Table22345678910111213141516[[#This Row],[Plays]]</f>
        <v>19.215431643308321</v>
      </c>
      <c r="J5" s="4">
        <v>22</v>
      </c>
      <c r="K5" s="2">
        <f>Table22345678910111213141516[[#This Row],[APP]]/Table22345678910111213141516[[#This Row],[Plays]]</f>
        <v>4.4000000000000004</v>
      </c>
      <c r="M5" t="s">
        <v>20</v>
      </c>
      <c r="N5">
        <v>0.20108044183143972</v>
      </c>
    </row>
    <row r="6" spans="1:14" x14ac:dyDescent="0.3">
      <c r="A6" t="s">
        <v>297</v>
      </c>
      <c r="B6" t="s">
        <v>16</v>
      </c>
      <c r="C6" t="s">
        <v>293</v>
      </c>
      <c r="D6">
        <v>16.9999999890432</v>
      </c>
      <c r="E6">
        <v>52.097252244653497</v>
      </c>
      <c r="F6">
        <f>Table22345678910111213141516[[#This Row],[ARIMAPP]]*$N$4+Table22345678910111213141516[[#This Row],[LSTMPP]]*$N$5</f>
        <v>16.567255292648515</v>
      </c>
      <c r="G6" s="2">
        <f>Table22345678910111213141516[[#This Row],[PP]]/$N$2</f>
        <v>3.313451058529703</v>
      </c>
      <c r="H6" s="2">
        <v>5</v>
      </c>
      <c r="I6" s="2">
        <f>Table22345678910111213141516[[#This Row],[PPG]]*Table22345678910111213141516[[#This Row],[Plays]]</f>
        <v>16.567255292648515</v>
      </c>
      <c r="J6" s="2">
        <v>17</v>
      </c>
      <c r="K6" s="2">
        <f>Table22345678910111213141516[[#This Row],[APP]]/Table22345678910111213141516[[#This Row],[Plays]]</f>
        <v>3.4</v>
      </c>
    </row>
    <row r="7" spans="1:14" x14ac:dyDescent="0.3">
      <c r="A7" t="s">
        <v>298</v>
      </c>
      <c r="B7" t="s">
        <v>19</v>
      </c>
      <c r="C7" t="s">
        <v>293</v>
      </c>
      <c r="D7">
        <v>5.6666607512906797</v>
      </c>
      <c r="E7">
        <v>42.708423354339899</v>
      </c>
      <c r="F7">
        <f>Table22345678910111213141516[[#This Row],[ARIMAPP]]*$N$4+Table22345678910111213141516[[#This Row],[LSTMPP]]*$N$5</f>
        <v>10.618332117395838</v>
      </c>
      <c r="G7" s="2">
        <f>Table22345678910111213141516[[#This Row],[PP]]/$N$2</f>
        <v>2.1236664234791673</v>
      </c>
      <c r="H7" s="4">
        <v>3</v>
      </c>
      <c r="I7" s="4">
        <f>Table22345678910111213141516[[#This Row],[PPG]]*Table22345678910111213141516[[#This Row],[Plays]]</f>
        <v>6.370999270437502</v>
      </c>
      <c r="J7" s="4">
        <v>4</v>
      </c>
      <c r="K7" s="2">
        <f>Table22345678910111213141516[[#This Row],[APP]]/Table22345678910111213141516[[#This Row],[Plays]]</f>
        <v>1.3333333333333333</v>
      </c>
      <c r="M7" t="s">
        <v>22</v>
      </c>
      <c r="N7" cm="1">
        <f t="array" ref="N7">(SUM(Table22345678910111213141516[Tot]-Table22345678910111213141516[APP]))^2</f>
        <v>1.7749370367472766E-30</v>
      </c>
    </row>
    <row r="8" spans="1:14" x14ac:dyDescent="0.3">
      <c r="A8" t="s">
        <v>299</v>
      </c>
      <c r="B8" t="s">
        <v>16</v>
      </c>
      <c r="C8" t="s">
        <v>293</v>
      </c>
      <c r="D8">
        <v>1.42857130728939</v>
      </c>
      <c r="E8">
        <v>40.583267116978902</v>
      </c>
      <c r="F8">
        <f>Table22345678910111213141516[[#This Row],[ARIMAPP]]*$N$4+Table22345678910111213141516[[#This Row],[LSTMPP]]*$N$5</f>
        <v>8.6723934072035753</v>
      </c>
      <c r="G8" s="2">
        <f>Table22345678910111213141516[[#This Row],[PP]]/$N$2</f>
        <v>1.7344786814407152</v>
      </c>
      <c r="H8" s="2">
        <v>1</v>
      </c>
      <c r="I8" s="2">
        <f>Table22345678910111213141516[[#This Row],[PPG]]*Table22345678910111213141516[[#This Row],[Plays]]</f>
        <v>1.7344786814407152</v>
      </c>
      <c r="J8" s="2">
        <v>1</v>
      </c>
      <c r="K8" s="2">
        <f>Table22345678910111213141516[[#This Row],[APP]]/Table22345678910111213141516[[#This Row],[Plays]]</f>
        <v>1</v>
      </c>
    </row>
    <row r="9" spans="1:14" x14ac:dyDescent="0.3">
      <c r="A9" t="s">
        <v>300</v>
      </c>
      <c r="B9" t="s">
        <v>16</v>
      </c>
      <c r="C9" t="s">
        <v>293</v>
      </c>
      <c r="D9">
        <v>49.5306852353742</v>
      </c>
      <c r="E9">
        <v>51.942526436857399</v>
      </c>
      <c r="F9">
        <f>Table22345678910111213141516[[#This Row],[ARIMAPP]]*$N$4+Table22345678910111213141516[[#This Row],[LSTMPP]]*$N$5</f>
        <v>28.192685052763352</v>
      </c>
      <c r="G9" s="2">
        <f>Table22345678910111213141516[[#This Row],[PP]]/$N$2</f>
        <v>5.6385370105526702</v>
      </c>
      <c r="H9" s="2">
        <v>4</v>
      </c>
      <c r="I9" s="2">
        <f>Table22345678910111213141516[[#This Row],[PPG]]*Table22345678910111213141516[[#This Row],[Plays]]</f>
        <v>22.554148042210681</v>
      </c>
      <c r="J9" s="2">
        <v>21</v>
      </c>
      <c r="K9" s="2">
        <f>Table22345678910111213141516[[#This Row],[APP]]/Table22345678910111213141516[[#This Row],[Plays]]</f>
        <v>5.25</v>
      </c>
    </row>
    <row r="10" spans="1:14" x14ac:dyDescent="0.3">
      <c r="A10" t="s">
        <v>301</v>
      </c>
      <c r="B10" t="s">
        <v>16</v>
      </c>
      <c r="C10" t="s">
        <v>293</v>
      </c>
      <c r="D10">
        <v>10</v>
      </c>
      <c r="E10">
        <v>47.070829390203798</v>
      </c>
      <c r="F10">
        <f>Table22345678910111213141516[[#This Row],[ARIMAPP]]*$N$4+Table22345678910111213141516[[#This Row],[LSTMPP]]*$N$5</f>
        <v>13.048268345869623</v>
      </c>
      <c r="G10" s="2">
        <f>Table22345678910111213141516[[#This Row],[PP]]/$N$2</f>
        <v>2.6096536691739245</v>
      </c>
      <c r="H10" s="4">
        <v>3</v>
      </c>
      <c r="I10" s="4">
        <f>Table22345678910111213141516[[#This Row],[PPG]]*Table22345678910111213141516[[#This Row],[Plays]]</f>
        <v>7.828961007521773</v>
      </c>
      <c r="J10" s="4">
        <v>10</v>
      </c>
      <c r="K10" s="2">
        <f>Table22345678910111213141516[[#This Row],[APP]]/Table22345678910111213141516[[#This Row],[Plays]]</f>
        <v>3.3333333333333335</v>
      </c>
    </row>
    <row r="11" spans="1:14" x14ac:dyDescent="0.3">
      <c r="A11" t="s">
        <v>302</v>
      </c>
      <c r="B11" t="s">
        <v>19</v>
      </c>
      <c r="C11" t="s">
        <v>293</v>
      </c>
      <c r="D11">
        <v>33.47619006651</v>
      </c>
      <c r="E11">
        <v>63.796560927605498</v>
      </c>
      <c r="F11">
        <f>Table22345678910111213141516[[#This Row],[ARIMAPP]]*$N$4+Table22345678910111213141516[[#This Row],[LSTMPP]]*$N$5</f>
        <v>24.823580311016116</v>
      </c>
      <c r="G11" s="2">
        <f>Table22345678910111213141516[[#This Row],[PP]]/$N$2</f>
        <v>4.9647160622032231</v>
      </c>
      <c r="H11" s="2">
        <v>4</v>
      </c>
      <c r="I11" s="2">
        <f>Table22345678910111213141516[[#This Row],[PPG]]*Table22345678910111213141516[[#This Row],[Plays]]</f>
        <v>19.858864248812893</v>
      </c>
      <c r="J11" s="2">
        <v>27</v>
      </c>
      <c r="K11" s="2">
        <f>Table22345678910111213141516[[#This Row],[APP]]/Table22345678910111213141516[[#This Row],[Plays]]</f>
        <v>6.75</v>
      </c>
    </row>
    <row r="12" spans="1:14" x14ac:dyDescent="0.3">
      <c r="A12" t="s">
        <v>303</v>
      </c>
      <c r="B12" t="s">
        <v>19</v>
      </c>
      <c r="C12" t="s">
        <v>293</v>
      </c>
      <c r="D12">
        <v>19.4285697864578</v>
      </c>
      <c r="E12">
        <v>54.316318744116899</v>
      </c>
      <c r="F12">
        <f>Table22345678910111213141516[[#This Row],[ARIMAPP]]*$N$4+Table22345678910111213141516[[#This Row],[LSTMPP]]*$N$5</f>
        <v>17.883682265618436</v>
      </c>
      <c r="G12" s="2">
        <f>Table22345678910111213141516[[#This Row],[PP]]/$N$2</f>
        <v>3.5767364531236874</v>
      </c>
      <c r="H12" s="4">
        <v>5</v>
      </c>
      <c r="I12" s="4">
        <f>Table22345678910111213141516[[#This Row],[PPG]]*Table22345678910111213141516[[#This Row],[Plays]]</f>
        <v>17.883682265618436</v>
      </c>
      <c r="J12" s="4">
        <v>17</v>
      </c>
      <c r="K12" s="2">
        <f>Table22345678910111213141516[[#This Row],[APP]]/Table22345678910111213141516[[#This Row],[Plays]]</f>
        <v>3.4</v>
      </c>
    </row>
    <row r="13" spans="1:14" x14ac:dyDescent="0.3">
      <c r="A13" t="s">
        <v>304</v>
      </c>
      <c r="B13" t="s">
        <v>19</v>
      </c>
      <c r="C13" t="s">
        <v>293</v>
      </c>
      <c r="D13">
        <v>15.9999972891749</v>
      </c>
      <c r="E13">
        <v>49.236614219168601</v>
      </c>
      <c r="F13">
        <f>Table22345678910111213141516[[#This Row],[ARIMAPP]]*$N$4+Table22345678910111213141516[[#This Row],[LSTMPP]]*$N$5</f>
        <v>15.633711449663675</v>
      </c>
      <c r="G13" s="2">
        <f>Table22345678910111213141516[[#This Row],[PP]]/$N$2</f>
        <v>3.1267422899327348</v>
      </c>
      <c r="H13" s="2">
        <v>5</v>
      </c>
      <c r="I13" s="2">
        <f>Table22345678910111213141516[[#This Row],[PPG]]*Table22345678910111213141516[[#This Row],[Plays]]</f>
        <v>15.633711449663675</v>
      </c>
      <c r="J13" s="2">
        <v>11</v>
      </c>
      <c r="K13" s="2">
        <f>Table22345678910111213141516[[#This Row],[APP]]/Table22345678910111213141516[[#This Row],[Plays]]</f>
        <v>2.2000000000000002</v>
      </c>
    </row>
    <row r="14" spans="1:14" x14ac:dyDescent="0.3">
      <c r="A14" t="s">
        <v>305</v>
      </c>
      <c r="B14" t="s">
        <v>19</v>
      </c>
      <c r="C14" t="s">
        <v>293</v>
      </c>
      <c r="D14">
        <v>12.9999999713439</v>
      </c>
      <c r="E14">
        <v>51.847530148566399</v>
      </c>
      <c r="F14">
        <f>Table22345678910111213141516[[#This Row],[ARIMAPP]]*$N$4+Table22345678910111213141516[[#This Row],[LSTMPP]]*$N$5</f>
        <v>15.083742987004102</v>
      </c>
      <c r="G14" s="2">
        <f>Table22345678910111213141516[[#This Row],[PP]]/$N$2</f>
        <v>3.0167485974008206</v>
      </c>
      <c r="H14" s="4">
        <v>5</v>
      </c>
      <c r="I14" s="4">
        <f>Table22345678910111213141516[[#This Row],[PPG]]*Table22345678910111213141516[[#This Row],[Plays]]</f>
        <v>15.083742987004102</v>
      </c>
      <c r="J14" s="4">
        <v>13</v>
      </c>
      <c r="K14" s="2">
        <f>Table22345678910111213141516[[#This Row],[APP]]/Table22345678910111213141516[[#This Row],[Plays]]</f>
        <v>2.6</v>
      </c>
    </row>
    <row r="15" spans="1:14" x14ac:dyDescent="0.3">
      <c r="A15" t="s">
        <v>306</v>
      </c>
      <c r="B15" t="s">
        <v>19</v>
      </c>
      <c r="C15" t="s">
        <v>293</v>
      </c>
      <c r="D15">
        <v>12.999999979161</v>
      </c>
      <c r="E15">
        <v>52.911071000930697</v>
      </c>
      <c r="F15">
        <f>Table22345678910111213141516[[#This Row],[ARIMAPP]]*$N$4+Table22345678910111213141516[[#This Row],[LSTMPP]]*$N$5</f>
        <v>15.297600254304362</v>
      </c>
      <c r="G15" s="2">
        <f>Table22345678910111213141516[[#This Row],[PP]]/$N$2</f>
        <v>3.0595200508608724</v>
      </c>
      <c r="H15" s="2">
        <v>5</v>
      </c>
      <c r="I15" s="6">
        <f>Table22345678910111213141516[[#This Row],[PPG]]*Table22345678910111213141516[[#This Row],[Plays]]</f>
        <v>15.297600254304362</v>
      </c>
      <c r="J15" s="2">
        <v>12</v>
      </c>
      <c r="K15" s="6">
        <f>Table22345678910111213141516[[#This Row],[APP]]/Table22345678910111213141516[[#This Row],[Plays]]</f>
        <v>2.4</v>
      </c>
    </row>
    <row r="16" spans="1:14" x14ac:dyDescent="0.3">
      <c r="A16" t="s">
        <v>307</v>
      </c>
      <c r="B16" t="s">
        <v>19</v>
      </c>
      <c r="C16" t="s">
        <v>293</v>
      </c>
      <c r="D16">
        <v>5.9999712334577397</v>
      </c>
      <c r="E16">
        <v>47.517758237112403</v>
      </c>
      <c r="F16">
        <f>Table22345678910111213141516[[#This Row],[ARIMAPP]]*$N$4+Table22345678910111213141516[[#This Row],[LSTMPP]]*$N$5</f>
        <v>11.704828618229797</v>
      </c>
      <c r="G16" s="2">
        <f>Table22345678910111213141516[[#This Row],[PP]]/$N$2</f>
        <v>2.3409657236459593</v>
      </c>
      <c r="H16" s="2">
        <v>3</v>
      </c>
      <c r="I16" s="6">
        <f>Table22345678910111213141516[[#This Row],[PPG]]*Table22345678910111213141516[[#This Row],[Plays]]</f>
        <v>7.0228971709378776</v>
      </c>
      <c r="J16" s="2">
        <v>7</v>
      </c>
      <c r="K16" s="6">
        <f>Table22345678910111213141516[[#This Row],[APP]]/Table22345678910111213141516[[#This Row],[Plays]]</f>
        <v>2.3333333333333335</v>
      </c>
    </row>
    <row r="17" spans="1:11" x14ac:dyDescent="0.3">
      <c r="A17" t="s">
        <v>308</v>
      </c>
      <c r="B17" t="s">
        <v>12</v>
      </c>
      <c r="C17" t="s">
        <v>293</v>
      </c>
      <c r="D17">
        <v>23.999999971082701</v>
      </c>
      <c r="E17">
        <v>59.145045357546898</v>
      </c>
      <c r="F17">
        <f>Table22345678910111213141516[[#This Row],[ARIMAPP]]*$N$4+Table22345678910111213141516[[#This Row],[LSTMPP]]*$N$5</f>
        <v>20.492700261590599</v>
      </c>
      <c r="G17" s="2">
        <f>Table22345678910111213141516[[#This Row],[PP]]/$N$2</f>
        <v>4.0985400523181195</v>
      </c>
      <c r="H17" s="2">
        <v>5</v>
      </c>
      <c r="I17" s="6">
        <f>Table22345678910111213141516[[#This Row],[PPG]]*Table22345678910111213141516[[#This Row],[Plays]]</f>
        <v>20.492700261590599</v>
      </c>
      <c r="J17" s="2">
        <v>24</v>
      </c>
      <c r="K17" s="6">
        <f>Table22345678910111213141516[[#This Row],[APP]]/Table22345678910111213141516[[#This Row],[Plays]]</f>
        <v>4.8</v>
      </c>
    </row>
    <row r="18" spans="1:11" x14ac:dyDescent="0.3">
      <c r="A18" t="s">
        <v>309</v>
      </c>
      <c r="B18" t="s">
        <v>16</v>
      </c>
      <c r="C18" t="s">
        <v>293</v>
      </c>
      <c r="D18">
        <v>14.095241467629201</v>
      </c>
      <c r="E18">
        <v>50.023851657508203</v>
      </c>
      <c r="F18">
        <f>Table22345678910111213141516[[#This Row],[ARIMAPP]]*$N$4+Table22345678910111213141516[[#This Row],[LSTMPP]]*$N$5</f>
        <v>15.109488790934837</v>
      </c>
      <c r="G18" s="2">
        <f>Table22345678910111213141516[[#This Row],[PP]]/$N$2</f>
        <v>3.0218977581869675</v>
      </c>
      <c r="H18" s="2">
        <v>4</v>
      </c>
      <c r="I18" s="6">
        <f>Table22345678910111213141516[[#This Row],[PPG]]*Table22345678910111213141516[[#This Row],[Plays]]</f>
        <v>12.08759103274787</v>
      </c>
      <c r="J18" s="2">
        <v>11</v>
      </c>
      <c r="K18" s="6">
        <f>Table22345678910111213141516[[#This Row],[APP]]/Table22345678910111213141516[[#This Row],[Plays]]</f>
        <v>2.75</v>
      </c>
    </row>
    <row r="19" spans="1:11" x14ac:dyDescent="0.3">
      <c r="A19" t="s">
        <v>310</v>
      </c>
      <c r="B19" t="s">
        <v>19</v>
      </c>
      <c r="C19" t="s">
        <v>293</v>
      </c>
      <c r="D19">
        <v>2.9999999751647302</v>
      </c>
      <c r="E19">
        <v>42.849180875140704</v>
      </c>
      <c r="F19">
        <f>Table22345678910111213141516[[#This Row],[ARIMAPP]]*$N$4+Table22345678910111213141516[[#This Row],[LSTMPP]]*$N$5</f>
        <v>9.6911057660040214</v>
      </c>
      <c r="G19" s="2">
        <f>Table22345678910111213141516[[#This Row],[PP]]/$N$2</f>
        <v>1.9382211532008042</v>
      </c>
      <c r="H19" s="2">
        <v>2</v>
      </c>
      <c r="I19" s="6">
        <f>Table22345678910111213141516[[#This Row],[PPG]]*Table22345678910111213141516[[#This Row],[Plays]]</f>
        <v>3.8764423064016085</v>
      </c>
      <c r="J19" s="2">
        <v>2</v>
      </c>
      <c r="K19" s="6">
        <f>Table22345678910111213141516[[#This Row],[APP]]/Table22345678910111213141516[[#This Row],[Plays]]</f>
        <v>1</v>
      </c>
    </row>
    <row r="20" spans="1:11" x14ac:dyDescent="0.3">
      <c r="A20" t="s">
        <v>311</v>
      </c>
      <c r="B20" t="s">
        <v>15</v>
      </c>
      <c r="C20" t="s">
        <v>293</v>
      </c>
      <c r="D20" s="7">
        <v>-1.2926191640493899E-307</v>
      </c>
      <c r="E20">
        <v>76.797833536073199</v>
      </c>
      <c r="F20">
        <f>Table22345678910111213141516[[#This Row],[ARIMAPP]]*$N$4+Table22345678910111213141516[[#This Row],[LSTMPP]]*$N$5</f>
        <v>15.442542299130958</v>
      </c>
      <c r="G20" s="2">
        <f>Table22345678910111213141516[[#This Row],[PP]]/$N$2</f>
        <v>3.0885084598261914</v>
      </c>
      <c r="H20" s="2">
        <v>1</v>
      </c>
      <c r="I20" s="6">
        <f>Table22345678910111213141516[[#This Row],[PPG]]*Table22345678910111213141516[[#This Row],[Plays]]</f>
        <v>3.0885084598261914</v>
      </c>
      <c r="J20" s="2">
        <v>7</v>
      </c>
      <c r="K20" s="6">
        <f>Table22345678910111213141516[[#This Row],[APP]]/Table22345678910111213141516[[#This Row],[Plays]]</f>
        <v>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D669-7953-44BF-9D1D-34A549CFB81F}">
  <dimension ref="A1:N22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312</v>
      </c>
      <c r="B2" t="s">
        <v>16</v>
      </c>
      <c r="C2" t="s">
        <v>313</v>
      </c>
      <c r="D2">
        <v>11.904782161952401</v>
      </c>
      <c r="E2">
        <v>45.424740858710301</v>
      </c>
      <c r="F2">
        <f>Table2234567891011121314151617[[#This Row],[ARIMAPP]]*$N$4+Table2234567891011121314151617[[#This Row],[LSTMPP]]*$N$5</f>
        <v>10.667398556932323</v>
      </c>
      <c r="G2" s="2">
        <f>Table2234567891011121314151617[[#This Row],[PP]]/$N$2</f>
        <v>2.1334797113864647</v>
      </c>
      <c r="H2" s="2">
        <v>5</v>
      </c>
      <c r="I2" s="2">
        <f>Table2234567891011121314151617[[#This Row],[PPG]]*Table2234567891011121314151617[[#This Row],[Plays]]</f>
        <v>10.667398556932323</v>
      </c>
      <c r="J2" s="2">
        <v>8</v>
      </c>
      <c r="K2" s="3">
        <f>Table2234567891011121314151617[[#This Row],[APP]]/Table2234567891011121314151617[[#This Row],[Plays]]</f>
        <v>1.6</v>
      </c>
      <c r="M2" t="s">
        <v>14</v>
      </c>
      <c r="N2">
        <v>5</v>
      </c>
    </row>
    <row r="3" spans="1:14" x14ac:dyDescent="0.3">
      <c r="A3" t="s">
        <v>88</v>
      </c>
      <c r="B3" t="s">
        <v>16</v>
      </c>
      <c r="C3" t="s">
        <v>313</v>
      </c>
      <c r="D3">
        <v>3.0000003169168599</v>
      </c>
      <c r="E3">
        <v>44.682939120163397</v>
      </c>
      <c r="F3">
        <f>Table2234567891011121314151617[[#This Row],[ARIMAPP]]*$N$4+Table2234567891011121314151617[[#This Row],[LSTMPP]]*$N$5</f>
        <v>7.3025654877034762</v>
      </c>
      <c r="G3" s="2">
        <f>Table2234567891011121314151617[[#This Row],[PP]]/$N$2</f>
        <v>1.4605130975406952</v>
      </c>
      <c r="H3" s="2">
        <v>3</v>
      </c>
      <c r="I3" s="2">
        <f>Table2234567891011121314151617[[#This Row],[PPG]]*Table2234567891011121314151617[[#This Row],[Plays]]</f>
        <v>4.3815392926220857</v>
      </c>
      <c r="J3" s="2">
        <v>4</v>
      </c>
      <c r="K3" s="2">
        <f>Table2234567891011121314151617[[#This Row],[APP]]/Table2234567891011121314151617[[#This Row],[Plays]]</f>
        <v>1.3333333333333333</v>
      </c>
    </row>
    <row r="4" spans="1:14" x14ac:dyDescent="0.3">
      <c r="A4" t="s">
        <v>314</v>
      </c>
      <c r="B4" t="s">
        <v>19</v>
      </c>
      <c r="C4" t="s">
        <v>313</v>
      </c>
      <c r="D4">
        <v>4</v>
      </c>
      <c r="E4">
        <v>40.719089286617297</v>
      </c>
      <c r="F4">
        <f>Table2234567891011121314151617[[#This Row],[ARIMAPP]]*$N$4+Table2234567891011121314151617[[#This Row],[LSTMPP]]*$N$5</f>
        <v>7.1185376553843991</v>
      </c>
      <c r="G4" s="2">
        <f>Table2234567891011121314151617[[#This Row],[PP]]/$N$2</f>
        <v>1.4237075310768799</v>
      </c>
      <c r="H4" s="2">
        <v>2</v>
      </c>
      <c r="I4" s="2">
        <f>Table2234567891011121314151617[[#This Row],[PPG]]*Table2234567891011121314151617[[#This Row],[Plays]]</f>
        <v>2.8474150621537597</v>
      </c>
      <c r="J4" s="2">
        <v>3</v>
      </c>
      <c r="K4" s="2">
        <f>Table2234567891011121314151617[[#This Row],[APP]]/Table2234567891011121314151617[[#This Row],[Plays]]</f>
        <v>1.5</v>
      </c>
      <c r="M4" t="s">
        <v>17</v>
      </c>
      <c r="N4">
        <v>0.36630244120877825</v>
      </c>
    </row>
    <row r="5" spans="1:14" x14ac:dyDescent="0.3">
      <c r="A5" t="s">
        <v>315</v>
      </c>
      <c r="B5" t="s">
        <v>19</v>
      </c>
      <c r="C5" t="s">
        <v>313</v>
      </c>
      <c r="D5">
        <v>1.3809528225765599</v>
      </c>
      <c r="E5">
        <v>42.5182498416059</v>
      </c>
      <c r="F5">
        <f>Table2234567891011121314151617[[#This Row],[ARIMAPP]]*$N$4+Table2234567891011121314151617[[#This Row],[LSTMPP]]*$N$5</f>
        <v>6.4089648512010875</v>
      </c>
      <c r="G5" s="2">
        <f>Table2234567891011121314151617[[#This Row],[PP]]/$N$2</f>
        <v>1.2817929702402175</v>
      </c>
      <c r="H5" s="2">
        <v>1</v>
      </c>
      <c r="I5" s="2">
        <f>Table2234567891011121314151617[[#This Row],[PPG]]*Table2234567891011121314151617[[#This Row],[Plays]]</f>
        <v>1.2817929702402175</v>
      </c>
      <c r="J5" s="2">
        <v>1</v>
      </c>
      <c r="K5" s="2">
        <f>Table2234567891011121314151617[[#This Row],[APP]]/Table2234567891011121314151617[[#This Row],[Plays]]</f>
        <v>1</v>
      </c>
      <c r="M5" t="s">
        <v>20</v>
      </c>
      <c r="N5">
        <v>0.13883728711995785</v>
      </c>
    </row>
    <row r="6" spans="1:14" x14ac:dyDescent="0.3">
      <c r="A6" t="s">
        <v>316</v>
      </c>
      <c r="B6" t="s">
        <v>16</v>
      </c>
      <c r="C6" t="s">
        <v>313</v>
      </c>
      <c r="D6">
        <v>18.695630140986999</v>
      </c>
      <c r="E6">
        <v>46.243421319200898</v>
      </c>
      <c r="F6">
        <f>Table2234567891011121314151617[[#This Row],[ARIMAPP]]*$N$4+Table2234567891011121314151617[[#This Row],[LSTMPP]]*$N$5</f>
        <v>13.268566123683028</v>
      </c>
      <c r="G6" s="2">
        <f>Table2234567891011121314151617[[#This Row],[PP]]/$N$2</f>
        <v>2.6537132247366055</v>
      </c>
      <c r="H6" s="2">
        <v>5</v>
      </c>
      <c r="I6" s="2">
        <f>Table2234567891011121314151617[[#This Row],[PPG]]*Table2234567891011121314151617[[#This Row],[Plays]]</f>
        <v>13.268566123683028</v>
      </c>
      <c r="J6" s="2">
        <v>7</v>
      </c>
      <c r="K6" s="2">
        <f>Table2234567891011121314151617[[#This Row],[APP]]/Table2234567891011121314151617[[#This Row],[Plays]]</f>
        <v>1.4</v>
      </c>
    </row>
    <row r="7" spans="1:14" x14ac:dyDescent="0.3">
      <c r="A7" t="s">
        <v>317</v>
      </c>
      <c r="B7" t="s">
        <v>19</v>
      </c>
      <c r="C7" t="s">
        <v>313</v>
      </c>
      <c r="D7">
        <v>8</v>
      </c>
      <c r="E7">
        <v>49.914007862794598</v>
      </c>
      <c r="F7">
        <f>Table2234567891011121314151617[[#This Row],[ARIMAPP]]*$N$4+Table2234567891011121314151617[[#This Row],[LSTMPP]]*$N$5</f>
        <v>9.8603449706248743</v>
      </c>
      <c r="G7" s="2">
        <f>Table2234567891011121314151617[[#This Row],[PP]]/$N$2</f>
        <v>1.9720689941249749</v>
      </c>
      <c r="H7" s="2">
        <v>3</v>
      </c>
      <c r="I7" s="2">
        <f>Table2234567891011121314151617[[#This Row],[PPG]]*Table2234567891011121314151617[[#This Row],[Plays]]</f>
        <v>5.9162069823749253</v>
      </c>
      <c r="J7" s="2">
        <v>8</v>
      </c>
      <c r="K7" s="2">
        <f>Table2234567891011121314151617[[#This Row],[APP]]/Table2234567891011121314151617[[#This Row],[Plays]]</f>
        <v>2.6666666666666665</v>
      </c>
      <c r="M7" t="s">
        <v>22</v>
      </c>
      <c r="N7" cm="1">
        <f t="array" ref="N7">(SUM(Table2234567891011121314151617[Tot]-Table2234567891011121314151617[APP]))^2</f>
        <v>6.1846694969327326E-28</v>
      </c>
    </row>
    <row r="8" spans="1:14" x14ac:dyDescent="0.3">
      <c r="A8" t="s">
        <v>318</v>
      </c>
      <c r="B8" t="s">
        <v>16</v>
      </c>
      <c r="C8" t="s">
        <v>313</v>
      </c>
      <c r="D8">
        <v>10.857152324998999</v>
      </c>
      <c r="E8">
        <v>46.774872781984399</v>
      </c>
      <c r="F8">
        <f>Table2234567891011121314151617[[#This Row],[ARIMAPP]]*$N$4+Table2234567891011121314151617[[#This Row],[LSTMPP]]*$N$5</f>
        <v>10.471097843654565</v>
      </c>
      <c r="G8" s="2">
        <f>Table2234567891011121314151617[[#This Row],[PP]]/$N$2</f>
        <v>2.0942195687309129</v>
      </c>
      <c r="H8" s="4">
        <v>5</v>
      </c>
      <c r="I8" s="4">
        <f>Table2234567891011121314151617[[#This Row],[PPG]]*Table2234567891011121314151617[[#This Row],[Plays]]</f>
        <v>10.471097843654565</v>
      </c>
      <c r="J8" s="4">
        <v>7</v>
      </c>
      <c r="K8" s="2">
        <f>Table2234567891011121314151617[[#This Row],[APP]]/Table2234567891011121314151617[[#This Row],[Plays]]</f>
        <v>1.4</v>
      </c>
    </row>
    <row r="9" spans="1:14" x14ac:dyDescent="0.3">
      <c r="A9" t="s">
        <v>319</v>
      </c>
      <c r="B9" t="s">
        <v>15</v>
      </c>
      <c r="C9" t="s">
        <v>313</v>
      </c>
      <c r="D9">
        <v>4</v>
      </c>
      <c r="E9">
        <v>40.423693924745599</v>
      </c>
      <c r="F9">
        <f>Table2234567891011121314151617[[#This Row],[ARIMAPP]]*$N$4+Table2234567891011121314151617[[#This Row],[LSTMPP]]*$N$5</f>
        <v>7.0775257647143137</v>
      </c>
      <c r="G9" s="2">
        <f>Table2234567891011121314151617[[#This Row],[PP]]/$N$2</f>
        <v>1.4155051529428628</v>
      </c>
      <c r="H9" s="2">
        <v>3</v>
      </c>
      <c r="I9" s="2">
        <f>Table2234567891011121314151617[[#This Row],[PPG]]*Table2234567891011121314151617[[#This Row],[Plays]]</f>
        <v>4.2465154588285881</v>
      </c>
      <c r="J9" s="2">
        <v>3</v>
      </c>
      <c r="K9" s="2">
        <f>Table2234567891011121314151617[[#This Row],[APP]]/Table2234567891011121314151617[[#This Row],[Plays]]</f>
        <v>1</v>
      </c>
    </row>
    <row r="10" spans="1:14" x14ac:dyDescent="0.3">
      <c r="A10" t="s">
        <v>320</v>
      </c>
      <c r="B10" t="s">
        <v>15</v>
      </c>
      <c r="C10" t="s">
        <v>313</v>
      </c>
      <c r="D10">
        <v>17.333345545273399</v>
      </c>
      <c r="E10">
        <v>50.591145930944599</v>
      </c>
      <c r="F10">
        <f>Table2234567891011121314151617[[#This Row],[ARIMAPP]]*$N$4+Table2234567891011121314151617[[#This Row],[LSTMPP]]*$N$5</f>
        <v>13.373184240891192</v>
      </c>
      <c r="G10" s="2">
        <f>Table2234567891011121314151617[[#This Row],[PP]]/$N$2</f>
        <v>2.6746368481782383</v>
      </c>
      <c r="H10" s="4">
        <v>5</v>
      </c>
      <c r="I10" s="4">
        <f>Table2234567891011121314151617[[#This Row],[PPG]]*Table2234567891011121314151617[[#This Row],[Plays]]</f>
        <v>13.373184240891192</v>
      </c>
      <c r="J10" s="4">
        <v>14</v>
      </c>
      <c r="K10" s="2">
        <f>Table2234567891011121314151617[[#This Row],[APP]]/Table2234567891011121314151617[[#This Row],[Plays]]</f>
        <v>2.8</v>
      </c>
    </row>
    <row r="11" spans="1:14" x14ac:dyDescent="0.3">
      <c r="A11" t="s">
        <v>321</v>
      </c>
      <c r="B11" t="s">
        <v>15</v>
      </c>
      <c r="C11" t="s">
        <v>313</v>
      </c>
      <c r="D11">
        <v>16.095235116487199</v>
      </c>
      <c r="E11">
        <v>52.250965797322699</v>
      </c>
      <c r="F11">
        <f>Table2234567891011121314151617[[#This Row],[ARIMAPP]]*$N$4+Table2234567891011121314151617[[#This Row],[LSTMPP]]*$N$5</f>
        <v>13.150106255696505</v>
      </c>
      <c r="G11" s="2">
        <f>Table2234567891011121314151617[[#This Row],[PP]]/$N$2</f>
        <v>2.6300212511393011</v>
      </c>
      <c r="H11" s="2">
        <v>5</v>
      </c>
      <c r="I11" s="2">
        <f>Table2234567891011121314151617[[#This Row],[PPG]]*Table2234567891011121314151617[[#This Row],[Plays]]</f>
        <v>13.150106255696505</v>
      </c>
      <c r="J11" s="2">
        <v>13</v>
      </c>
      <c r="K11" s="2">
        <f>Table2234567891011121314151617[[#This Row],[APP]]/Table2234567891011121314151617[[#This Row],[Plays]]</f>
        <v>2.6</v>
      </c>
    </row>
    <row r="12" spans="1:14" x14ac:dyDescent="0.3">
      <c r="A12" t="s">
        <v>236</v>
      </c>
      <c r="B12" t="s">
        <v>12</v>
      </c>
      <c r="C12" t="s">
        <v>313</v>
      </c>
      <c r="D12">
        <v>37.190476905733099</v>
      </c>
      <c r="E12">
        <v>60.135745933669597</v>
      </c>
      <c r="F12">
        <f>Table2234567891011121314151617[[#This Row],[ARIMAPP]]*$N$4+Table2234567891011121314151617[[#This Row],[LSTMPP]]*$N$5</f>
        <v>21.972046304654448</v>
      </c>
      <c r="G12" s="2">
        <f>Table2234567891011121314151617[[#This Row],[PP]]/$N$2</f>
        <v>4.3944092609308898</v>
      </c>
      <c r="H12" s="4">
        <v>5</v>
      </c>
      <c r="I12" s="4">
        <f>Table2234567891011121314151617[[#This Row],[PPG]]*Table2234567891011121314151617[[#This Row],[Plays]]</f>
        <v>21.972046304654448</v>
      </c>
      <c r="J12" s="4">
        <v>30</v>
      </c>
      <c r="K12" s="2">
        <f>Table2234567891011121314151617[[#This Row],[APP]]/Table2234567891011121314151617[[#This Row],[Plays]]</f>
        <v>6</v>
      </c>
    </row>
    <row r="13" spans="1:14" x14ac:dyDescent="0.3">
      <c r="A13" t="s">
        <v>322</v>
      </c>
      <c r="B13" t="s">
        <v>16</v>
      </c>
      <c r="C13" t="s">
        <v>313</v>
      </c>
      <c r="D13">
        <v>0.23809446712725299</v>
      </c>
      <c r="E13">
        <v>40.9633549765175</v>
      </c>
      <c r="F13">
        <f>Table2234567891011121314151617[[#This Row],[ARIMAPP]]*$N$4+Table2234567891011121314151617[[#This Row],[LSTMPP]]*$N$5</f>
        <v>5.7744556608185302</v>
      </c>
      <c r="G13" s="5">
        <f>Table2234567891011121314151617[[#This Row],[PP]]/$N$2</f>
        <v>1.1548911321637061</v>
      </c>
      <c r="H13" s="5">
        <v>1</v>
      </c>
      <c r="I13" s="5">
        <f>Table2234567891011121314151617[[#This Row],[PPG]]*Table2234567891011121314151617[[#This Row],[Plays]]</f>
        <v>1.1548911321637061</v>
      </c>
      <c r="J13" s="5">
        <v>1</v>
      </c>
      <c r="K13" s="5">
        <f>Table2234567891011121314151617[[#This Row],[APP]]/Table2234567891011121314151617[[#This Row],[Plays]]</f>
        <v>1</v>
      </c>
    </row>
    <row r="14" spans="1:14" x14ac:dyDescent="0.3">
      <c r="A14" t="s">
        <v>323</v>
      </c>
      <c r="B14" t="s">
        <v>19</v>
      </c>
      <c r="C14" t="s">
        <v>313</v>
      </c>
      <c r="D14">
        <v>7.9999999871956398</v>
      </c>
      <c r="E14">
        <v>46.371544142889597</v>
      </c>
      <c r="F14">
        <f>Table2234567891011121314151617[[#This Row],[ARIMAPP]]*$N$4+Table2234567891011121314151617[[#This Row],[LSTMPP]]*$N$5</f>
        <v>9.3685189133421201</v>
      </c>
      <c r="G14" s="6">
        <f>Table2234567891011121314151617[[#This Row],[PP]]/$N$2</f>
        <v>1.873703782668424</v>
      </c>
      <c r="H14" s="2">
        <v>5</v>
      </c>
      <c r="I14" s="6">
        <f>Table2234567891011121314151617[[#This Row],[PPG]]*Table2234567891011121314151617[[#This Row],[Plays]]</f>
        <v>9.3685189133421201</v>
      </c>
      <c r="J14" s="2">
        <v>8</v>
      </c>
      <c r="K14" s="6">
        <f>Table2234567891011121314151617[[#This Row],[APP]]/Table2234567891011121314151617[[#This Row],[Plays]]</f>
        <v>1.6</v>
      </c>
    </row>
    <row r="15" spans="1:14" x14ac:dyDescent="0.3">
      <c r="A15" t="s">
        <v>324</v>
      </c>
      <c r="B15" t="s">
        <v>16</v>
      </c>
      <c r="C15" t="s">
        <v>313</v>
      </c>
      <c r="D15">
        <v>9.1904825109354498</v>
      </c>
      <c r="E15">
        <v>45.031714114825803</v>
      </c>
      <c r="F15">
        <f>Table2234567891011121314151617[[#This Row],[ARIMAPP]]*$N$4+Table2234567891011121314151617[[#This Row],[LSTMPP]]*$N$5</f>
        <v>9.6185772017061666</v>
      </c>
      <c r="G15" s="6">
        <f>Table2234567891011121314151617[[#This Row],[PP]]/$N$2</f>
        <v>1.9237154403412333</v>
      </c>
      <c r="H15" s="2">
        <v>2</v>
      </c>
      <c r="I15" s="6">
        <f>Table2234567891011121314151617[[#This Row],[PPG]]*Table2234567891011121314151617[[#This Row],[Plays]]</f>
        <v>3.8474308806824666</v>
      </c>
      <c r="J15" s="2">
        <v>7</v>
      </c>
      <c r="K15" s="6">
        <f>Table2234567891011121314151617[[#This Row],[APP]]/Table2234567891011121314151617[[#This Row],[Plays]]</f>
        <v>3.5</v>
      </c>
    </row>
    <row r="16" spans="1:14" x14ac:dyDescent="0.3">
      <c r="A16" t="s">
        <v>325</v>
      </c>
      <c r="B16" t="s">
        <v>16</v>
      </c>
      <c r="C16" t="s">
        <v>313</v>
      </c>
      <c r="D16">
        <v>14.714288685415699</v>
      </c>
      <c r="E16">
        <v>50.322369561888003</v>
      </c>
      <c r="F16">
        <f>Table2234567891011121314151617[[#This Row],[ARIMAPP]]*$N$4+Table2234567891011121314151617[[#This Row],[LSTMPP]]*$N$5</f>
        <v>12.376501137538948</v>
      </c>
      <c r="G16" s="6">
        <f>Table2234567891011121314151617[[#This Row],[PP]]/$N$2</f>
        <v>2.4753002275077898</v>
      </c>
      <c r="H16" s="2">
        <v>5</v>
      </c>
      <c r="I16" s="6">
        <f>Table2234567891011121314151617[[#This Row],[PPG]]*Table2234567891011121314151617[[#This Row],[Plays]]</f>
        <v>12.376501137538948</v>
      </c>
      <c r="J16" s="2">
        <v>12</v>
      </c>
      <c r="K16" s="6">
        <f>Table2234567891011121314151617[[#This Row],[APP]]/Table2234567891011121314151617[[#This Row],[Plays]]</f>
        <v>2.4</v>
      </c>
    </row>
    <row r="17" spans="1:11" x14ac:dyDescent="0.3">
      <c r="A17" t="s">
        <v>326</v>
      </c>
      <c r="B17" t="s">
        <v>19</v>
      </c>
      <c r="C17" t="s">
        <v>313</v>
      </c>
      <c r="D17">
        <v>1.1666666666666601</v>
      </c>
      <c r="E17">
        <v>49.980669506061801</v>
      </c>
      <c r="F17">
        <f>Table2234567891011121314151617[[#This Row],[ARIMAPP]]*$N$4+Table2234567891011121314151617[[#This Row],[LSTMPP]]*$N$5</f>
        <v>7.3665334107377296</v>
      </c>
      <c r="G17" s="6">
        <f>Table2234567891011121314151617[[#This Row],[PP]]/$N$2</f>
        <v>1.473306682147546</v>
      </c>
      <c r="H17" s="2">
        <v>5</v>
      </c>
      <c r="I17" s="6">
        <f>Table2234567891011121314151617[[#This Row],[PPG]]*Table2234567891011121314151617[[#This Row],[Plays]]</f>
        <v>7.3665334107377305</v>
      </c>
      <c r="J17" s="2">
        <v>9</v>
      </c>
      <c r="K17" s="6">
        <f>Table2234567891011121314151617[[#This Row],[APP]]/Table2234567891011121314151617[[#This Row],[Plays]]</f>
        <v>1.8</v>
      </c>
    </row>
    <row r="18" spans="1:11" x14ac:dyDescent="0.3">
      <c r="A18" t="s">
        <v>327</v>
      </c>
      <c r="B18" t="s">
        <v>19</v>
      </c>
      <c r="C18" t="s">
        <v>313</v>
      </c>
      <c r="D18">
        <v>12.9999999985671</v>
      </c>
      <c r="E18">
        <v>50.642070978737003</v>
      </c>
      <c r="F18">
        <f>Table2234567891011121314151617[[#This Row],[ARIMAPP]]*$N$4+Table2234567891011121314151617[[#This Row],[LSTMPP]]*$N$5</f>
        <v>11.792939484013438</v>
      </c>
      <c r="G18" s="6">
        <f>Table2234567891011121314151617[[#This Row],[PP]]/$N$2</f>
        <v>2.3585878968026877</v>
      </c>
      <c r="H18" s="2">
        <v>4</v>
      </c>
      <c r="I18" s="6">
        <f>Table2234567891011121314151617[[#This Row],[PPG]]*Table2234567891011121314151617[[#This Row],[Plays]]</f>
        <v>9.4343515872107506</v>
      </c>
      <c r="J18" s="2">
        <v>13</v>
      </c>
      <c r="K18" s="6">
        <f>Table2234567891011121314151617[[#This Row],[APP]]/Table2234567891011121314151617[[#This Row],[Plays]]</f>
        <v>3.25</v>
      </c>
    </row>
    <row r="19" spans="1:11" x14ac:dyDescent="0.3">
      <c r="A19" t="s">
        <v>328</v>
      </c>
      <c r="B19" t="s">
        <v>19</v>
      </c>
      <c r="C19" t="s">
        <v>313</v>
      </c>
      <c r="D19">
        <v>6</v>
      </c>
      <c r="E19">
        <v>44.007912008854198</v>
      </c>
      <c r="F19">
        <f>Table2234567891011121314151617[[#This Row],[ARIMAPP]]*$N$4+Table2234567891011121314151617[[#This Row],[LSTMPP]]*$N$5</f>
        <v>8.3077537623757998</v>
      </c>
      <c r="G19" s="6">
        <f>Table2234567891011121314151617[[#This Row],[PP]]/$N$2</f>
        <v>1.66155075247516</v>
      </c>
      <c r="H19" s="2">
        <v>3</v>
      </c>
      <c r="I19" s="6">
        <f>Table2234567891011121314151617[[#This Row],[PPG]]*Table2234567891011121314151617[[#This Row],[Plays]]</f>
        <v>4.9846522574254806</v>
      </c>
      <c r="J19" s="2">
        <v>5</v>
      </c>
      <c r="K19" s="6">
        <f>Table2234567891011121314151617[[#This Row],[APP]]/Table2234567891011121314151617[[#This Row],[Plays]]</f>
        <v>1.6666666666666667</v>
      </c>
    </row>
    <row r="20" spans="1:11" x14ac:dyDescent="0.3">
      <c r="A20" t="s">
        <v>329</v>
      </c>
      <c r="B20" t="s">
        <v>19</v>
      </c>
      <c r="C20" t="s">
        <v>313</v>
      </c>
      <c r="D20">
        <v>5.4999997871236603</v>
      </c>
      <c r="E20">
        <v>48.566999679902302</v>
      </c>
      <c r="F20">
        <f>Table2234567891011121314151617[[#This Row],[ARIMAPP]]*$N$4+Table2234567891011121314151617[[#This Row],[LSTMPP]]*$N$5</f>
        <v>8.757573827784654</v>
      </c>
      <c r="G20" s="6">
        <f>Table2234567891011121314151617[[#This Row],[PP]]/$N$2</f>
        <v>1.7515147655569308</v>
      </c>
      <c r="H20" s="2">
        <v>2</v>
      </c>
      <c r="I20" s="6">
        <f>Table2234567891011121314151617[[#This Row],[PPG]]*Table2234567891011121314151617[[#This Row],[Plays]]</f>
        <v>3.5030295311138615</v>
      </c>
      <c r="J20" s="2">
        <v>3</v>
      </c>
      <c r="K20" s="6">
        <f>Table2234567891011121314151617[[#This Row],[APP]]/Table2234567891011121314151617[[#This Row],[Plays]]</f>
        <v>1.5</v>
      </c>
    </row>
    <row r="21" spans="1:11" x14ac:dyDescent="0.3">
      <c r="A21" t="s">
        <v>330</v>
      </c>
      <c r="B21" t="s">
        <v>19</v>
      </c>
      <c r="C21" t="s">
        <v>313</v>
      </c>
      <c r="D21">
        <v>1.90476345107031</v>
      </c>
      <c r="E21">
        <v>43.018466271510597</v>
      </c>
      <c r="F21">
        <f>Table2234567891011121314151617[[#This Row],[ARIMAPP]]*$N$4+Table2234567891011121314151617[[#This Row],[LSTMPP]]*$N$5</f>
        <v>6.6702866552502513</v>
      </c>
      <c r="G21" s="6">
        <f>Table2234567891011121314151617[[#This Row],[PP]]/$N$2</f>
        <v>1.3340573310500503</v>
      </c>
      <c r="H21" s="2">
        <v>3</v>
      </c>
      <c r="I21" s="6">
        <f>Table2234567891011121314151617[[#This Row],[PPG]]*Table2234567891011121314151617[[#This Row],[Plays]]</f>
        <v>4.0021719931501512</v>
      </c>
      <c r="J21" s="2">
        <v>3</v>
      </c>
      <c r="K21" s="6">
        <f>Table2234567891011121314151617[[#This Row],[APP]]/Table2234567891011121314151617[[#This Row],[Plays]]</f>
        <v>1</v>
      </c>
    </row>
    <row r="22" spans="1:11" x14ac:dyDescent="0.3">
      <c r="A22" t="s">
        <v>97</v>
      </c>
      <c r="B22" t="s">
        <v>15</v>
      </c>
      <c r="C22" t="s">
        <v>313</v>
      </c>
      <c r="D22">
        <v>1.0476190057723</v>
      </c>
      <c r="E22">
        <v>40.200870232823597</v>
      </c>
      <c r="F22">
        <f>Table2234567891011121314151617[[#This Row],[ARIMAPP]]*$N$4+Table2234567891011121314151617[[#This Row],[LSTMPP]]*$N$5</f>
        <v>5.9651251622578041</v>
      </c>
      <c r="G22" s="6">
        <f>Table2234567891011121314151617[[#This Row],[PP]]/$N$2</f>
        <v>1.1930250324515608</v>
      </c>
      <c r="H22" s="2">
        <v>2</v>
      </c>
      <c r="I22" s="6">
        <f>Table2234567891011121314151617[[#This Row],[PPG]]*Table2234567891011121314151617[[#This Row],[Plays]]</f>
        <v>2.3860500649031215</v>
      </c>
      <c r="J22" s="2">
        <v>1</v>
      </c>
      <c r="K22" s="6">
        <f>Table2234567891011121314151617[[#This Row],[APP]]/Table2234567891011121314151617[[#This Row],[Plays]]</f>
        <v>0.5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542B-807E-4572-84AA-A28FC82F7E69}">
  <dimension ref="A1:N18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332</v>
      </c>
      <c r="B2" t="s">
        <v>19</v>
      </c>
      <c r="C2" t="s">
        <v>331</v>
      </c>
      <c r="D2">
        <v>17.333335448565499</v>
      </c>
      <c r="E2">
        <v>53.576661906626597</v>
      </c>
      <c r="F2">
        <f>Table223456789101112131415161718[[#This Row],[ARIMAPP]]*$N$4+Table223456789101112131415161718[[#This Row],[LSTMPP]]*$N$5</f>
        <v>14.570771983578819</v>
      </c>
      <c r="G2" s="2">
        <f>Table223456789101112131415161718[[#This Row],[PP]]/$N$2</f>
        <v>2.9141543967157637</v>
      </c>
      <c r="H2" s="4">
        <v>5</v>
      </c>
      <c r="I2" s="4">
        <f>Table223456789101112131415161718[[#This Row],[PPG]]*Table223456789101112131415161718[[#This Row],[Plays]]</f>
        <v>14.570771983578819</v>
      </c>
      <c r="J2" s="4">
        <v>13</v>
      </c>
      <c r="K2" s="2">
        <f>Table223456789101112131415161718[[#This Row],[APP]]/Table223456789101112131415161718[[#This Row],[Plays]]</f>
        <v>2.6</v>
      </c>
      <c r="M2" t="s">
        <v>14</v>
      </c>
      <c r="N2">
        <v>5</v>
      </c>
    </row>
    <row r="3" spans="1:14" x14ac:dyDescent="0.3">
      <c r="A3" t="s">
        <v>333</v>
      </c>
      <c r="B3" t="s">
        <v>19</v>
      </c>
      <c r="C3" t="s">
        <v>331</v>
      </c>
      <c r="D3">
        <v>0</v>
      </c>
      <c r="E3">
        <v>40.875037556860498</v>
      </c>
      <c r="F3">
        <f>Table223456789101112131415161718[[#This Row],[ARIMAPP]]*$N$4+Table223456789101112131415161718[[#This Row],[LSTMPP]]*$N$5</f>
        <v>6.2857068554023785</v>
      </c>
      <c r="G3" s="2">
        <f>Table223456789101112131415161718[[#This Row],[PP]]/$N$2</f>
        <v>1.2571413710804757</v>
      </c>
      <c r="H3" s="4">
        <v>1</v>
      </c>
      <c r="I3" s="4">
        <f>Table223456789101112131415161718[[#This Row],[PPG]]*Table223456789101112131415161718[[#This Row],[Plays]]</f>
        <v>1.2571413710804757</v>
      </c>
      <c r="J3" s="4">
        <v>1</v>
      </c>
      <c r="K3" s="2">
        <f>Table223456789101112131415161718[[#This Row],[APP]]/Table223456789101112131415161718[[#This Row],[Plays]]</f>
        <v>1</v>
      </c>
    </row>
    <row r="4" spans="1:14" x14ac:dyDescent="0.3">
      <c r="A4" t="s">
        <v>334</v>
      </c>
      <c r="B4" t="s">
        <v>19</v>
      </c>
      <c r="C4" t="s">
        <v>331</v>
      </c>
      <c r="D4">
        <v>4.9999999880258503</v>
      </c>
      <c r="E4">
        <v>44.518327954018403</v>
      </c>
      <c r="F4">
        <f>Table223456789101112131415161718[[#This Row],[ARIMAPP]]*$N$4+Table223456789101112131415161718[[#This Row],[LSTMPP]]*$N$5</f>
        <v>8.672455316113485</v>
      </c>
      <c r="G4" s="2">
        <f>Table223456789101112131415161718[[#This Row],[PP]]/$N$2</f>
        <v>1.7344910632226971</v>
      </c>
      <c r="H4" s="2">
        <v>4</v>
      </c>
      <c r="I4" s="2">
        <f>Table223456789101112131415161718[[#This Row],[PPG]]*Table223456789101112131415161718[[#This Row],[Plays]]</f>
        <v>6.9379642528907883</v>
      </c>
      <c r="J4" s="2">
        <v>5</v>
      </c>
      <c r="K4" s="2">
        <f>Table223456789101112131415161718[[#This Row],[APP]]/Table223456789101112131415161718[[#This Row],[Plays]]</f>
        <v>1.25</v>
      </c>
      <c r="M4" t="s">
        <v>17</v>
      </c>
      <c r="N4">
        <v>0.36529765933374841</v>
      </c>
    </row>
    <row r="5" spans="1:14" x14ac:dyDescent="0.3">
      <c r="A5" t="s">
        <v>335</v>
      </c>
      <c r="B5" t="s">
        <v>19</v>
      </c>
      <c r="C5" t="s">
        <v>331</v>
      </c>
      <c r="D5">
        <v>7.99999998615053</v>
      </c>
      <c r="E5">
        <v>46.446396701267503</v>
      </c>
      <c r="F5">
        <f>Table223456789101112131415161718[[#This Row],[ARIMAPP]]*$N$4+Table223456789101112131415161718[[#This Row],[LSTMPP]]*$N$5</f>
        <v>10.064844044055274</v>
      </c>
      <c r="G5" s="2">
        <f>Table223456789101112131415161718[[#This Row],[PP]]/$N$2</f>
        <v>2.0129688088110549</v>
      </c>
      <c r="H5" s="4">
        <v>4</v>
      </c>
      <c r="I5" s="4">
        <f>Table223456789101112131415161718[[#This Row],[PPG]]*Table223456789101112131415161718[[#This Row],[Plays]]</f>
        <v>8.0518752352442196</v>
      </c>
      <c r="J5" s="4">
        <v>7</v>
      </c>
      <c r="K5" s="2">
        <f>Table223456789101112131415161718[[#This Row],[APP]]/Table223456789101112131415161718[[#This Row],[Plays]]</f>
        <v>1.75</v>
      </c>
      <c r="M5" t="s">
        <v>20</v>
      </c>
      <c r="N5">
        <v>0.15377861969321618</v>
      </c>
    </row>
    <row r="6" spans="1:14" x14ac:dyDescent="0.3">
      <c r="A6" t="s">
        <v>336</v>
      </c>
      <c r="B6" t="s">
        <v>19</v>
      </c>
      <c r="C6" t="s">
        <v>331</v>
      </c>
      <c r="D6">
        <v>22</v>
      </c>
      <c r="E6">
        <v>57.063651779310703</v>
      </c>
      <c r="F6">
        <f>Table223456789101112131415161718[[#This Row],[ARIMAPP]]*$N$4+Table223456789101112131415161718[[#This Row],[LSTMPP]]*$N$5</f>
        <v>16.811718110619204</v>
      </c>
      <c r="G6" s="2">
        <f>Table223456789101112131415161718[[#This Row],[PP]]/$N$2</f>
        <v>3.3623436221238405</v>
      </c>
      <c r="H6" s="2">
        <v>5</v>
      </c>
      <c r="I6" s="2">
        <f>Table223456789101112131415161718[[#This Row],[PPG]]*Table223456789101112131415161718[[#This Row],[Plays]]</f>
        <v>16.811718110619204</v>
      </c>
      <c r="J6" s="2">
        <v>21</v>
      </c>
      <c r="K6" s="2">
        <f>Table223456789101112131415161718[[#This Row],[APP]]/Table223456789101112131415161718[[#This Row],[Plays]]</f>
        <v>4.2</v>
      </c>
    </row>
    <row r="7" spans="1:14" x14ac:dyDescent="0.3">
      <c r="A7" t="s">
        <v>337</v>
      </c>
      <c r="B7" t="s">
        <v>15</v>
      </c>
      <c r="C7" t="s">
        <v>331</v>
      </c>
      <c r="D7">
        <v>13.5238157534137</v>
      </c>
      <c r="E7">
        <v>56.374541602798303</v>
      </c>
      <c r="F7">
        <f>Table223456789101112131415161718[[#This Row],[ARIMAPP]]*$N$4+Table223456789101112131415161718[[#This Row],[LSTMPP]]*$N$5</f>
        <v>13.609417433499011</v>
      </c>
      <c r="G7" s="2">
        <f>Table223456789101112131415161718[[#This Row],[PP]]/$N$2</f>
        <v>2.7218834866998023</v>
      </c>
      <c r="H7" s="4">
        <v>5</v>
      </c>
      <c r="I7" s="4">
        <f>Table223456789101112131415161718[[#This Row],[PPG]]*Table223456789101112131415161718[[#This Row],[Plays]]</f>
        <v>13.609417433499011</v>
      </c>
      <c r="J7" s="4">
        <v>18</v>
      </c>
      <c r="K7" s="2">
        <f>Table223456789101112131415161718[[#This Row],[APP]]/Table223456789101112131415161718[[#This Row],[Plays]]</f>
        <v>3.6</v>
      </c>
      <c r="M7" t="s">
        <v>22</v>
      </c>
      <c r="N7" cm="1">
        <f t="array" ref="N7">(SUM(Table223456789101112131415161718[Tot]-Table223456789101112131415161718[APP]))^2</f>
        <v>2.0194839173657902E-28</v>
      </c>
    </row>
    <row r="8" spans="1:14" x14ac:dyDescent="0.3">
      <c r="A8" t="s">
        <v>338</v>
      </c>
      <c r="B8" t="s">
        <v>16</v>
      </c>
      <c r="C8" t="s">
        <v>331</v>
      </c>
      <c r="D8">
        <v>15.095237891759499</v>
      </c>
      <c r="E8">
        <v>51.168618389995103</v>
      </c>
      <c r="F8">
        <f>Table223456789101112131415161718[[#This Row],[ARIMAPP]]*$N$4+Table223456789101112131415161718[[#This Row],[LSTMPP]]*$N$5</f>
        <v>13.382894576568216</v>
      </c>
      <c r="G8" s="2">
        <f>Table223456789101112131415161718[[#This Row],[PP]]/$N$2</f>
        <v>2.6765789153136432</v>
      </c>
      <c r="H8" s="2">
        <v>5</v>
      </c>
      <c r="I8" s="2">
        <f>Table223456789101112131415161718[[#This Row],[PPG]]*Table223456789101112131415161718[[#This Row],[Plays]]</f>
        <v>13.382894576568216</v>
      </c>
      <c r="J8" s="2">
        <v>13</v>
      </c>
      <c r="K8" s="2">
        <f>Table223456789101112131415161718[[#This Row],[APP]]/Table223456789101112131415161718[[#This Row],[Plays]]</f>
        <v>2.6</v>
      </c>
    </row>
    <row r="9" spans="1:14" x14ac:dyDescent="0.3">
      <c r="A9" t="s">
        <v>215</v>
      </c>
      <c r="B9" t="s">
        <v>15</v>
      </c>
      <c r="C9" t="s">
        <v>331</v>
      </c>
      <c r="D9">
        <v>22.476215729067</v>
      </c>
      <c r="E9">
        <v>52.374905285279603</v>
      </c>
      <c r="F9">
        <f>Table223456789101112131415161718[[#This Row],[ARIMAPP]]*$N$4+Table223456789101112131415161718[[#This Row],[LSTMPP]]*$N$5</f>
        <v>16.264649637841785</v>
      </c>
      <c r="G9" s="2">
        <f>Table223456789101112131415161718[[#This Row],[PP]]/$N$2</f>
        <v>3.2529299275683572</v>
      </c>
      <c r="H9" s="4">
        <v>4</v>
      </c>
      <c r="I9" s="4">
        <f>Table223456789101112131415161718[[#This Row],[PPG]]*Table223456789101112131415161718[[#This Row],[Plays]]</f>
        <v>13.011719710273429</v>
      </c>
      <c r="J9" s="4">
        <v>18</v>
      </c>
      <c r="K9" s="2">
        <f>Table223456789101112131415161718[[#This Row],[APP]]/Table223456789101112131415161718[[#This Row],[Plays]]</f>
        <v>4.5</v>
      </c>
    </row>
    <row r="10" spans="1:14" x14ac:dyDescent="0.3">
      <c r="A10" t="s">
        <v>339</v>
      </c>
      <c r="B10" t="s">
        <v>16</v>
      </c>
      <c r="C10" t="s">
        <v>331</v>
      </c>
      <c r="D10">
        <v>3.3015154027892701</v>
      </c>
      <c r="E10">
        <v>42.988038714591497</v>
      </c>
      <c r="F10">
        <f>Table223456789101112131415161718[[#This Row],[ARIMAPP]]*$N$4+Table223456789101112131415161718[[#This Row],[LSTMPP]]*$N$5</f>
        <v>7.8166771057416575</v>
      </c>
      <c r="G10" s="2">
        <f>Table223456789101112131415161718[[#This Row],[PP]]/$N$2</f>
        <v>1.5633354211483315</v>
      </c>
      <c r="H10" s="4">
        <v>3</v>
      </c>
      <c r="I10" s="4">
        <f>Table223456789101112131415161718[[#This Row],[PPG]]*Table223456789101112131415161718[[#This Row],[Plays]]</f>
        <v>4.6900062634449942</v>
      </c>
      <c r="J10" s="4">
        <v>3</v>
      </c>
      <c r="K10" s="2">
        <f>Table223456789101112131415161718[[#This Row],[APP]]/Table223456789101112131415161718[[#This Row],[Plays]]</f>
        <v>1</v>
      </c>
    </row>
    <row r="11" spans="1:14" x14ac:dyDescent="0.3">
      <c r="A11" t="s">
        <v>340</v>
      </c>
      <c r="B11" t="s">
        <v>19</v>
      </c>
      <c r="C11" t="s">
        <v>331</v>
      </c>
      <c r="D11">
        <v>1.3809522276145401</v>
      </c>
      <c r="E11">
        <v>42.125181992393003</v>
      </c>
      <c r="F11">
        <f>Table223456789101112131415161718[[#This Row],[ARIMAPP]]*$N$4+Table223456789101112131415161718[[#This Row],[LSTMPP]]*$N$5</f>
        <v>6.9824109575150395</v>
      </c>
      <c r="G11" s="2">
        <f>Table223456789101112131415161718[[#This Row],[PP]]/$N$2</f>
        <v>1.3964821915030079</v>
      </c>
      <c r="H11" s="2">
        <v>2</v>
      </c>
      <c r="I11" s="2">
        <f>Table223456789101112131415161718[[#This Row],[PPG]]*Table223456789101112131415161718[[#This Row],[Plays]]</f>
        <v>2.7929643830060158</v>
      </c>
      <c r="J11" s="2">
        <v>3</v>
      </c>
      <c r="K11" s="2">
        <f>Table223456789101112131415161718[[#This Row],[APP]]/Table223456789101112131415161718[[#This Row],[Plays]]</f>
        <v>1.5</v>
      </c>
    </row>
    <row r="12" spans="1:14" x14ac:dyDescent="0.3">
      <c r="A12" t="s">
        <v>341</v>
      </c>
      <c r="B12" t="s">
        <v>16</v>
      </c>
      <c r="C12" t="s">
        <v>331</v>
      </c>
      <c r="D12">
        <v>13.2291579214544</v>
      </c>
      <c r="E12">
        <v>48.166615780368303</v>
      </c>
      <c r="F12">
        <f>Table223456789101112131415161718[[#This Row],[ARIMAPP]]*$N$4+Table223456789101112131415161718[[#This Row],[LSTMPP]]*$N$5</f>
        <v>12.239576113662331</v>
      </c>
      <c r="G12" s="2">
        <f>Table223456789101112131415161718[[#This Row],[PP]]/$N$2</f>
        <v>2.4479152227324663</v>
      </c>
      <c r="H12" s="4">
        <v>3</v>
      </c>
      <c r="I12" s="4">
        <f>Table223456789101112131415161718[[#This Row],[PPG]]*Table223456789101112131415161718[[#This Row],[Plays]]</f>
        <v>7.3437456681973989</v>
      </c>
      <c r="J12" s="4">
        <v>9</v>
      </c>
      <c r="K12" s="2">
        <f>Table223456789101112131415161718[[#This Row],[APP]]/Table223456789101112131415161718[[#This Row],[Plays]]</f>
        <v>3</v>
      </c>
    </row>
    <row r="13" spans="1:14" x14ac:dyDescent="0.3">
      <c r="A13" t="s">
        <v>342</v>
      </c>
      <c r="B13" t="s">
        <v>19</v>
      </c>
      <c r="C13" t="s">
        <v>331</v>
      </c>
      <c r="D13">
        <v>12.999999961194799</v>
      </c>
      <c r="E13">
        <v>49.411806993356102</v>
      </c>
      <c r="F13">
        <f>Table223456789101112131415161718[[#This Row],[ARIMAPP]]*$N$4+Table223456789101112131415161718[[#This Row],[LSTMPP]]*$N$5</f>
        <v>12.347349033149188</v>
      </c>
      <c r="G13" s="2">
        <f>Table223456789101112131415161718[[#This Row],[PP]]/$N$2</f>
        <v>2.4694698066298377</v>
      </c>
      <c r="H13" s="2">
        <v>5</v>
      </c>
      <c r="I13" s="2">
        <f>Table223456789101112131415161718[[#This Row],[PPG]]*Table223456789101112131415161718[[#This Row],[Plays]]</f>
        <v>12.34734903314919</v>
      </c>
      <c r="J13" s="2">
        <v>12</v>
      </c>
      <c r="K13" s="2">
        <f>Table223456789101112131415161718[[#This Row],[APP]]/Table223456789101112131415161718[[#This Row],[Plays]]</f>
        <v>2.4</v>
      </c>
    </row>
    <row r="14" spans="1:14" x14ac:dyDescent="0.3">
      <c r="A14" t="s">
        <v>343</v>
      </c>
      <c r="B14" t="s">
        <v>16</v>
      </c>
      <c r="C14" t="s">
        <v>331</v>
      </c>
      <c r="D14">
        <v>3.9999999937911799</v>
      </c>
      <c r="E14">
        <v>42.392605664640598</v>
      </c>
      <c r="F14">
        <f>Table223456789101112131415161718[[#This Row],[ARIMAPP]]*$N$4+Table223456789101112131415161718[[#This Row],[LSTMPP]]*$N$5</f>
        <v>7.9802670193741747</v>
      </c>
      <c r="G14" s="2">
        <f>Table223456789101112131415161718[[#This Row],[PP]]/$N$2</f>
        <v>1.5960534038748349</v>
      </c>
      <c r="H14" s="2">
        <v>5</v>
      </c>
      <c r="I14" s="2">
        <f>Table223456789101112131415161718[[#This Row],[PPG]]*Table223456789101112131415161718[[#This Row],[Plays]]</f>
        <v>7.9802670193741747</v>
      </c>
      <c r="J14" s="2">
        <v>3</v>
      </c>
      <c r="K14" s="2">
        <f>Table223456789101112131415161718[[#This Row],[APP]]/Table223456789101112131415161718[[#This Row],[Plays]]</f>
        <v>0.6</v>
      </c>
    </row>
    <row r="15" spans="1:14" x14ac:dyDescent="0.3">
      <c r="A15" t="s">
        <v>344</v>
      </c>
      <c r="B15" t="s">
        <v>12</v>
      </c>
      <c r="C15" t="s">
        <v>331</v>
      </c>
      <c r="D15">
        <v>16.941657374510399</v>
      </c>
      <c r="E15">
        <v>51.875407341314897</v>
      </c>
      <c r="F15">
        <f>Table223456789101112131415161718[[#This Row],[ARIMAPP]]*$N$4+Table223456789101112131415161718[[#This Row],[LSTMPP]]*$N$5</f>
        <v>14.166076321113724</v>
      </c>
      <c r="G15" s="2">
        <f>Table223456789101112131415161718[[#This Row],[PP]]/$N$2</f>
        <v>2.8332152642227451</v>
      </c>
      <c r="H15" s="5">
        <v>5</v>
      </c>
      <c r="I15" s="5">
        <f>Table223456789101112131415161718[[#This Row],[PPG]]*Table223456789101112131415161718[[#This Row],[Plays]]</f>
        <v>14.166076321113724</v>
      </c>
      <c r="J15" s="5">
        <v>11</v>
      </c>
      <c r="K15" s="5">
        <f>Table223456789101112131415161718[[#This Row],[APP]]/Table223456789101112131415161718[[#This Row],[Plays]]</f>
        <v>2.2000000000000002</v>
      </c>
    </row>
    <row r="16" spans="1:14" x14ac:dyDescent="0.3">
      <c r="A16" t="s">
        <v>345</v>
      </c>
      <c r="B16" t="s">
        <v>16</v>
      </c>
      <c r="C16" t="s">
        <v>331</v>
      </c>
      <c r="D16">
        <v>11.095238817783301</v>
      </c>
      <c r="E16">
        <v>50.797103043090502</v>
      </c>
      <c r="F16">
        <f>Table223456789101112131415161718[[#This Row],[ARIMAPP]]*$N$4+Table223456789101112131415161718[[#This Row],[LSTMPP]]*$N$5</f>
        <v>11.864573160265714</v>
      </c>
      <c r="G16" s="2">
        <f>Table223456789101112131415161718[[#This Row],[PP]]/$N$2</f>
        <v>2.3729146320531429</v>
      </c>
      <c r="H16" s="2">
        <v>4</v>
      </c>
      <c r="I16" s="6">
        <f>Table223456789101112131415161718[[#This Row],[PPG]]*Table223456789101112131415161718[[#This Row],[Plays]]</f>
        <v>9.4916585282125716</v>
      </c>
      <c r="J16" s="2">
        <v>10</v>
      </c>
      <c r="K16" s="6">
        <f>Table223456789101112131415161718[[#This Row],[APP]]/Table223456789101112131415161718[[#This Row],[Plays]]</f>
        <v>2.5</v>
      </c>
    </row>
    <row r="17" spans="1:11" x14ac:dyDescent="0.3">
      <c r="A17" t="s">
        <v>346</v>
      </c>
      <c r="B17" t="s">
        <v>19</v>
      </c>
      <c r="C17" t="s">
        <v>331</v>
      </c>
      <c r="D17">
        <v>15.2380854340485</v>
      </c>
      <c r="E17">
        <v>51.281182238053198</v>
      </c>
      <c r="F17">
        <f>Table223456789101112131415161718[[#This Row],[ARIMAPP]]*$N$4+Table223456789101112131415161718[[#This Row],[LSTMPP]]*$N$5</f>
        <v>13.452386362589699</v>
      </c>
      <c r="G17" s="2">
        <f>Table223456789101112131415161718[[#This Row],[PP]]/$N$2</f>
        <v>2.6904772725179398</v>
      </c>
      <c r="H17" s="2">
        <v>5</v>
      </c>
      <c r="I17" s="6">
        <f>Table223456789101112131415161718[[#This Row],[PPG]]*Table223456789101112131415161718[[#This Row],[Plays]]</f>
        <v>13.452386362589699</v>
      </c>
      <c r="J17" s="2">
        <v>13</v>
      </c>
      <c r="K17" s="6">
        <f>Table223456789101112131415161718[[#This Row],[APP]]/Table223456789101112131415161718[[#This Row],[Plays]]</f>
        <v>2.6</v>
      </c>
    </row>
    <row r="18" spans="1:11" x14ac:dyDescent="0.3">
      <c r="A18" t="s">
        <v>347</v>
      </c>
      <c r="B18" t="s">
        <v>15</v>
      </c>
      <c r="C18" t="s">
        <v>331</v>
      </c>
      <c r="D18">
        <v>7.99999892123168</v>
      </c>
      <c r="E18">
        <v>47.130687255423602</v>
      </c>
      <c r="F18">
        <f>Table223456789101112131415161718[[#This Row],[ARIMAPP]]*$N$4+Table223456789101112131415161718[[#This Row],[LSTMPP]]*$N$5</f>
        <v>10.170072911930141</v>
      </c>
      <c r="G18" s="2">
        <f>Table223456789101112131415161718[[#This Row],[PP]]/$N$2</f>
        <v>2.0340145823860283</v>
      </c>
      <c r="H18" s="2">
        <v>3</v>
      </c>
      <c r="I18" s="6">
        <f>Table223456789101112131415161718[[#This Row],[PPG]]*Table223456789101112131415161718[[#This Row],[Plays]]</f>
        <v>6.1020437471580848</v>
      </c>
      <c r="J18" s="2">
        <v>6</v>
      </c>
      <c r="K18" s="6">
        <f>Table223456789101112131415161718[[#This Row],[APP]]/Table223456789101112131415161718[[#This Row],[Plays]]</f>
        <v>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B156-5407-4545-AD58-0CC9165A3851}">
  <dimension ref="A1:N20"/>
  <sheetViews>
    <sheetView workbookViewId="0">
      <selection activeCell="N5" sqref="N5"/>
    </sheetView>
  </sheetViews>
  <sheetFormatPr defaultRowHeight="14.4" x14ac:dyDescent="0.3"/>
  <cols>
    <col min="1" max="1" width="13.21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348</v>
      </c>
      <c r="B2" t="s">
        <v>12</v>
      </c>
      <c r="C2" t="s">
        <v>349</v>
      </c>
      <c r="D2">
        <v>25.2360679467801</v>
      </c>
      <c r="E2">
        <v>60.8388901569135</v>
      </c>
      <c r="F2">
        <f>Table22345678910111213141516171819[[#This Row],[ARIMAPP]]*$N$4+Table22345678910111213141516171819[[#This Row],[LSTMPP]]*$N$5</f>
        <v>22.683876320988972</v>
      </c>
      <c r="G2" s="2">
        <f>Table22345678910111213141516171819[[#This Row],[PP]]/$N$2</f>
        <v>4.5367752641977948</v>
      </c>
      <c r="H2" s="2">
        <v>5</v>
      </c>
      <c r="I2" s="2">
        <f>Table22345678910111213141516171819[[#This Row],[PPG]]*Table22345678910111213141516171819[[#This Row],[Plays]]</f>
        <v>22.683876320988972</v>
      </c>
      <c r="J2" s="2">
        <v>23</v>
      </c>
      <c r="K2" s="3">
        <f>Table22345678910111213141516171819[[#This Row],[APP]]/Table22345678910111213141516171819[[#This Row],[Plays]]</f>
        <v>4.5999999999999996</v>
      </c>
      <c r="M2" t="s">
        <v>14</v>
      </c>
      <c r="N2">
        <v>5</v>
      </c>
    </row>
    <row r="3" spans="1:14" x14ac:dyDescent="0.3">
      <c r="A3" t="s">
        <v>350</v>
      </c>
      <c r="B3" t="s">
        <v>15</v>
      </c>
      <c r="C3" t="s">
        <v>349</v>
      </c>
      <c r="D3">
        <v>30.999999963948799</v>
      </c>
      <c r="E3">
        <v>68.566631718941395</v>
      </c>
      <c r="F3">
        <f>Table22345678910111213141516171819[[#This Row],[ARIMAPP]]*$N$4+Table22345678910111213141516171819[[#This Row],[LSTMPP]]*$N$5</f>
        <v>26.490121723302831</v>
      </c>
      <c r="G3" s="2">
        <f>Table22345678910111213141516171819[[#This Row],[PP]]/$N$2</f>
        <v>5.2980243446605666</v>
      </c>
      <c r="H3" s="2">
        <v>5</v>
      </c>
      <c r="I3" s="2">
        <f>Table22345678910111213141516171819[[#This Row],[PPG]]*Table22345678910111213141516171819[[#This Row],[Plays]]</f>
        <v>26.490121723302835</v>
      </c>
      <c r="J3" s="2">
        <v>31</v>
      </c>
      <c r="K3" s="2">
        <f>Table22345678910111213141516171819[[#This Row],[APP]]/Table22345678910111213141516171819[[#This Row],[Plays]]</f>
        <v>6.2</v>
      </c>
    </row>
    <row r="4" spans="1:14" x14ac:dyDescent="0.3">
      <c r="A4" t="s">
        <v>351</v>
      </c>
      <c r="B4" t="s">
        <v>19</v>
      </c>
      <c r="C4" t="s">
        <v>349</v>
      </c>
      <c r="D4">
        <v>15.999999917733099</v>
      </c>
      <c r="E4">
        <v>52.074061673491599</v>
      </c>
      <c r="F4">
        <f>Table22345678910111213141516171819[[#This Row],[ARIMAPP]]*$N$4+Table22345678910111213141516171819[[#This Row],[LSTMPP]]*$N$5</f>
        <v>17.391209974428236</v>
      </c>
      <c r="G4" s="2">
        <f>Table22345678910111213141516171819[[#This Row],[PP]]/$N$2</f>
        <v>3.4782419948856473</v>
      </c>
      <c r="H4" s="4">
        <v>5</v>
      </c>
      <c r="I4" s="4">
        <f>Table22345678910111213141516171819[[#This Row],[PPG]]*Table22345678910111213141516171819[[#This Row],[Plays]]</f>
        <v>17.391209974428236</v>
      </c>
      <c r="J4" s="4">
        <v>15</v>
      </c>
      <c r="K4" s="2">
        <f>Table22345678910111213141516171819[[#This Row],[APP]]/Table22345678910111213141516171819[[#This Row],[Plays]]</f>
        <v>3</v>
      </c>
      <c r="M4" t="s">
        <v>17</v>
      </c>
      <c r="N4">
        <v>0.36152507058150729</v>
      </c>
    </row>
    <row r="5" spans="1:14" x14ac:dyDescent="0.3">
      <c r="A5" t="s">
        <v>352</v>
      </c>
      <c r="B5" t="s">
        <v>16</v>
      </c>
      <c r="C5" t="s">
        <v>349</v>
      </c>
      <c r="D5">
        <v>0</v>
      </c>
      <c r="E5">
        <v>41.424088698504697</v>
      </c>
      <c r="F5">
        <f>Table22345678910111213141516171819[[#This Row],[ARIMAPP]]*$N$4+Table22345678910111213141516171819[[#This Row],[LSTMPP]]*$N$5</f>
        <v>9.2330320487326194</v>
      </c>
      <c r="G5" s="2">
        <f>Table22345678910111213141516171819[[#This Row],[PP]]/$N$2</f>
        <v>1.8466064097465238</v>
      </c>
      <c r="H5" s="2">
        <v>1</v>
      </c>
      <c r="I5" s="2">
        <f>Table22345678910111213141516171819[[#This Row],[PPG]]*Table22345678910111213141516171819[[#This Row],[Plays]]</f>
        <v>1.8466064097465238</v>
      </c>
      <c r="J5" s="2">
        <v>1</v>
      </c>
      <c r="K5" s="2">
        <f>Table22345678910111213141516171819[[#This Row],[APP]]/Table22345678910111213141516171819[[#This Row],[Plays]]</f>
        <v>1</v>
      </c>
      <c r="M5" t="s">
        <v>20</v>
      </c>
      <c r="N5">
        <v>0.2228904084271601</v>
      </c>
    </row>
    <row r="6" spans="1:14" x14ac:dyDescent="0.3">
      <c r="A6" t="s">
        <v>353</v>
      </c>
      <c r="B6" t="s">
        <v>16</v>
      </c>
      <c r="C6" t="s">
        <v>349</v>
      </c>
      <c r="D6">
        <v>41.209673614946702</v>
      </c>
      <c r="E6">
        <v>59.866811332995802</v>
      </c>
      <c r="F6">
        <f>Table22345678910111213141516171819[[#This Row],[ARIMAPP]]*$N$4+Table22345678910111213141516171819[[#This Row],[LSTMPP]]*$N$5</f>
        <v>28.242068191527657</v>
      </c>
      <c r="G6" s="2">
        <f>Table22345678910111213141516171819[[#This Row],[PP]]/$N$2</f>
        <v>5.6484136383055317</v>
      </c>
      <c r="H6" s="4">
        <v>5</v>
      </c>
      <c r="I6" s="4">
        <f>Table22345678910111213141516171819[[#This Row],[PPG]]*Table22345678910111213141516171819[[#This Row],[Plays]]</f>
        <v>28.242068191527657</v>
      </c>
      <c r="J6" s="4">
        <v>24</v>
      </c>
      <c r="K6" s="2">
        <f>Table22345678910111213141516171819[[#This Row],[APP]]/Table22345678910111213141516171819[[#This Row],[Plays]]</f>
        <v>4.8</v>
      </c>
    </row>
    <row r="7" spans="1:14" x14ac:dyDescent="0.3">
      <c r="A7" t="s">
        <v>354</v>
      </c>
      <c r="B7" t="s">
        <v>19</v>
      </c>
      <c r="C7" t="s">
        <v>349</v>
      </c>
      <c r="D7">
        <v>1.9999999751647299</v>
      </c>
      <c r="E7">
        <v>40.819980331546397</v>
      </c>
      <c r="F7">
        <f>Table22345678910111213141516171819[[#This Row],[ARIMAPP]]*$N$4+Table22345678910111213141516171819[[#This Row],[LSTMPP]]*$N$5</f>
        <v>9.8214322202714595</v>
      </c>
      <c r="G7" s="2">
        <f>Table22345678910111213141516171819[[#This Row],[PP]]/$N$2</f>
        <v>1.964286444054292</v>
      </c>
      <c r="H7" s="2">
        <v>2</v>
      </c>
      <c r="I7" s="2">
        <f>Table22345678910111213141516171819[[#This Row],[PPG]]*Table22345678910111213141516171819[[#This Row],[Plays]]</f>
        <v>3.928572888108584</v>
      </c>
      <c r="J7" s="2">
        <v>2</v>
      </c>
      <c r="K7" s="2">
        <f>Table22345678910111213141516171819[[#This Row],[APP]]/Table22345678910111213141516171819[[#This Row],[Plays]]</f>
        <v>1</v>
      </c>
      <c r="M7" t="s">
        <v>22</v>
      </c>
      <c r="N7" cm="1">
        <f t="array" ref="N7">(SUM(Table22345678910111213141516171819[Tot]-Table22345678910111213141516171819[APP]))^2</f>
        <v>7.4991089802572435E-29</v>
      </c>
    </row>
    <row r="8" spans="1:14" x14ac:dyDescent="0.3">
      <c r="A8" t="s">
        <v>170</v>
      </c>
      <c r="B8" t="s">
        <v>16</v>
      </c>
      <c r="C8" t="s">
        <v>349</v>
      </c>
      <c r="D8">
        <v>0</v>
      </c>
      <c r="E8">
        <v>40.545090344923501</v>
      </c>
      <c r="F8">
        <f>Table22345678910111213141516171819[[#This Row],[ARIMAPP]]*$N$4+Table22345678910111213141516171819[[#This Row],[LSTMPP]]*$N$5</f>
        <v>9.0371117466961053</v>
      </c>
      <c r="G8" s="2">
        <f>Table22345678910111213141516171819[[#This Row],[PP]]/$N$2</f>
        <v>1.807422349339221</v>
      </c>
      <c r="H8" s="4">
        <v>5</v>
      </c>
      <c r="I8" s="4">
        <f>Table22345678910111213141516171819[[#This Row],[PPG]]*Table22345678910111213141516171819[[#This Row],[Plays]]</f>
        <v>9.0371117466961053</v>
      </c>
      <c r="J8" s="4">
        <v>19</v>
      </c>
      <c r="K8" s="2">
        <f>Table22345678910111213141516171819[[#This Row],[APP]]/Table22345678910111213141516171819[[#This Row],[Plays]]</f>
        <v>3.8</v>
      </c>
    </row>
    <row r="9" spans="1:14" x14ac:dyDescent="0.3">
      <c r="A9" t="s">
        <v>355</v>
      </c>
      <c r="B9" t="s">
        <v>19</v>
      </c>
      <c r="C9" t="s">
        <v>349</v>
      </c>
      <c r="D9">
        <v>22.095239649955801</v>
      </c>
      <c r="E9">
        <v>54.210857423525603</v>
      </c>
      <c r="F9">
        <f>Table22345678910111213141516171819[[#This Row],[ARIMAPP]]*$N$4+Table22345678910111213141516171819[[#This Row],[LSTMPP]]*$N$5</f>
        <v>20.071063226281755</v>
      </c>
      <c r="G9" s="2">
        <f>Table22345678910111213141516171819[[#This Row],[PP]]/$N$2</f>
        <v>4.0142126452563511</v>
      </c>
      <c r="H9" s="2">
        <v>5</v>
      </c>
      <c r="I9" s="2">
        <f>Table22345678910111213141516171819[[#This Row],[PPG]]*Table22345678910111213141516171819[[#This Row],[Plays]]</f>
        <v>20.071063226281755</v>
      </c>
      <c r="J9" s="2">
        <v>19</v>
      </c>
      <c r="K9" s="2">
        <f>Table22345678910111213141516171819[[#This Row],[APP]]/Table22345678910111213141516171819[[#This Row],[Plays]]</f>
        <v>3.8</v>
      </c>
    </row>
    <row r="10" spans="1:14" x14ac:dyDescent="0.3">
      <c r="A10" t="s">
        <v>68</v>
      </c>
      <c r="B10" t="s">
        <v>16</v>
      </c>
      <c r="C10" t="s">
        <v>349</v>
      </c>
      <c r="D10">
        <v>9.6666452638402998</v>
      </c>
      <c r="E10">
        <v>48.647923153160598</v>
      </c>
      <c r="F10">
        <f>Table22345678910111213141516171819[[#This Row],[ARIMAPP]]*$N$4+Table22345678910111213141516171819[[#This Row],[LSTMPP]]*$N$5</f>
        <v>14.337890072037322</v>
      </c>
      <c r="G10" s="2">
        <f>Table22345678910111213141516171819[[#This Row],[PP]]/$N$2</f>
        <v>2.8675780144074645</v>
      </c>
      <c r="H10" s="2">
        <v>3</v>
      </c>
      <c r="I10" s="2">
        <f>Table22345678910111213141516171819[[#This Row],[PPG]]*Table22345678910111213141516171819[[#This Row],[Plays]]</f>
        <v>8.6027340432223944</v>
      </c>
      <c r="J10" s="2">
        <v>14</v>
      </c>
      <c r="K10" s="2">
        <f>Table22345678910111213141516171819[[#This Row],[APP]]/Table22345678910111213141516171819[[#This Row],[Plays]]</f>
        <v>4.666666666666667</v>
      </c>
    </row>
    <row r="11" spans="1:14" x14ac:dyDescent="0.3">
      <c r="A11" t="s">
        <v>356</v>
      </c>
      <c r="B11" t="s">
        <v>16</v>
      </c>
      <c r="C11" t="s">
        <v>349</v>
      </c>
      <c r="D11">
        <v>10</v>
      </c>
      <c r="E11">
        <v>45.580626351859898</v>
      </c>
      <c r="F11">
        <f>Table22345678910111213141516171819[[#This Row],[ARIMAPP]]*$N$4+Table22345678910111213141516171819[[#This Row],[LSTMPP]]*$N$5</f>
        <v>13.774735129746901</v>
      </c>
      <c r="G11" s="2">
        <f>Table22345678910111213141516171819[[#This Row],[PP]]/$N$2</f>
        <v>2.75494702594938</v>
      </c>
      <c r="H11" s="4">
        <v>4</v>
      </c>
      <c r="I11" s="4">
        <f>Table22345678910111213141516171819[[#This Row],[PPG]]*Table22345678910111213141516171819[[#This Row],[Plays]]</f>
        <v>11.01978810379752</v>
      </c>
      <c r="J11" s="4">
        <v>10</v>
      </c>
      <c r="K11" s="2">
        <f>Table22345678910111213141516171819[[#This Row],[APP]]/Table22345678910111213141516171819[[#This Row],[Plays]]</f>
        <v>2.5</v>
      </c>
    </row>
    <row r="12" spans="1:14" x14ac:dyDescent="0.3">
      <c r="A12" t="s">
        <v>357</v>
      </c>
      <c r="B12" t="s">
        <v>19</v>
      </c>
      <c r="C12" t="s">
        <v>349</v>
      </c>
      <c r="D12">
        <v>11.095238179953601</v>
      </c>
      <c r="E12">
        <v>48.155235019627</v>
      </c>
      <c r="F12">
        <f>Table22345678910111213141516171819[[#This Row],[ARIMAPP]]*$N$4+Table22345678910111213141516171819[[#This Row],[LSTMPP]]*$N$5</f>
        <v>14.744546767556905</v>
      </c>
      <c r="G12" s="2">
        <f>Table22345678910111213141516171819[[#This Row],[PP]]/$N$2</f>
        <v>2.9489093535113811</v>
      </c>
      <c r="H12" s="4">
        <v>4</v>
      </c>
      <c r="I12" s="4">
        <f>Table22345678910111213141516171819[[#This Row],[PPG]]*Table22345678910111213141516171819[[#This Row],[Plays]]</f>
        <v>11.795637414045524</v>
      </c>
      <c r="J12" s="4">
        <v>9</v>
      </c>
      <c r="K12" s="2">
        <f>Table22345678910111213141516171819[[#This Row],[APP]]/Table22345678910111213141516171819[[#This Row],[Plays]]</f>
        <v>2.25</v>
      </c>
    </row>
    <row r="13" spans="1:14" x14ac:dyDescent="0.3">
      <c r="A13" t="s">
        <v>358</v>
      </c>
      <c r="B13" t="s">
        <v>16</v>
      </c>
      <c r="C13" t="s">
        <v>349</v>
      </c>
      <c r="D13">
        <v>3.9999999880258499</v>
      </c>
      <c r="E13">
        <v>43.805110245893303</v>
      </c>
      <c r="F13">
        <f>Table22345678910111213141516171819[[#This Row],[ARIMAPP]]*$N$4+Table22345678910111213141516171819[[#This Row],[LSTMPP]]*$N$5</f>
        <v>11.209839191901008</v>
      </c>
      <c r="G13" s="2">
        <f>Table22345678910111213141516171819[[#This Row],[PP]]/$N$2</f>
        <v>2.2419678383802015</v>
      </c>
      <c r="H13" s="2">
        <v>2</v>
      </c>
      <c r="I13" s="2">
        <f>Table22345678910111213141516171819[[#This Row],[PPG]]*Table22345678910111213141516171819[[#This Row],[Plays]]</f>
        <v>4.4839356767604031</v>
      </c>
      <c r="J13" s="2">
        <v>3</v>
      </c>
      <c r="K13" s="2">
        <f>Table22345678910111213141516171819[[#This Row],[APP]]/Table22345678910111213141516171819[[#This Row],[Plays]]</f>
        <v>1.5</v>
      </c>
    </row>
    <row r="14" spans="1:14" x14ac:dyDescent="0.3">
      <c r="A14" t="s">
        <v>359</v>
      </c>
      <c r="B14" t="s">
        <v>19</v>
      </c>
      <c r="C14" t="s">
        <v>349</v>
      </c>
      <c r="D14">
        <v>4.0202451987351102</v>
      </c>
      <c r="E14">
        <v>45.473869548250299</v>
      </c>
      <c r="F14">
        <f>Table22345678910111213141516171819[[#This Row],[ARIMAPP]]*$N$4+Table22345678910111213141516171819[[#This Row],[LSTMPP]]*$N$5</f>
        <v>11.589108785600583</v>
      </c>
      <c r="G14" s="2">
        <f>Table22345678910111213141516171819[[#This Row],[PP]]/$N$2</f>
        <v>2.3178217571201167</v>
      </c>
      <c r="H14" s="4">
        <v>5</v>
      </c>
      <c r="I14" s="4">
        <f>Table22345678910111213141516171819[[#This Row],[PPG]]*Table22345678910111213141516171819[[#This Row],[Plays]]</f>
        <v>11.589108785600583</v>
      </c>
      <c r="J14" s="4">
        <v>4</v>
      </c>
      <c r="K14" s="2">
        <f>Table22345678910111213141516171819[[#This Row],[APP]]/Table22345678910111213141516171819[[#This Row],[Plays]]</f>
        <v>0.8</v>
      </c>
    </row>
    <row r="15" spans="1:14" x14ac:dyDescent="0.3">
      <c r="A15" t="s">
        <v>360</v>
      </c>
      <c r="B15" t="s">
        <v>16</v>
      </c>
      <c r="C15" t="s">
        <v>349</v>
      </c>
      <c r="D15">
        <v>23.999999971082701</v>
      </c>
      <c r="E15">
        <v>54.438358929666201</v>
      </c>
      <c r="F15">
        <f>Table22345678910111213141516171819[[#This Row],[ARIMAPP]]*$N$4+Table22345678910111213141516171819[[#This Row],[LSTMPP]]*$N$5</f>
        <v>20.810389739439486</v>
      </c>
      <c r="G15" s="2">
        <f>Table22345678910111213141516171819[[#This Row],[PP]]/$N$2</f>
        <v>4.1620779478878971</v>
      </c>
      <c r="H15" s="2">
        <v>5</v>
      </c>
      <c r="I15" s="2">
        <f>Table22345678910111213141516171819[[#This Row],[PPG]]*Table22345678910111213141516171819[[#This Row],[Plays]]</f>
        <v>20.810389739439486</v>
      </c>
      <c r="J15" s="2">
        <v>24</v>
      </c>
      <c r="K15" s="2">
        <f>Table22345678910111213141516171819[[#This Row],[APP]]/Table22345678910111213141516171819[[#This Row],[Plays]]</f>
        <v>4.8</v>
      </c>
    </row>
    <row r="16" spans="1:14" x14ac:dyDescent="0.3">
      <c r="A16" t="s">
        <v>361</v>
      </c>
      <c r="B16" t="s">
        <v>19</v>
      </c>
      <c r="C16" t="s">
        <v>349</v>
      </c>
      <c r="D16">
        <v>26.9999999899599</v>
      </c>
      <c r="E16">
        <v>57.022655990645703</v>
      </c>
      <c r="F16">
        <f>Table22345678910111213141516171819[[#This Row],[ARIMAPP]]*$N$4+Table22345678910111213141516171819[[#This Row],[LSTMPP]]*$N$5</f>
        <v>22.470979985427416</v>
      </c>
      <c r="G16" s="2">
        <f>Table22345678910111213141516171819[[#This Row],[PP]]/$N$2</f>
        <v>4.494195997085483</v>
      </c>
      <c r="H16" s="4">
        <v>5</v>
      </c>
      <c r="I16" s="4">
        <f>Table22345678910111213141516171819[[#This Row],[PPG]]*Table22345678910111213141516171819[[#This Row],[Plays]]</f>
        <v>22.470979985427416</v>
      </c>
      <c r="J16" s="4">
        <v>26</v>
      </c>
      <c r="K16" s="2">
        <f>Table22345678910111213141516171819[[#This Row],[APP]]/Table22345678910111213141516171819[[#This Row],[Plays]]</f>
        <v>5.2</v>
      </c>
    </row>
    <row r="17" spans="1:11" x14ac:dyDescent="0.3">
      <c r="A17" t="s">
        <v>362</v>
      </c>
      <c r="B17" t="s">
        <v>16</v>
      </c>
      <c r="C17" t="s">
        <v>349</v>
      </c>
      <c r="D17">
        <v>21.927949317346201</v>
      </c>
      <c r="E17">
        <v>61.990778306792102</v>
      </c>
      <c r="F17">
        <f>Table22345678910111213141516171819[[#This Row],[ARIMAPP]]*$N$4+Table22345678910111213141516171819[[#This Row],[LSTMPP]]*$N$5</f>
        <v>21.744653320179729</v>
      </c>
      <c r="G17" s="6">
        <f>Table22345678910111213141516171819[[#This Row],[PP]]/$N$2</f>
        <v>4.3489306640359455</v>
      </c>
      <c r="H17" s="2">
        <v>5</v>
      </c>
      <c r="I17" s="6">
        <f>Table22345678910111213141516171819[[#This Row],[PPG]]*Table22345678910111213141516171819[[#This Row],[Plays]]</f>
        <v>21.744653320179729</v>
      </c>
      <c r="J17" s="2">
        <v>24</v>
      </c>
      <c r="K17" s="6">
        <f>Table22345678910111213141516171819[[#This Row],[APP]]/Table22345678910111213141516171819[[#This Row],[Plays]]</f>
        <v>4.8</v>
      </c>
    </row>
    <row r="18" spans="1:11" x14ac:dyDescent="0.3">
      <c r="A18" t="s">
        <v>363</v>
      </c>
      <c r="B18" t="s">
        <v>15</v>
      </c>
      <c r="C18" t="s">
        <v>349</v>
      </c>
      <c r="D18">
        <v>6.9999999639348998</v>
      </c>
      <c r="E18">
        <v>44.541124510242597</v>
      </c>
      <c r="F18">
        <f>Table22345678910111213141516171819[[#This Row],[ARIMAPP]]*$N$4+Table22345678910111213141516171819[[#This Row],[LSTMPP]]*$N$5</f>
        <v>12.458464914925077</v>
      </c>
      <c r="G18" s="6">
        <f>Table22345678910111213141516171819[[#This Row],[PP]]/$N$2</f>
        <v>2.4916929829850156</v>
      </c>
      <c r="H18" s="2">
        <v>4</v>
      </c>
      <c r="I18" s="6">
        <f>Table22345678910111213141516171819[[#This Row],[PPG]]*Table22345678910111213141516171819[[#This Row],[Plays]]</f>
        <v>9.9667719319400625</v>
      </c>
      <c r="J18" s="2">
        <v>6</v>
      </c>
      <c r="K18" s="6">
        <f>Table22345678910111213141516171819[[#This Row],[APP]]/Table22345678910111213141516171819[[#This Row],[Plays]]</f>
        <v>1.5</v>
      </c>
    </row>
    <row r="19" spans="1:11" x14ac:dyDescent="0.3">
      <c r="A19" t="s">
        <v>364</v>
      </c>
      <c r="B19" t="s">
        <v>16</v>
      </c>
      <c r="C19" t="s">
        <v>349</v>
      </c>
      <c r="D19">
        <v>0</v>
      </c>
      <c r="E19">
        <v>41.611606880399798</v>
      </c>
      <c r="F19">
        <f>Table22345678910111213141516171819[[#This Row],[ARIMAPP]]*$N$4+Table22345678910111213141516171819[[#This Row],[LSTMPP]]*$N$5</f>
        <v>9.2748280528827358</v>
      </c>
      <c r="G19" s="6">
        <f>Table22345678910111213141516171819[[#This Row],[PP]]/$N$2</f>
        <v>1.8549656105765471</v>
      </c>
      <c r="H19" s="2">
        <v>1</v>
      </c>
      <c r="I19" s="6">
        <f>Table22345678910111213141516171819[[#This Row],[PPG]]*Table22345678910111213141516171819[[#This Row],[Plays]]</f>
        <v>1.8549656105765471</v>
      </c>
      <c r="J19" s="2">
        <v>1</v>
      </c>
      <c r="K19" s="6">
        <f>Table22345678910111213141516171819[[#This Row],[APP]]/Table22345678910111213141516171819[[#This Row],[Plays]]</f>
        <v>1</v>
      </c>
    </row>
    <row r="20" spans="1:11" x14ac:dyDescent="0.3">
      <c r="A20" t="s">
        <v>365</v>
      </c>
      <c r="B20" t="s">
        <v>16</v>
      </c>
      <c r="C20" t="s">
        <v>349</v>
      </c>
      <c r="D20">
        <v>1.0476190057723</v>
      </c>
      <c r="E20">
        <v>42.501981451300402</v>
      </c>
      <c r="F20">
        <f>Table22345678910111213141516171819[[#This Row],[ARIMAPP]]*$N$4+Table22345678910111213141516171819[[#This Row],[LSTMPP]]*$N$5</f>
        <v>9.8520245396482888</v>
      </c>
      <c r="G20" s="6">
        <f>Table22345678910111213141516171819[[#This Row],[PP]]/$N$2</f>
        <v>1.9704049079296577</v>
      </c>
      <c r="H20" s="2">
        <v>1</v>
      </c>
      <c r="I20" s="6">
        <f>Table22345678910111213141516171819[[#This Row],[PPG]]*Table22345678910111213141516171819[[#This Row],[Plays]]</f>
        <v>1.9704049079296577</v>
      </c>
      <c r="J20" s="2">
        <v>1</v>
      </c>
      <c r="K20" s="6">
        <f>Table22345678910111213141516171819[[#This Row],[APP]]/Table22345678910111213141516171819[[#This Row],[Plays]]</f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184A-F959-433D-A074-EF33B2D78624}">
  <dimension ref="A1:N21"/>
  <sheetViews>
    <sheetView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366</v>
      </c>
      <c r="B2" t="s">
        <v>12</v>
      </c>
      <c r="C2" t="s">
        <v>367</v>
      </c>
      <c r="D2">
        <v>18</v>
      </c>
      <c r="E2">
        <v>54.237405098800103</v>
      </c>
      <c r="F2">
        <f>Table2234567891011121314151617181920[[#This Row],[ARIMAPP]]*$N$4+Table2234567891011121314151617181920[[#This Row],[LSTMPP]]*$N$5</f>
        <v>14.353235560254248</v>
      </c>
      <c r="G2" s="2">
        <f>Table2234567891011121314151617181920[[#This Row],[PP]]/$N$2</f>
        <v>2.8706471120508494</v>
      </c>
      <c r="H2" s="2">
        <v>5</v>
      </c>
      <c r="I2" s="2">
        <f>Table2234567891011121314151617181920[[#This Row],[PPG]]*Table2234567891011121314151617181920[[#This Row],[Plays]]</f>
        <v>14.353235560254248</v>
      </c>
      <c r="J2" s="2">
        <v>17</v>
      </c>
      <c r="K2" s="3">
        <f>Table2234567891011121314151617181920[[#This Row],[APP]]/Table2234567891011121314151617181920[[#This Row],[Plays]]</f>
        <v>3.4</v>
      </c>
      <c r="M2" t="s">
        <v>14</v>
      </c>
      <c r="N2">
        <v>5</v>
      </c>
    </row>
    <row r="3" spans="1:14" x14ac:dyDescent="0.3">
      <c r="A3" t="s">
        <v>368</v>
      </c>
      <c r="B3" t="s">
        <v>16</v>
      </c>
      <c r="C3" t="s">
        <v>367</v>
      </c>
      <c r="D3">
        <v>0.23809446712725299</v>
      </c>
      <c r="E3">
        <v>41.750036534987998</v>
      </c>
      <c r="F3">
        <f>Table2234567891011121314151617181920[[#This Row],[ARIMAPP]]*$N$4+Table2234567891011121314151617181920[[#This Row],[LSTMPP]]*$N$5</f>
        <v>6.0175127395050181</v>
      </c>
      <c r="G3" s="2">
        <f>Table2234567891011121314151617181920[[#This Row],[PP]]/$N$2</f>
        <v>1.2035025479010035</v>
      </c>
      <c r="H3" s="4">
        <v>1</v>
      </c>
      <c r="I3" s="4">
        <f>Table2234567891011121314151617181920[[#This Row],[PPG]]*Table2234567891011121314151617181920[[#This Row],[Plays]]</f>
        <v>1.2035025479010035</v>
      </c>
      <c r="J3" s="4">
        <v>1</v>
      </c>
      <c r="K3" s="2">
        <f>Table2234567891011121314151617181920[[#This Row],[APP]]/Table2234567891011121314151617181920[[#This Row],[Plays]]</f>
        <v>1</v>
      </c>
    </row>
    <row r="4" spans="1:14" x14ac:dyDescent="0.3">
      <c r="A4" t="s">
        <v>369</v>
      </c>
      <c r="B4" t="s">
        <v>16</v>
      </c>
      <c r="C4" t="s">
        <v>367</v>
      </c>
      <c r="D4">
        <v>10.428571310932901</v>
      </c>
      <c r="E4">
        <v>49.633328572052903</v>
      </c>
      <c r="F4">
        <f>Table2234567891011121314151617181920[[#This Row],[ARIMAPP]]*$N$4+Table2234567891011121314151617181920[[#This Row],[LSTMPP]]*$N$5</f>
        <v>10.9020481280212</v>
      </c>
      <c r="G4" s="2">
        <f>Table2234567891011121314151617181920[[#This Row],[PP]]/$N$2</f>
        <v>2.18040962560424</v>
      </c>
      <c r="H4" s="2">
        <v>5</v>
      </c>
      <c r="I4" s="2">
        <f>Table2234567891011121314151617181920[[#This Row],[PPG]]*Table2234567891011121314151617181920[[#This Row],[Plays]]</f>
        <v>10.9020481280212</v>
      </c>
      <c r="J4" s="2">
        <v>11</v>
      </c>
      <c r="K4" s="2">
        <f>Table2234567891011121314151617181920[[#This Row],[APP]]/Table2234567891011121314151617181920[[#This Row],[Plays]]</f>
        <v>2.2000000000000002</v>
      </c>
      <c r="M4" t="s">
        <v>17</v>
      </c>
      <c r="N4">
        <v>0.3694538642496859</v>
      </c>
    </row>
    <row r="5" spans="1:14" x14ac:dyDescent="0.3">
      <c r="A5" t="s">
        <v>370</v>
      </c>
      <c r="B5" t="s">
        <v>15</v>
      </c>
      <c r="C5" t="s">
        <v>367</v>
      </c>
      <c r="D5">
        <v>8.7619046525787496</v>
      </c>
      <c r="E5">
        <v>49.3371475772785</v>
      </c>
      <c r="F5">
        <f>Table2234567891011121314151617181920[[#This Row],[ARIMAPP]]*$N$4+Table2234567891011121314151617181920[[#This Row],[LSTMPP]]*$N$5</f>
        <v>10.244226592840983</v>
      </c>
      <c r="G5" s="2">
        <f>Table2234567891011121314151617181920[[#This Row],[PP]]/$N$2</f>
        <v>2.0488453185681967</v>
      </c>
      <c r="H5" s="4">
        <v>5</v>
      </c>
      <c r="I5" s="4">
        <f>Table2234567891011121314151617181920[[#This Row],[PPG]]*Table2234567891011121314151617181920[[#This Row],[Plays]]</f>
        <v>10.244226592840985</v>
      </c>
      <c r="J5" s="4">
        <v>11</v>
      </c>
      <c r="K5" s="2">
        <f>Table2234567891011121314151617181920[[#This Row],[APP]]/Table2234567891011121314151617181920[[#This Row],[Plays]]</f>
        <v>2.2000000000000002</v>
      </c>
      <c r="M5" t="s">
        <v>20</v>
      </c>
      <c r="N5">
        <v>0.14202497316617232</v>
      </c>
    </row>
    <row r="6" spans="1:14" x14ac:dyDescent="0.3">
      <c r="A6" t="s">
        <v>371</v>
      </c>
      <c r="B6" t="s">
        <v>19</v>
      </c>
      <c r="C6" t="s">
        <v>367</v>
      </c>
      <c r="D6">
        <v>3.9999999813735401</v>
      </c>
      <c r="E6">
        <v>43.741216569666001</v>
      </c>
      <c r="F6">
        <f>Table2234567891011121314151617181920[[#This Row],[ARIMAPP]]*$N$4+Table2234567891011121314151617181920[[#This Row],[LSTMPP]]*$N$5</f>
        <v>7.690160559679672</v>
      </c>
      <c r="G6" s="2">
        <f>Table2234567891011121314151617181920[[#This Row],[PP]]/$N$2</f>
        <v>1.5380321119359344</v>
      </c>
      <c r="H6" s="4">
        <v>3</v>
      </c>
      <c r="I6" s="4">
        <f>Table2234567891011121314151617181920[[#This Row],[PPG]]*Table2234567891011121314151617181920[[#This Row],[Plays]]</f>
        <v>4.6140963358078029</v>
      </c>
      <c r="J6" s="4">
        <v>3</v>
      </c>
      <c r="K6" s="2">
        <f>Table2234567891011121314151617181920[[#This Row],[APP]]/Table2234567891011121314151617181920[[#This Row],[Plays]]</f>
        <v>1</v>
      </c>
    </row>
    <row r="7" spans="1:14" x14ac:dyDescent="0.3">
      <c r="A7" t="s">
        <v>372</v>
      </c>
      <c r="B7" t="s">
        <v>16</v>
      </c>
      <c r="C7" t="s">
        <v>367</v>
      </c>
      <c r="D7">
        <v>15.0000004330696</v>
      </c>
      <c r="E7">
        <v>51.820192222764298</v>
      </c>
      <c r="F7">
        <f>Table2234567891011121314151617181920[[#This Row],[ARIMAPP]]*$N$4+Table2234567891011121314151617181920[[#This Row],[LSTMPP]]*$N$5</f>
        <v>12.901569533648516</v>
      </c>
      <c r="G7" s="2">
        <f>Table2234567891011121314151617181920[[#This Row],[PP]]/$N$2</f>
        <v>2.5803139067297032</v>
      </c>
      <c r="H7" s="2">
        <v>5</v>
      </c>
      <c r="I7" s="2">
        <f>Table2234567891011121314151617181920[[#This Row],[PPG]]*Table2234567891011121314151617181920[[#This Row],[Plays]]</f>
        <v>12.901569533648516</v>
      </c>
      <c r="J7" s="2">
        <v>15</v>
      </c>
      <c r="K7" s="2">
        <f>Table2234567891011121314151617181920[[#This Row],[APP]]/Table2234567891011121314151617181920[[#This Row],[Plays]]</f>
        <v>3</v>
      </c>
      <c r="M7" t="s">
        <v>22</v>
      </c>
      <c r="N7" cm="1">
        <f t="array" ref="N7">(SUM(Table2234567891011121314151617181920[Tot]-Table2234567891011121314151617181920[APP]))^2</f>
        <v>6.3189730660466098E-27</v>
      </c>
    </row>
    <row r="8" spans="1:14" x14ac:dyDescent="0.3">
      <c r="A8" t="s">
        <v>373</v>
      </c>
      <c r="B8" t="s">
        <v>16</v>
      </c>
      <c r="C8" t="s">
        <v>367</v>
      </c>
      <c r="D8">
        <v>11.8571427072077</v>
      </c>
      <c r="E8">
        <v>50.407478459859099</v>
      </c>
      <c r="F8">
        <f>Table2234567891011121314151617181920[[#This Row],[ARIMAPP]]*$N$4+Table2234567891011121314151617181920[[#This Row],[LSTMPP]]*$N$5</f>
        <v>11.539787967773766</v>
      </c>
      <c r="G8" s="2">
        <f>Table2234567891011121314151617181920[[#This Row],[PP]]/$N$2</f>
        <v>2.3079575935547529</v>
      </c>
      <c r="H8" s="2">
        <v>5</v>
      </c>
      <c r="I8" s="2">
        <f>Table2234567891011121314151617181920[[#This Row],[PPG]]*Table2234567891011121314151617181920[[#This Row],[Plays]]</f>
        <v>11.539787967773766</v>
      </c>
      <c r="J8" s="2">
        <v>12</v>
      </c>
      <c r="K8" s="2">
        <f>Table2234567891011121314151617181920[[#This Row],[APP]]/Table2234567891011121314151617181920[[#This Row],[Plays]]</f>
        <v>2.4</v>
      </c>
    </row>
    <row r="9" spans="1:14" x14ac:dyDescent="0.3">
      <c r="A9" t="s">
        <v>374</v>
      </c>
      <c r="B9" t="s">
        <v>19</v>
      </c>
      <c r="C9" t="s">
        <v>367</v>
      </c>
      <c r="D9">
        <v>9</v>
      </c>
      <c r="E9">
        <v>48.534279008563502</v>
      </c>
      <c r="F9">
        <f>Table2234567891011121314151617181920[[#This Row],[ARIMAPP]]*$N$4+Table2234567891011121314151617181920[[#This Row],[LSTMPP]]*$N$5</f>
        <v>10.218164452077925</v>
      </c>
      <c r="G9" s="2">
        <f>Table2234567891011121314151617181920[[#This Row],[PP]]/$N$2</f>
        <v>2.0436328904155849</v>
      </c>
      <c r="H9" s="4">
        <v>5</v>
      </c>
      <c r="I9" s="4">
        <f>Table2234567891011121314151617181920[[#This Row],[PPG]]*Table2234567891011121314151617181920[[#This Row],[Plays]]</f>
        <v>10.218164452077925</v>
      </c>
      <c r="J9" s="4">
        <v>8</v>
      </c>
      <c r="K9" s="2">
        <f>Table2234567891011121314151617181920[[#This Row],[APP]]/Table2234567891011121314151617181920[[#This Row],[Plays]]</f>
        <v>1.6</v>
      </c>
    </row>
    <row r="10" spans="1:14" x14ac:dyDescent="0.3">
      <c r="A10" t="s">
        <v>375</v>
      </c>
      <c r="B10" t="s">
        <v>19</v>
      </c>
      <c r="C10" t="s">
        <v>367</v>
      </c>
      <c r="D10">
        <v>11.047618984411301</v>
      </c>
      <c r="E10">
        <v>47.8881275240307</v>
      </c>
      <c r="F10">
        <f>Table2234567891011121314151617181920[[#This Row],[ARIMAPP]]*$N$4+Table2234567891011121314151617181920[[#This Row],[LSTMPP]]*$N$5</f>
        <v>10.882895551127643</v>
      </c>
      <c r="G10" s="2">
        <f>Table2234567891011121314151617181920[[#This Row],[PP]]/$N$2</f>
        <v>2.1765791102255285</v>
      </c>
      <c r="H10" s="2">
        <v>5</v>
      </c>
      <c r="I10" s="2">
        <f>Table2234567891011121314151617181920[[#This Row],[PPG]]*Table2234567891011121314151617181920[[#This Row],[Plays]]</f>
        <v>10.882895551127643</v>
      </c>
      <c r="J10" s="2">
        <v>11</v>
      </c>
      <c r="K10" s="2">
        <f>Table2234567891011121314151617181920[[#This Row],[APP]]/Table2234567891011121314151617181920[[#This Row],[Plays]]</f>
        <v>2.2000000000000002</v>
      </c>
    </row>
    <row r="11" spans="1:14" x14ac:dyDescent="0.3">
      <c r="A11" t="s">
        <v>376</v>
      </c>
      <c r="B11" t="s">
        <v>19</v>
      </c>
      <c r="C11" t="s">
        <v>367</v>
      </c>
      <c r="D11">
        <v>10.666633927590301</v>
      </c>
      <c r="E11">
        <v>51.650491444797602</v>
      </c>
      <c r="F11">
        <f>Table2234567891011121314151617181920[[#This Row],[ARIMAPP]]*$N$4+Table2234567891011121314151617181920[[#This Row],[LSTMPP]]*$N$5</f>
        <v>11.276488784552033</v>
      </c>
      <c r="G11" s="2">
        <f>Table2234567891011121314151617181920[[#This Row],[PP]]/$N$2</f>
        <v>2.2552977569104065</v>
      </c>
      <c r="H11" s="2">
        <v>5</v>
      </c>
      <c r="I11" s="2">
        <f>Table2234567891011121314151617181920[[#This Row],[PPG]]*Table2234567891011121314151617181920[[#This Row],[Plays]]</f>
        <v>11.276488784552033</v>
      </c>
      <c r="J11" s="2">
        <v>12</v>
      </c>
      <c r="K11" s="2">
        <f>Table2234567891011121314151617181920[[#This Row],[APP]]/Table2234567891011121314151617181920[[#This Row],[Plays]]</f>
        <v>2.4</v>
      </c>
    </row>
    <row r="12" spans="1:14" x14ac:dyDescent="0.3">
      <c r="A12" t="s">
        <v>377</v>
      </c>
      <c r="B12" t="s">
        <v>19</v>
      </c>
      <c r="C12" t="s">
        <v>367</v>
      </c>
      <c r="D12">
        <v>24.683849546602602</v>
      </c>
      <c r="E12">
        <v>55.279425371712897</v>
      </c>
      <c r="F12">
        <f>Table2234567891011121314151617181920[[#This Row],[ARIMAPP]]*$N$4+Table2234567891011121314151617181920[[#This Row],[LSTMPP]]*$N$5</f>
        <v>16.97060250460914</v>
      </c>
      <c r="G12" s="2">
        <f>Table2234567891011121314151617181920[[#This Row],[PP]]/$N$2</f>
        <v>3.394120500921828</v>
      </c>
      <c r="H12" s="4">
        <v>5</v>
      </c>
      <c r="I12" s="4">
        <f>Table2234567891011121314151617181920[[#This Row],[PPG]]*Table2234567891011121314151617181920[[#This Row],[Plays]]</f>
        <v>16.97060250460914</v>
      </c>
      <c r="J12" s="4">
        <v>19</v>
      </c>
      <c r="K12" s="2">
        <f>Table2234567891011121314151617181920[[#This Row],[APP]]/Table2234567891011121314151617181920[[#This Row],[Plays]]</f>
        <v>3.8</v>
      </c>
    </row>
    <row r="13" spans="1:14" x14ac:dyDescent="0.3">
      <c r="A13" t="s">
        <v>378</v>
      </c>
      <c r="B13" t="s">
        <v>19</v>
      </c>
      <c r="C13" t="s">
        <v>367</v>
      </c>
      <c r="D13">
        <v>19.428573797714701</v>
      </c>
      <c r="E13">
        <v>55.2487656167118</v>
      </c>
      <c r="F13">
        <f>Table2234567891011121314151617181920[[#This Row],[ARIMAPP]]*$N$4+Table2234567891011121314151617181920[[#This Row],[LSTMPP]]*$N$5</f>
        <v>15.024666120603531</v>
      </c>
      <c r="G13" s="2">
        <f>Table2234567891011121314151617181920[[#This Row],[PP]]/$N$2</f>
        <v>3.0049332241207063</v>
      </c>
      <c r="H13" s="2">
        <v>5</v>
      </c>
      <c r="I13" s="2">
        <f>Table2234567891011121314151617181920[[#This Row],[PPG]]*Table2234567891011121314151617181920[[#This Row],[Plays]]</f>
        <v>15.024666120603531</v>
      </c>
      <c r="J13" s="2">
        <v>19</v>
      </c>
      <c r="K13" s="2">
        <f>Table2234567891011121314151617181920[[#This Row],[APP]]/Table2234567891011121314151617181920[[#This Row],[Plays]]</f>
        <v>3.8</v>
      </c>
    </row>
    <row r="14" spans="1:14" x14ac:dyDescent="0.3">
      <c r="A14" t="s">
        <v>320</v>
      </c>
      <c r="B14" t="s">
        <v>16</v>
      </c>
      <c r="C14" t="s">
        <v>367</v>
      </c>
      <c r="D14">
        <v>5.9999999880258503</v>
      </c>
      <c r="E14">
        <v>44.217775322243099</v>
      </c>
      <c r="F14">
        <f>Table2234567891011121314151617181920[[#This Row],[ARIMAPP]]*$N$4+Table2234567891011121314151617181920[[#This Row],[LSTMPP]]*$N$5</f>
        <v>8.4967515346836322</v>
      </c>
      <c r="G14" s="2">
        <f>Table2234567891011121314151617181920[[#This Row],[PP]]/$N$2</f>
        <v>1.6993503069367264</v>
      </c>
      <c r="H14" s="4">
        <v>4</v>
      </c>
      <c r="I14" s="4">
        <f>Table2234567891011121314151617181920[[#This Row],[PPG]]*Table2234567891011121314151617181920[[#This Row],[Plays]]</f>
        <v>6.7974012277469056</v>
      </c>
      <c r="J14" s="4">
        <v>5</v>
      </c>
      <c r="K14" s="2">
        <f>Table2234567891011121314151617181920[[#This Row],[APP]]/Table2234567891011121314151617181920[[#This Row],[Plays]]</f>
        <v>1.25</v>
      </c>
    </row>
    <row r="15" spans="1:14" x14ac:dyDescent="0.3">
      <c r="A15" t="s">
        <v>379</v>
      </c>
      <c r="B15" t="s">
        <v>12</v>
      </c>
      <c r="C15" t="s">
        <v>367</v>
      </c>
      <c r="D15">
        <v>0</v>
      </c>
      <c r="E15">
        <v>41.460836777523198</v>
      </c>
      <c r="F15">
        <f>Table2234567891011121314151617181920[[#This Row],[ARIMAPP]]*$N$4+Table2234567891011121314151617181920[[#This Row],[LSTMPP]]*$N$5</f>
        <v>5.8884742307747828</v>
      </c>
      <c r="G15" s="2">
        <f>Table2234567891011121314151617181920[[#This Row],[PP]]/$N$2</f>
        <v>1.1776948461549566</v>
      </c>
      <c r="H15" s="4">
        <v>1</v>
      </c>
      <c r="I15" s="4">
        <f>Table2234567891011121314151617181920[[#This Row],[PPG]]*Table2234567891011121314151617181920[[#This Row],[Plays]]</f>
        <v>1.1776948461549566</v>
      </c>
      <c r="J15" s="4">
        <v>1</v>
      </c>
      <c r="K15" s="2">
        <f>Table2234567891011121314151617181920[[#This Row],[APP]]/Table2234567891011121314151617181920[[#This Row],[Plays]]</f>
        <v>1</v>
      </c>
    </row>
    <row r="16" spans="1:14" x14ac:dyDescent="0.3">
      <c r="A16" t="s">
        <v>380</v>
      </c>
      <c r="B16" t="s">
        <v>19</v>
      </c>
      <c r="C16" t="s">
        <v>367</v>
      </c>
      <c r="D16">
        <v>0</v>
      </c>
      <c r="E16">
        <v>41.448222641638701</v>
      </c>
      <c r="F16">
        <f>Table2234567891011121314151617181920[[#This Row],[ARIMAPP]]*$N$4+Table2234567891011121314151617181920[[#This Row],[LSTMPP]]*$N$5</f>
        <v>5.8866827084642726</v>
      </c>
      <c r="G16" s="2">
        <f>Table2234567891011121314151617181920[[#This Row],[PP]]/$N$2</f>
        <v>1.1773365416928545</v>
      </c>
      <c r="H16" s="2">
        <v>1</v>
      </c>
      <c r="I16" s="2">
        <f>Table2234567891011121314151617181920[[#This Row],[PPG]]*Table2234567891011121314151617181920[[#This Row],[Plays]]</f>
        <v>1.1773365416928545</v>
      </c>
      <c r="J16" s="2">
        <v>1</v>
      </c>
      <c r="K16" s="2">
        <f>Table2234567891011121314151617181920[[#This Row],[APP]]/Table2234567891011121314151617181920[[#This Row],[Plays]]</f>
        <v>1</v>
      </c>
    </row>
    <row r="17" spans="1:11" x14ac:dyDescent="0.3">
      <c r="A17" t="s">
        <v>381</v>
      </c>
      <c r="B17" t="s">
        <v>15</v>
      </c>
      <c r="C17" t="s">
        <v>367</v>
      </c>
      <c r="D17">
        <v>5.8095239427925103</v>
      </c>
      <c r="E17">
        <v>46.051454558438103</v>
      </c>
      <c r="F17">
        <f>Table2234567891011121314151617181920[[#This Row],[ARIMAPP]]*$N$4+Table2234567891011121314151617181920[[#This Row],[LSTMPP]]*$N$5</f>
        <v>8.6868076680411406</v>
      </c>
      <c r="G17" s="2">
        <f>Table2234567891011121314151617181920[[#This Row],[PP]]/$N$2</f>
        <v>1.7373615336082282</v>
      </c>
      <c r="H17" s="4">
        <v>4</v>
      </c>
      <c r="I17" s="4">
        <f>Table2234567891011121314151617181920[[#This Row],[PPG]]*Table2234567891011121314151617181920[[#This Row],[Plays]]</f>
        <v>6.9494461344329128</v>
      </c>
      <c r="J17" s="4">
        <v>5</v>
      </c>
      <c r="K17" s="2">
        <f>Table2234567891011121314151617181920[[#This Row],[APP]]/Table2234567891011121314151617181920[[#This Row],[Plays]]</f>
        <v>1.25</v>
      </c>
    </row>
    <row r="18" spans="1:11" x14ac:dyDescent="0.3">
      <c r="A18" t="s">
        <v>382</v>
      </c>
      <c r="B18" t="s">
        <v>16</v>
      </c>
      <c r="C18" t="s">
        <v>367</v>
      </c>
      <c r="D18">
        <v>1.0476190057723</v>
      </c>
      <c r="E18">
        <v>41.460803412368499</v>
      </c>
      <c r="F18">
        <f>Table2234567891011121314151617181920[[#This Row],[ARIMAPP]]*$N$4+Table2234567891011121314151617181920[[#This Row],[LSTMPP]]*$N$5</f>
        <v>6.2755163820335724</v>
      </c>
      <c r="G18" s="2">
        <f>Table2234567891011121314151617181920[[#This Row],[PP]]/$N$2</f>
        <v>1.2551032764067145</v>
      </c>
      <c r="H18" s="2">
        <v>2</v>
      </c>
      <c r="I18" s="2">
        <f>Table2234567891011121314151617181920[[#This Row],[PPG]]*Table2234567891011121314151617181920[[#This Row],[Plays]]</f>
        <v>2.510206552813429</v>
      </c>
      <c r="J18" s="2">
        <v>1</v>
      </c>
      <c r="K18" s="2">
        <f>Table2234567891011121314151617181920[[#This Row],[APP]]/Table2234567891011121314151617181920[[#This Row],[Plays]]</f>
        <v>0.5</v>
      </c>
    </row>
    <row r="19" spans="1:11" x14ac:dyDescent="0.3">
      <c r="A19" t="s">
        <v>383</v>
      </c>
      <c r="B19" t="s">
        <v>19</v>
      </c>
      <c r="C19" t="s">
        <v>367</v>
      </c>
      <c r="D19">
        <v>0</v>
      </c>
      <c r="E19">
        <v>41.141022476792301</v>
      </c>
      <c r="F19">
        <f>Table2234567891011121314151617181920[[#This Row],[ARIMAPP]]*$N$4+Table2234567891011121314151617181920[[#This Row],[LSTMPP]]*$N$5</f>
        <v>5.8430526132953187</v>
      </c>
      <c r="G19" s="5">
        <f>Table2234567891011121314151617181920[[#This Row],[PP]]/$N$2</f>
        <v>1.1686105226590637</v>
      </c>
      <c r="H19" s="5">
        <v>1</v>
      </c>
      <c r="I19" s="5">
        <f>Table2234567891011121314151617181920[[#This Row],[PPG]]*Table2234567891011121314151617181920[[#This Row],[Plays]]</f>
        <v>1.1686105226590637</v>
      </c>
      <c r="J19" s="5">
        <v>1</v>
      </c>
      <c r="K19" s="5">
        <f>Table2234567891011121314151617181920[[#This Row],[APP]]/Table2234567891011121314151617181920[[#This Row],[Plays]]</f>
        <v>1</v>
      </c>
    </row>
    <row r="20" spans="1:11" x14ac:dyDescent="0.3">
      <c r="A20" t="s">
        <v>384</v>
      </c>
      <c r="B20" t="s">
        <v>19</v>
      </c>
      <c r="C20" t="s">
        <v>367</v>
      </c>
      <c r="D20">
        <v>6.9999999733907803</v>
      </c>
      <c r="E20">
        <v>46.551778687842202</v>
      </c>
      <c r="F20">
        <f>Table2234567891011121314151617181920[[#This Row],[ARIMAPP]]*$N$4+Table2234567891011121314151617181920[[#This Row],[LSTMPP]]*$N$5</f>
        <v>9.197692158895304</v>
      </c>
      <c r="G20" s="6">
        <f>Table2234567891011121314151617181920[[#This Row],[PP]]/$N$2</f>
        <v>1.8395384317790608</v>
      </c>
      <c r="H20" s="2">
        <v>2</v>
      </c>
      <c r="I20" s="6">
        <f>Table2234567891011121314151617181920[[#This Row],[PPG]]*Table2234567891011121314151617181920[[#This Row],[Plays]]</f>
        <v>3.6790768635581217</v>
      </c>
      <c r="J20" s="2">
        <v>2</v>
      </c>
      <c r="K20" s="6">
        <f>Table2234567891011121314151617181920[[#This Row],[APP]]/Table2234567891011121314151617181920[[#This Row],[Plays]]</f>
        <v>1</v>
      </c>
    </row>
    <row r="21" spans="1:11" x14ac:dyDescent="0.3">
      <c r="A21" t="s">
        <v>385</v>
      </c>
      <c r="B21" t="s">
        <v>16</v>
      </c>
      <c r="C21" t="s">
        <v>367</v>
      </c>
      <c r="D21">
        <v>12.5999990234842</v>
      </c>
      <c r="E21">
        <v>54.167377886212897</v>
      </c>
      <c r="F21">
        <f>Table2234567891011121314151617181920[[#This Row],[ARIMAPP]]*$N$4+Table2234567891011121314151617181920[[#This Row],[LSTMPP]]*$N$5</f>
        <v>12.348238719539809</v>
      </c>
      <c r="G21" s="6">
        <f>Table2234567891011121314151617181920[[#This Row],[PP]]/$N$2</f>
        <v>2.469647743907962</v>
      </c>
      <c r="H21" s="2">
        <v>3</v>
      </c>
      <c r="I21" s="6">
        <f>Table2234567891011121314151617181920[[#This Row],[PPG]]*Table2234567891011121314151617181920[[#This Row],[Plays]]</f>
        <v>7.4089432317238861</v>
      </c>
      <c r="J21" s="2">
        <v>6</v>
      </c>
      <c r="K21" s="6">
        <f>Table2234567891011121314151617181920[[#This Row],[APP]]/Table2234567891011121314151617181920[[#This Row],[Plays]]</f>
        <v>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835F-9F70-4D70-A584-27C5989B4A56}">
  <dimension ref="A1:N17"/>
  <sheetViews>
    <sheetView tabSelected="1" workbookViewId="0">
      <selection activeCell="N5" sqref="N5"/>
    </sheetView>
  </sheetViews>
  <sheetFormatPr defaultRowHeight="14.4" x14ac:dyDescent="0.3"/>
  <cols>
    <col min="1" max="1" width="12.5546875" bestFit="1" customWidth="1"/>
    <col min="2" max="2" width="10" bestFit="1" customWidth="1"/>
    <col min="3" max="3" width="7.88671875" bestFit="1" customWidth="1"/>
    <col min="4" max="7" width="12" bestFit="1" customWidth="1"/>
    <col min="8" max="8" width="7.5546875" bestFit="1" customWidth="1"/>
    <col min="9" max="9" width="12" bestFit="1" customWidth="1"/>
    <col min="10" max="10" width="6.6640625" bestFit="1" customWidth="1"/>
    <col min="11" max="11" width="12" bestFit="1" customWidth="1"/>
    <col min="13" max="13" width="11.21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3">
      <c r="A2" t="s">
        <v>386</v>
      </c>
      <c r="B2" t="s">
        <v>15</v>
      </c>
      <c r="C2" t="s">
        <v>387</v>
      </c>
      <c r="D2">
        <v>5.3333332927224397</v>
      </c>
      <c r="E2">
        <v>45.075331319569401</v>
      </c>
      <c r="F2">
        <f>Table223456789101112131415161718192021[[#This Row],[ARIMAPP]]*$N$4+Table223456789101112131415161718192021[[#This Row],[LSTMPP]]*$N$5</f>
        <v>10.272976001612404</v>
      </c>
      <c r="G2" s="2">
        <f>Table223456789101112131415161718192021[[#This Row],[PP]]/$N$2</f>
        <v>2.0545952003224808</v>
      </c>
      <c r="H2" s="2">
        <v>3</v>
      </c>
      <c r="I2" s="2">
        <f>Table223456789101112131415161718192021[[#This Row],[PPG]]*Table223456789101112131415161718192021[[#This Row],[Plays]]</f>
        <v>6.1637856009674419</v>
      </c>
      <c r="J2" s="2">
        <v>5</v>
      </c>
      <c r="K2" s="3">
        <f>Table223456789101112131415161718192021[[#This Row],[APP]]/Table223456789101112131415161718192021[[#This Row],[Plays]]</f>
        <v>1.6666666666666667</v>
      </c>
      <c r="M2" t="s">
        <v>14</v>
      </c>
      <c r="N2">
        <v>5</v>
      </c>
    </row>
    <row r="3" spans="1:14" x14ac:dyDescent="0.3">
      <c r="A3" t="s">
        <v>388</v>
      </c>
      <c r="B3" t="s">
        <v>16</v>
      </c>
      <c r="C3" t="s">
        <v>387</v>
      </c>
      <c r="D3">
        <v>15.5714281631078</v>
      </c>
      <c r="E3">
        <v>54.5674021712966</v>
      </c>
      <c r="F3">
        <f>Table223456789101112131415161718192021[[#This Row],[ARIMAPP]]*$N$4+Table223456789101112131415161718192021[[#This Row],[LSTMPP]]*$N$5</f>
        <v>15.778042627692745</v>
      </c>
      <c r="G3" s="2">
        <f>Table223456789101112131415161718192021[[#This Row],[PP]]/$N$2</f>
        <v>3.1556085255385491</v>
      </c>
      <c r="H3" s="4">
        <v>5</v>
      </c>
      <c r="I3" s="4">
        <f>Table223456789101112131415161718192021[[#This Row],[PPG]]*Table223456789101112131415161718192021[[#This Row],[Plays]]</f>
        <v>15.778042627692745</v>
      </c>
      <c r="J3" s="4">
        <v>17</v>
      </c>
      <c r="K3" s="2">
        <f>Table223456789101112131415161718192021[[#This Row],[APP]]/Table223456789101112131415161718192021[[#This Row],[Plays]]</f>
        <v>3.4</v>
      </c>
    </row>
    <row r="4" spans="1:14" x14ac:dyDescent="0.3">
      <c r="A4" t="s">
        <v>389</v>
      </c>
      <c r="B4" t="s">
        <v>12</v>
      </c>
      <c r="C4" t="s">
        <v>387</v>
      </c>
      <c r="D4">
        <v>31.380948373229302</v>
      </c>
      <c r="E4">
        <v>60.622242083352397</v>
      </c>
      <c r="F4">
        <f>Table223456789101112131415161718192021[[#This Row],[ARIMAPP]]*$N$4+Table223456789101112131415161718192021[[#This Row],[LSTMPP]]*$N$5</f>
        <v>22.691453384546847</v>
      </c>
      <c r="G4" s="2">
        <f>Table223456789101112131415161718192021[[#This Row],[PP]]/$N$2</f>
        <v>4.5382906769093694</v>
      </c>
      <c r="H4" s="2">
        <v>5</v>
      </c>
      <c r="I4" s="2">
        <f>Table223456789101112131415161718192021[[#This Row],[PPG]]*Table223456789101112131415161718192021[[#This Row],[Plays]]</f>
        <v>22.691453384546847</v>
      </c>
      <c r="J4" s="2">
        <v>29</v>
      </c>
      <c r="K4" s="2">
        <f>Table223456789101112131415161718192021[[#This Row],[APP]]/Table223456789101112131415161718192021[[#This Row],[Plays]]</f>
        <v>5.8</v>
      </c>
      <c r="M4" t="s">
        <v>17</v>
      </c>
      <c r="N4">
        <v>0.36662237202882414</v>
      </c>
    </row>
    <row r="5" spans="1:14" x14ac:dyDescent="0.3">
      <c r="A5" t="s">
        <v>390</v>
      </c>
      <c r="B5" t="s">
        <v>19</v>
      </c>
      <c r="C5" t="s">
        <v>387</v>
      </c>
      <c r="D5">
        <v>20.190476136535299</v>
      </c>
      <c r="E5">
        <v>57.471425443167597</v>
      </c>
      <c r="F5">
        <f>Table223456789101112131415161718192021[[#This Row],[ARIMAPP]]*$N$4+Table223456789101112131415161718192021[[#This Row],[LSTMPP]]*$N$5</f>
        <v>18.007362298338695</v>
      </c>
      <c r="G5" s="2">
        <f>Table223456789101112131415161718192021[[#This Row],[PP]]/$N$2</f>
        <v>3.6014724596677388</v>
      </c>
      <c r="H5" s="4">
        <v>5</v>
      </c>
      <c r="I5" s="4">
        <f>Table223456789101112131415161718192021[[#This Row],[PPG]]*Table223456789101112131415161718192021[[#This Row],[Plays]]</f>
        <v>18.007362298338695</v>
      </c>
      <c r="J5" s="4">
        <v>20</v>
      </c>
      <c r="K5" s="2">
        <f>Table223456789101112131415161718192021[[#This Row],[APP]]/Table223456789101112131415161718192021[[#This Row],[Plays]]</f>
        <v>4</v>
      </c>
      <c r="M5" t="s">
        <v>20</v>
      </c>
      <c r="N5">
        <v>0.18452791040058542</v>
      </c>
    </row>
    <row r="6" spans="1:14" x14ac:dyDescent="0.3">
      <c r="A6" t="s">
        <v>391</v>
      </c>
      <c r="B6" t="s">
        <v>19</v>
      </c>
      <c r="C6" t="s">
        <v>387</v>
      </c>
      <c r="D6">
        <v>8.9999999767169303</v>
      </c>
      <c r="E6">
        <v>44.213328229263702</v>
      </c>
      <c r="F6">
        <f>Table223456789101112131415161718192021[[#This Row],[ARIMAPP]]*$N$4+Table223456789101112131415161718192021[[#This Row],[LSTMPP]]*$N$5</f>
        <v>11.458194409724568</v>
      </c>
      <c r="G6" s="2">
        <f>Table223456789101112131415161718192021[[#This Row],[PP]]/$N$2</f>
        <v>2.2916388819449134</v>
      </c>
      <c r="H6" s="2">
        <v>4</v>
      </c>
      <c r="I6" s="2">
        <f>Table223456789101112131415161718192021[[#This Row],[PPG]]*Table223456789101112131415161718192021[[#This Row],[Plays]]</f>
        <v>9.1665555277796535</v>
      </c>
      <c r="J6" s="2">
        <v>8</v>
      </c>
      <c r="K6" s="2">
        <f>Table223456789101112131415161718192021[[#This Row],[APP]]/Table223456789101112131415161718192021[[#This Row],[Plays]]</f>
        <v>2</v>
      </c>
    </row>
    <row r="7" spans="1:14" x14ac:dyDescent="0.3">
      <c r="A7" t="s">
        <v>392</v>
      </c>
      <c r="B7" t="s">
        <v>16</v>
      </c>
      <c r="C7" t="s">
        <v>387</v>
      </c>
      <c r="D7">
        <v>4.0202451987351102</v>
      </c>
      <c r="E7">
        <v>44.687132416782397</v>
      </c>
      <c r="F7">
        <f>Table223456789101112131415161718192021[[#This Row],[ARIMAPP]]*$N$4+Table223456789101112131415161718192021[[#This Row],[LSTMPP]]*$N$5</f>
        <v>9.7199349975608751</v>
      </c>
      <c r="G7" s="2">
        <f>Table223456789101112131415161718192021[[#This Row],[PP]]/$N$2</f>
        <v>1.943986999512175</v>
      </c>
      <c r="H7" s="4">
        <v>4</v>
      </c>
      <c r="I7" s="4">
        <f>Table223456789101112131415161718192021[[#This Row],[PPG]]*Table223456789101112131415161718192021[[#This Row],[Plays]]</f>
        <v>7.7759479980487001</v>
      </c>
      <c r="J7" s="4">
        <v>4</v>
      </c>
      <c r="K7" s="2">
        <f>Table223456789101112131415161718192021[[#This Row],[APP]]/Table223456789101112131415161718192021[[#This Row],[Plays]]</f>
        <v>1</v>
      </c>
      <c r="M7" t="s">
        <v>22</v>
      </c>
      <c r="N7" cm="1">
        <f t="array" ref="N7">(SUM(Table223456789101112131415161718192021[Tot]-Table223456789101112131415161718192021[APP]))^2</f>
        <v>1.199857436841159E-27</v>
      </c>
    </row>
    <row r="8" spans="1:14" x14ac:dyDescent="0.3">
      <c r="A8" t="s">
        <v>393</v>
      </c>
      <c r="B8" t="s">
        <v>19</v>
      </c>
      <c r="C8" t="s">
        <v>387</v>
      </c>
      <c r="D8">
        <v>15.1984803169281</v>
      </c>
      <c r="E8">
        <v>48.8244933834169</v>
      </c>
      <c r="F8">
        <f>Table223456789101112131415161718192021[[#This Row],[ARIMAPP]]*$N$4+Table223456789101112131415161718192021[[#This Row],[LSTMPP]]*$N$5</f>
        <v>14.581584645434702</v>
      </c>
      <c r="G8" s="2">
        <f>Table223456789101112131415161718192021[[#This Row],[PP]]/$N$2</f>
        <v>2.9163169290869404</v>
      </c>
      <c r="H8" s="2">
        <v>5</v>
      </c>
      <c r="I8" s="2">
        <f>Table223456789101112131415161718192021[[#This Row],[PPG]]*Table223456789101112131415161718192021[[#This Row],[Plays]]</f>
        <v>14.581584645434702</v>
      </c>
      <c r="J8" s="2">
        <v>15</v>
      </c>
      <c r="K8" s="2">
        <f>Table223456789101112131415161718192021[[#This Row],[APP]]/Table223456789101112131415161718192021[[#This Row],[Plays]]</f>
        <v>3</v>
      </c>
    </row>
    <row r="9" spans="1:14" x14ac:dyDescent="0.3">
      <c r="A9" t="s">
        <v>394</v>
      </c>
      <c r="B9" t="s">
        <v>16</v>
      </c>
      <c r="C9" t="s">
        <v>387</v>
      </c>
      <c r="D9">
        <v>17.6666639575541</v>
      </c>
      <c r="E9">
        <v>57.1849689738835</v>
      </c>
      <c r="F9">
        <f>Table223456789101112131415161718192021[[#This Row],[ARIMAPP]]*$N$4+Table223456789101112131415161718192021[[#This Row],[LSTMPP]]*$N$5</f>
        <v>17.029217077027649</v>
      </c>
      <c r="G9" s="2">
        <f>Table223456789101112131415161718192021[[#This Row],[PP]]/$N$2</f>
        <v>3.4058434154055299</v>
      </c>
      <c r="H9" s="4">
        <v>5</v>
      </c>
      <c r="I9" s="4">
        <f>Table223456789101112131415161718192021[[#This Row],[PPG]]*Table223456789101112131415161718192021[[#This Row],[Plays]]</f>
        <v>17.029217077027649</v>
      </c>
      <c r="J9" s="4">
        <v>21</v>
      </c>
      <c r="K9" s="2">
        <f>Table223456789101112131415161718192021[[#This Row],[APP]]/Table223456789101112131415161718192021[[#This Row],[Plays]]</f>
        <v>4.2</v>
      </c>
    </row>
    <row r="10" spans="1:14" x14ac:dyDescent="0.3">
      <c r="A10" t="s">
        <v>100</v>
      </c>
      <c r="B10" t="s">
        <v>19</v>
      </c>
      <c r="C10" t="s">
        <v>387</v>
      </c>
      <c r="D10">
        <v>11.6190473544035</v>
      </c>
      <c r="E10">
        <v>52.927968941802902</v>
      </c>
      <c r="F10">
        <f>Table223456789101112131415161718192021[[#This Row],[ARIMAPP]]*$N$4+Table223456789101112131415161718192021[[#This Row],[LSTMPP]]*$N$5</f>
        <v>14.026490212364619</v>
      </c>
      <c r="G10" s="2">
        <f>Table223456789101112131415161718192021[[#This Row],[PP]]/$N$2</f>
        <v>2.8052980424729239</v>
      </c>
      <c r="H10" s="4">
        <v>5</v>
      </c>
      <c r="I10" s="4">
        <f>Table223456789101112131415161718192021[[#This Row],[PPG]]*Table223456789101112131415161718192021[[#This Row],[Plays]]</f>
        <v>14.026490212364619</v>
      </c>
      <c r="J10" s="4">
        <v>12</v>
      </c>
      <c r="K10" s="2">
        <f>Table223456789101112131415161718192021[[#This Row],[APP]]/Table223456789101112131415161718192021[[#This Row],[Plays]]</f>
        <v>2.4</v>
      </c>
    </row>
    <row r="11" spans="1:14" x14ac:dyDescent="0.3">
      <c r="A11" t="s">
        <v>395</v>
      </c>
      <c r="B11" t="s">
        <v>16</v>
      </c>
      <c r="C11" t="s">
        <v>387</v>
      </c>
      <c r="D11">
        <v>9.2360679640607906</v>
      </c>
      <c r="E11">
        <v>47.828747630803299</v>
      </c>
      <c r="F11">
        <f>Table223456789101112131415161718192021[[#This Row],[ARIMAPP]]*$N$4+Table223456789101112131415161718192021[[#This Row],[LSTMPP]]*$N$5</f>
        <v>12.211888002592483</v>
      </c>
      <c r="G11" s="2">
        <f>Table223456789101112131415161718192021[[#This Row],[PP]]/$N$2</f>
        <v>2.4423776005184967</v>
      </c>
      <c r="H11" s="2">
        <v>4</v>
      </c>
      <c r="I11" s="2">
        <f>Table223456789101112131415161718192021[[#This Row],[PPG]]*Table223456789101112131415161718192021[[#This Row],[Plays]]</f>
        <v>9.7695104020739869</v>
      </c>
      <c r="J11" s="2">
        <v>7</v>
      </c>
      <c r="K11" s="2">
        <f>Table223456789101112131415161718192021[[#This Row],[APP]]/Table223456789101112131415161718192021[[#This Row],[Plays]]</f>
        <v>1.75</v>
      </c>
    </row>
    <row r="12" spans="1:14" x14ac:dyDescent="0.3">
      <c r="A12" t="s">
        <v>396</v>
      </c>
      <c r="B12" t="s">
        <v>19</v>
      </c>
      <c r="C12" t="s">
        <v>387</v>
      </c>
      <c r="D12">
        <v>2.9999999813735401</v>
      </c>
      <c r="E12">
        <v>43.4914225271405</v>
      </c>
      <c r="F12">
        <f>Table223456789101112131415161718192021[[#This Row],[ARIMAPP]]*$N$4+Table223456789101112131415161718192021[[#This Row],[LSTMPP]]*$N$5</f>
        <v>9.1252484285397806</v>
      </c>
      <c r="G12" s="2">
        <f>Table223456789101112131415161718192021[[#This Row],[PP]]/$N$2</f>
        <v>1.8250496857079561</v>
      </c>
      <c r="H12" s="2">
        <v>3</v>
      </c>
      <c r="I12" s="2">
        <f>Table223456789101112131415161718192021[[#This Row],[PPG]]*Table223456789101112131415161718192021[[#This Row],[Plays]]</f>
        <v>5.4751490571238683</v>
      </c>
      <c r="J12" s="2">
        <v>3</v>
      </c>
      <c r="K12" s="2">
        <f>Table223456789101112131415161718192021[[#This Row],[APP]]/Table223456789101112131415161718192021[[#This Row],[Plays]]</f>
        <v>1</v>
      </c>
    </row>
    <row r="13" spans="1:14" x14ac:dyDescent="0.3">
      <c r="A13" t="s">
        <v>397</v>
      </c>
      <c r="B13" t="s">
        <v>19</v>
      </c>
      <c r="C13" t="s">
        <v>387</v>
      </c>
      <c r="D13">
        <v>7.6666711321084602</v>
      </c>
      <c r="E13">
        <v>45.744114320698301</v>
      </c>
      <c r="F13">
        <f>Table223456789101112131415161718192021[[#This Row],[ARIMAPP]]*$N$4+Table223456789101112131415161718192021[[#This Row],[LSTMPP]]*$N$5</f>
        <v>11.251838984742466</v>
      </c>
      <c r="G13" s="2">
        <f>Table223456789101112131415161718192021[[#This Row],[PP]]/$N$2</f>
        <v>2.2503677969484932</v>
      </c>
      <c r="H13" s="4">
        <v>3</v>
      </c>
      <c r="I13" s="4">
        <f>Table223456789101112131415161718192021[[#This Row],[PPG]]*Table223456789101112131415161718192021[[#This Row],[Plays]]</f>
        <v>6.7511033908454792</v>
      </c>
      <c r="J13" s="4">
        <v>6</v>
      </c>
      <c r="K13" s="2">
        <f>Table223456789101112131415161718192021[[#This Row],[APP]]/Table223456789101112131415161718192021[[#This Row],[Plays]]</f>
        <v>2</v>
      </c>
    </row>
    <row r="14" spans="1:14" x14ac:dyDescent="0.3">
      <c r="A14" t="s">
        <v>398</v>
      </c>
      <c r="B14" t="s">
        <v>16</v>
      </c>
      <c r="C14" t="s">
        <v>387</v>
      </c>
      <c r="D14">
        <v>17.142859157622102</v>
      </c>
      <c r="E14">
        <v>54.334854854409002</v>
      </c>
      <c r="F14">
        <f>Table223456789101112131415161718192021[[#This Row],[ARIMAPP]]*$N$4+Table223456789101112131415161718192021[[#This Row],[LSTMPP]]*$N$5</f>
        <v>16.311252915926662</v>
      </c>
      <c r="G14" s="2">
        <f>Table223456789101112131415161718192021[[#This Row],[PP]]/$N$2</f>
        <v>3.2622505831853323</v>
      </c>
      <c r="H14" s="2">
        <v>5</v>
      </c>
      <c r="I14" s="2">
        <f>Table223456789101112131415161718192021[[#This Row],[PPG]]*Table223456789101112131415161718192021[[#This Row],[Plays]]</f>
        <v>16.311252915926662</v>
      </c>
      <c r="J14" s="2">
        <v>19</v>
      </c>
      <c r="K14" s="2">
        <f>Table223456789101112131415161718192021[[#This Row],[APP]]/Table223456789101112131415161718192021[[#This Row],[Plays]]</f>
        <v>3.8</v>
      </c>
    </row>
    <row r="15" spans="1:14" x14ac:dyDescent="0.3">
      <c r="A15" t="s">
        <v>399</v>
      </c>
      <c r="B15" t="s">
        <v>19</v>
      </c>
      <c r="C15" t="s">
        <v>387</v>
      </c>
      <c r="D15">
        <v>0</v>
      </c>
      <c r="E15">
        <v>40.682769221235098</v>
      </c>
      <c r="F15">
        <f>Table223456789101112131415161718192021[[#This Row],[ARIMAPP]]*$N$4+Table223456789101112131415161718192021[[#This Row],[LSTMPP]]*$N$5</f>
        <v>7.5071063937037641</v>
      </c>
      <c r="G15" s="6">
        <f>Table223456789101112131415161718192021[[#This Row],[PP]]/$N$2</f>
        <v>1.5014212787407528</v>
      </c>
      <c r="H15" s="2">
        <v>1</v>
      </c>
      <c r="I15" s="6">
        <f>Table223456789101112131415161718192021[[#This Row],[PPG]]*Table223456789101112131415161718192021[[#This Row],[Plays]]</f>
        <v>1.5014212787407528</v>
      </c>
      <c r="J15" s="2">
        <v>1</v>
      </c>
      <c r="K15" s="6">
        <f>Table223456789101112131415161718192021[[#This Row],[APP]]/Table223456789101112131415161718192021[[#This Row],[Plays]]</f>
        <v>1</v>
      </c>
    </row>
    <row r="16" spans="1:14" x14ac:dyDescent="0.3">
      <c r="A16" t="s">
        <v>400</v>
      </c>
      <c r="B16" t="s">
        <v>19</v>
      </c>
      <c r="C16" t="s">
        <v>387</v>
      </c>
      <c r="D16">
        <v>16.661840420039798</v>
      </c>
      <c r="E16">
        <v>58.792880229644297</v>
      </c>
      <c r="F16">
        <f>Table223456789101112131415161718192021[[#This Row],[ARIMAPP]]*$N$4+Table223456789101112131415161718192021[[#This Row],[LSTMPP]]*$N$5</f>
        <v>16.957530792368882</v>
      </c>
      <c r="G16" s="6">
        <f>Table223456789101112131415161718192021[[#This Row],[PP]]/$N$2</f>
        <v>3.3915061584737765</v>
      </c>
      <c r="H16" s="2">
        <v>4</v>
      </c>
      <c r="I16" s="6">
        <f>Table223456789101112131415161718192021[[#This Row],[PPG]]*Table223456789101112131415161718192021[[#This Row],[Plays]]</f>
        <v>13.566024633895106</v>
      </c>
      <c r="J16" s="2">
        <v>13</v>
      </c>
      <c r="K16" s="6">
        <f>Table223456789101112131415161718192021[[#This Row],[APP]]/Table223456789101112131415161718192021[[#This Row],[Plays]]</f>
        <v>3.25</v>
      </c>
    </row>
    <row r="17" spans="1:11" x14ac:dyDescent="0.3">
      <c r="A17" t="s">
        <v>401</v>
      </c>
      <c r="B17" t="s">
        <v>19</v>
      </c>
      <c r="C17" t="s">
        <v>387</v>
      </c>
      <c r="D17">
        <v>11.199999819358201</v>
      </c>
      <c r="E17">
        <v>53.6630351834742</v>
      </c>
      <c r="F17">
        <f>Table223456789101112131415161718192021[[#This Row],[ARIMAPP]]*$N$4+Table223456789101112131415161718192021[[#This Row],[LSTMPP]]*$N$5</f>
        <v>14.008498248655094</v>
      </c>
      <c r="G17" s="6">
        <f>Table223456789101112131415161718192021[[#This Row],[PP]]/$N$2</f>
        <v>2.8016996497310189</v>
      </c>
      <c r="H17" s="2">
        <v>3</v>
      </c>
      <c r="I17" s="6">
        <f>Table223456789101112131415161718192021[[#This Row],[PPG]]*Table223456789101112131415161718192021[[#This Row],[Plays]]</f>
        <v>8.4050989491930572</v>
      </c>
      <c r="J17" s="2">
        <v>7</v>
      </c>
      <c r="K17" s="6">
        <f>Table223456789101112131415161718192021[[#This Row],[APP]]/Table223456789101112131415161718192021[[#This Row],[Plays]]</f>
        <v>2.3333333333333335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NFO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Corridore, Gabe</dc:creator>
  <cp:lastModifiedBy>Corridore, Gabe</cp:lastModifiedBy>
  <dcterms:created xsi:type="dcterms:W3CDTF">2022-09-02T16:31:32Z</dcterms:created>
  <dcterms:modified xsi:type="dcterms:W3CDTF">2022-09-03T02:42:39Z</dcterms:modified>
</cp:coreProperties>
</file>