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FB8ACE62-73B2-494C-990A-68EF4889D0E2}" xr6:coauthVersionLast="47" xr6:coauthVersionMax="47" xr10:uidLastSave="{00000000-0000-0000-0000-000000000000}"/>
  <bookViews>
    <workbookView xWindow="-108" yWindow="-108" windowWidth="23256" windowHeight="12576" firstSheet="3" activeTab="16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IV" sheetId="10" r:id="rId10"/>
    <sheet name="MCI" sheetId="11" r:id="rId11"/>
    <sheet name="MUN" sheetId="12" r:id="rId12"/>
    <sheet name="NEW" sheetId="13" r:id="rId13"/>
    <sheet name="NFO" sheetId="14" r:id="rId14"/>
    <sheet name="TOT" sheetId="15" r:id="rId15"/>
    <sheet name="WHU" sheetId="16" r:id="rId16"/>
    <sheet name="WOL" sheetId="17" r:id="rId17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LIV!$I$2:$I$3</definedName>
    <definedName name="solver_adj" localSheetId="10" hidden="1">MCI!$I$2:$I$3</definedName>
    <definedName name="solver_adj" localSheetId="11" hidden="1">MUN!$I$2:$I$3</definedName>
    <definedName name="solver_adj" localSheetId="12" hidden="1">NEW!$I$2:$I$3</definedName>
    <definedName name="solver_adj" localSheetId="13" hidden="1">NFO!$I$2:$I$3</definedName>
    <definedName name="solver_adj" localSheetId="14" hidden="1">TOT!$I$2:$I$3</definedName>
    <definedName name="solver_adj" localSheetId="15" hidden="1">WHU!$I$2:$I$3</definedName>
    <definedName name="solver_adj" localSheetId="16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LIV!$I$5</definedName>
    <definedName name="solver_opt" localSheetId="10" hidden="1">MCI!$I$5</definedName>
    <definedName name="solver_opt" localSheetId="11" hidden="1">MUN!$I$5</definedName>
    <definedName name="solver_opt" localSheetId="12" hidden="1">NEW!$I$5</definedName>
    <definedName name="solver_opt" localSheetId="13" hidden="1">NFO!$I$5</definedName>
    <definedName name="solver_opt" localSheetId="14" hidden="1">TOT!$I$5</definedName>
    <definedName name="solver_opt" localSheetId="15" hidden="1">WHU!$I$5</definedName>
    <definedName name="solver_opt" localSheetId="16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7" l="1"/>
  <c r="F6" i="17" s="1"/>
  <c r="D5" i="17"/>
  <c r="F5" i="17" s="1"/>
  <c r="D4" i="17"/>
  <c r="F4" i="17" s="1"/>
  <c r="D3" i="17"/>
  <c r="F3" i="17" s="1"/>
  <c r="D2" i="17"/>
  <c r="F2" i="17" s="1"/>
  <c r="D7" i="16"/>
  <c r="F7" i="16" s="1"/>
  <c r="D6" i="16"/>
  <c r="F6" i="16" s="1"/>
  <c r="D5" i="16"/>
  <c r="F5" i="16" s="1"/>
  <c r="D4" i="16"/>
  <c r="F4" i="16" s="1"/>
  <c r="D3" i="16"/>
  <c r="F3" i="16" s="1"/>
  <c r="D2" i="16"/>
  <c r="F2" i="16" s="1"/>
  <c r="D8" i="15"/>
  <c r="F8" i="15" s="1"/>
  <c r="D7" i="15"/>
  <c r="F7" i="15" s="1"/>
  <c r="D6" i="15"/>
  <c r="F6" i="15" s="1"/>
  <c r="D5" i="15"/>
  <c r="F5" i="15" s="1"/>
  <c r="D4" i="15"/>
  <c r="F4" i="15" s="1"/>
  <c r="D3" i="15"/>
  <c r="F3" i="15" s="1"/>
  <c r="D2" i="15"/>
  <c r="F2" i="15" s="1"/>
  <c r="D3" i="14"/>
  <c r="F3" i="14" s="1"/>
  <c r="D2" i="14"/>
  <c r="F2" i="14" s="1"/>
  <c r="D13" i="13"/>
  <c r="F13" i="13" s="1"/>
  <c r="D12" i="13"/>
  <c r="F12" i="13" s="1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D4" i="13"/>
  <c r="F4" i="13" s="1"/>
  <c r="D3" i="13"/>
  <c r="F3" i="13" s="1"/>
  <c r="D2" i="13"/>
  <c r="D3" i="12"/>
  <c r="F3" i="12" s="1"/>
  <c r="D2" i="12"/>
  <c r="F2" i="12" s="1"/>
  <c r="D8" i="11"/>
  <c r="F8" i="11" s="1"/>
  <c r="D7" i="11"/>
  <c r="F7" i="11" s="1"/>
  <c r="D6" i="11"/>
  <c r="F6" i="11" s="1"/>
  <c r="D5" i="11"/>
  <c r="F5" i="11" s="1"/>
  <c r="D4" i="11"/>
  <c r="F4" i="11" s="1"/>
  <c r="D3" i="11"/>
  <c r="F3" i="11" s="1"/>
  <c r="D2" i="11"/>
  <c r="F2" i="11" s="1"/>
  <c r="D10" i="10"/>
  <c r="F10" i="10" s="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F2" i="10" s="1"/>
  <c r="D7" i="9"/>
  <c r="F7" i="9" s="1"/>
  <c r="D6" i="9"/>
  <c r="F6" i="9" s="1"/>
  <c r="D5" i="9"/>
  <c r="D4" i="9"/>
  <c r="F4" i="9" s="1"/>
  <c r="D3" i="9"/>
  <c r="F3" i="9" s="1"/>
  <c r="D2" i="9"/>
  <c r="F2" i="9" s="1"/>
  <c r="D7" i="8"/>
  <c r="F7" i="8" s="1"/>
  <c r="D6" i="8"/>
  <c r="F6" i="8" s="1"/>
  <c r="D5" i="8"/>
  <c r="F5" i="8" s="1"/>
  <c r="D4" i="8"/>
  <c r="F4" i="8" s="1"/>
  <c r="D3" i="8"/>
  <c r="F3" i="8" s="1"/>
  <c r="D2" i="8"/>
  <c r="F2" i="8" s="1"/>
  <c r="D13" i="7"/>
  <c r="F13" i="7" s="1"/>
  <c r="D12" i="7"/>
  <c r="F12" i="7" s="1"/>
  <c r="D11" i="7"/>
  <c r="F11" i="7" s="1"/>
  <c r="D10" i="7"/>
  <c r="F10" i="7" s="1"/>
  <c r="D9" i="7"/>
  <c r="F9" i="7" s="1"/>
  <c r="D8" i="7"/>
  <c r="F8" i="7" s="1"/>
  <c r="D7" i="7"/>
  <c r="F7" i="7" s="1"/>
  <c r="D6" i="7"/>
  <c r="F6" i="7" s="1"/>
  <c r="D5" i="7"/>
  <c r="D4" i="7"/>
  <c r="F4" i="7" s="1"/>
  <c r="D3" i="7"/>
  <c r="D2" i="7"/>
  <c r="F2" i="7" s="1"/>
  <c r="D2" i="6"/>
  <c r="F2" i="6" s="1"/>
  <c r="I7" i="6" s="1"/>
  <c r="D8" i="5"/>
  <c r="F8" i="5" s="1"/>
  <c r="D7" i="5"/>
  <c r="F7" i="5" s="1"/>
  <c r="D6" i="5"/>
  <c r="F6" i="5" s="1"/>
  <c r="D5" i="5"/>
  <c r="D4" i="5"/>
  <c r="F4" i="5" s="1"/>
  <c r="D3" i="5"/>
  <c r="F3" i="5" s="1"/>
  <c r="D2" i="5"/>
  <c r="F2" i="5" s="1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D2" i="4"/>
  <c r="F2" i="4" s="1"/>
  <c r="D5" i="3"/>
  <c r="F5" i="3" s="1"/>
  <c r="D4" i="3"/>
  <c r="F4" i="3" s="1"/>
  <c r="D3" i="3"/>
  <c r="F3" i="3" s="1"/>
  <c r="D2" i="3"/>
  <c r="F2" i="3" s="1"/>
  <c r="D10" i="2"/>
  <c r="F10" i="2" s="1"/>
  <c r="D9" i="2"/>
  <c r="F9" i="2" s="1"/>
  <c r="D8" i="2"/>
  <c r="F8" i="2" s="1"/>
  <c r="D7" i="2"/>
  <c r="F7" i="2" s="1"/>
  <c r="D6" i="2"/>
  <c r="F6" i="2" s="1"/>
  <c r="D5" i="2"/>
  <c r="D4" i="2"/>
  <c r="F4" i="2" s="1"/>
  <c r="D3" i="2"/>
  <c r="F3" i="2" s="1"/>
  <c r="D2" i="2"/>
  <c r="F2" i="2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I5" i="17" l="1" a="1"/>
  <c r="I5" i="17" s="1"/>
  <c r="I5" i="16" a="1"/>
  <c r="I5" i="16" s="1"/>
  <c r="I7" i="16"/>
  <c r="I5" i="15" a="1"/>
  <c r="I5" i="15" s="1"/>
  <c r="I5" i="14" a="1"/>
  <c r="I5" i="14" s="1"/>
  <c r="I7" i="14"/>
  <c r="I5" i="13" a="1"/>
  <c r="I5" i="13" s="1"/>
  <c r="F2" i="13"/>
  <c r="I5" i="12" a="1"/>
  <c r="I5" i="12" s="1"/>
  <c r="I7" i="12"/>
  <c r="I5" i="11" a="1"/>
  <c r="I5" i="11" s="1"/>
  <c r="I5" i="10" a="1"/>
  <c r="I5" i="10" s="1"/>
  <c r="I7" i="10"/>
  <c r="I5" i="9" a="1"/>
  <c r="I5" i="9" s="1"/>
  <c r="I5" i="8" a="1"/>
  <c r="I5" i="8" s="1"/>
  <c r="I5" i="7" a="1"/>
  <c r="I5" i="7" s="1"/>
  <c r="F3" i="7"/>
  <c r="I5" i="6"/>
  <c r="I5" i="5" a="1"/>
  <c r="I5" i="5" s="1"/>
  <c r="I5" i="4" a="1"/>
  <c r="I5" i="4" s="1"/>
  <c r="F3" i="4"/>
  <c r="I7" i="4" s="1"/>
  <c r="I7" i="3"/>
  <c r="I5" i="3" a="1"/>
  <c r="I5" i="3" s="1"/>
  <c r="I5" i="2" a="1"/>
  <c r="I5" i="2" s="1"/>
  <c r="I5" i="1" a="1"/>
  <c r="I5" i="1" s="1"/>
  <c r="I7" i="1"/>
  <c r="I7" i="15"/>
  <c r="I7" i="17"/>
  <c r="I7" i="11"/>
  <c r="I7" i="8"/>
  <c r="F5" i="2"/>
  <c r="I7" i="2" s="1"/>
  <c r="F5" i="7"/>
  <c r="F5" i="13"/>
  <c r="I7" i="13" s="1"/>
  <c r="F5" i="5"/>
  <c r="I7" i="5" s="1"/>
  <c r="F5" i="9"/>
  <c r="I7" i="9" s="1"/>
  <c r="I7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<sst xmlns="http://schemas.openxmlformats.org/spreadsheetml/2006/main" count="287" uniqueCount="127">
  <si>
    <t>Name</t>
  </si>
  <si>
    <t>ARIMAPP</t>
  </si>
  <si>
    <t>LSTMPP</t>
  </si>
  <si>
    <t>PP</t>
  </si>
  <si>
    <t>AP</t>
  </si>
  <si>
    <t>DIFF</t>
  </si>
  <si>
    <t>Gabriel</t>
  </si>
  <si>
    <t>ARIMA</t>
  </si>
  <si>
    <t>Havertz</t>
  </si>
  <si>
    <t>LSTM</t>
  </si>
  <si>
    <t>Jorginho</t>
  </si>
  <si>
    <t>Martinelli</t>
  </si>
  <si>
    <t>OFF</t>
  </si>
  <si>
    <t>Nketiah</t>
  </si>
  <si>
    <t>Ødegaard</t>
  </si>
  <si>
    <t>AVG</t>
  </si>
  <si>
    <t>Ramsdale</t>
  </si>
  <si>
    <t>Saka</t>
  </si>
  <si>
    <t>Trossard</t>
  </si>
  <si>
    <t>White</t>
  </si>
  <si>
    <t>Xhaka</t>
  </si>
  <si>
    <t>Rice</t>
  </si>
  <si>
    <t>Bailey</t>
  </si>
  <si>
    <t>Buendia</t>
  </si>
  <si>
    <t>Douglas Luiz</t>
  </si>
  <si>
    <t>Konsa</t>
  </si>
  <si>
    <t>Martinez</t>
  </si>
  <si>
    <t>McGinn</t>
  </si>
  <si>
    <t>Mings</t>
  </si>
  <si>
    <t>J.Ramsey</t>
  </si>
  <si>
    <t>Watkins</t>
  </si>
  <si>
    <t>Billing</t>
  </si>
  <si>
    <t>Senesi</t>
  </si>
  <si>
    <t>Smith</t>
  </si>
  <si>
    <t>Solanke</t>
  </si>
  <si>
    <t>Dasilva</t>
  </si>
  <si>
    <t>Henry</t>
  </si>
  <si>
    <t>Janelt</t>
  </si>
  <si>
    <t>Jensen</t>
  </si>
  <si>
    <t>Mbeumo</t>
  </si>
  <si>
    <t>Mee</t>
  </si>
  <si>
    <t>Pinnock</t>
  </si>
  <si>
    <t>Raya</t>
  </si>
  <si>
    <t>Toney</t>
  </si>
  <si>
    <t>Wissa</t>
  </si>
  <si>
    <t>Caicedo</t>
  </si>
  <si>
    <t>Dunk</t>
  </si>
  <si>
    <t>Estupiñan</t>
  </si>
  <si>
    <t>Gross</t>
  </si>
  <si>
    <t>March</t>
  </si>
  <si>
    <t>Mitoma</t>
  </si>
  <si>
    <t>Veltman</t>
  </si>
  <si>
    <t>Sterling</t>
  </si>
  <si>
    <t>Andersen</t>
  </si>
  <si>
    <t>J.Ayew</t>
  </si>
  <si>
    <t>C.Doucouré</t>
  </si>
  <si>
    <t>Edouard</t>
  </si>
  <si>
    <t>Eze</t>
  </si>
  <si>
    <t>Guaita</t>
  </si>
  <si>
    <t>Guéhi</t>
  </si>
  <si>
    <t>Lerma</t>
  </si>
  <si>
    <t>Mitchell</t>
  </si>
  <si>
    <t>Olise</t>
  </si>
  <si>
    <t>Schlupp</t>
  </si>
  <si>
    <t>Ward</t>
  </si>
  <si>
    <t>Gray</t>
  </si>
  <si>
    <t>Iwobi</t>
  </si>
  <si>
    <t>McNeil</t>
  </si>
  <si>
    <t>Onana</t>
  </si>
  <si>
    <t>Pickford</t>
  </si>
  <si>
    <t>Tarkowski</t>
  </si>
  <si>
    <t>Andreas</t>
  </si>
  <si>
    <t>Leno</t>
  </si>
  <si>
    <t>Ream</t>
  </si>
  <si>
    <t>Reed</t>
  </si>
  <si>
    <t>Robinson</t>
  </si>
  <si>
    <t>Vinícius</t>
  </si>
  <si>
    <t>Alexander-Arnold</t>
  </si>
  <si>
    <t>Alisson</t>
  </si>
  <si>
    <t>Darwin</t>
  </si>
  <si>
    <t>Elliott</t>
  </si>
  <si>
    <t>Henderson</t>
  </si>
  <si>
    <t>Mac Allister</t>
  </si>
  <si>
    <t>Robertson</t>
  </si>
  <si>
    <t>Salah</t>
  </si>
  <si>
    <t>Virgil</t>
  </si>
  <si>
    <t>J.Alvarez</t>
  </si>
  <si>
    <t>Bernardo</t>
  </si>
  <si>
    <t>De Bruyne</t>
  </si>
  <si>
    <t>Ederson M.</t>
  </si>
  <si>
    <t>Foden</t>
  </si>
  <si>
    <t>Haaland</t>
  </si>
  <si>
    <t>Rodrigo</t>
  </si>
  <si>
    <t>B.Fernandes</t>
  </si>
  <si>
    <t>Rashford</t>
  </si>
  <si>
    <t>Almirón</t>
  </si>
  <si>
    <t>Botman</t>
  </si>
  <si>
    <t>Bruno G.</t>
  </si>
  <si>
    <t>Burn</t>
  </si>
  <si>
    <t>Joelinton</t>
  </si>
  <si>
    <t>Longstaff</t>
  </si>
  <si>
    <t>Murphy</t>
  </si>
  <si>
    <t>Pope</t>
  </si>
  <si>
    <t>Schär</t>
  </si>
  <si>
    <t>Trippier</t>
  </si>
  <si>
    <t>Willock</t>
  </si>
  <si>
    <t>Wilson</t>
  </si>
  <si>
    <t>Gibbs-White</t>
  </si>
  <si>
    <t>Johnson</t>
  </si>
  <si>
    <t>Davies</t>
  </si>
  <si>
    <t>Dier</t>
  </si>
  <si>
    <t>Højbjerg</t>
  </si>
  <si>
    <t>Kane</t>
  </si>
  <si>
    <t>Maddison</t>
  </si>
  <si>
    <t>Perišić</t>
  </si>
  <si>
    <t>Son</t>
  </si>
  <si>
    <t>Antonio</t>
  </si>
  <si>
    <t>Benrahma</t>
  </si>
  <si>
    <t>Bowen</t>
  </si>
  <si>
    <t>Cresswell</t>
  </si>
  <si>
    <t>Fabianski</t>
  </si>
  <si>
    <t>Ings</t>
  </si>
  <si>
    <t>Kilman</t>
  </si>
  <si>
    <t>Matheus N.</t>
  </si>
  <si>
    <t>Podence</t>
  </si>
  <si>
    <t>José Sá</t>
  </si>
  <si>
    <t>N.Semedo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</si>
</sst>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3">
  <autoFilter ref="A1:F13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10">
  <autoFilter ref="A1:F10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5">
  <autoFilter ref="A1:F5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1">
  <autoFilter ref="A1:F11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8">
  <autoFilter ref="A1:F8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2">
  <autoFilter ref="A1:F2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3">
  <autoFilter ref="A1:F13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7">
  <autoFilter ref="A1:F7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7">
  <autoFilter ref="A1:F7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IV" displayName="TableLIV" ref="A1:F10">
  <autoFilter ref="A1:F10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MCI" displayName="TableMCI" ref="A1:F8">
  <autoFilter ref="A1:F8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MUN" displayName="TableMUN" ref="A1:F3">
  <autoFilter ref="A1:F3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NEW" displayName="TableNEW" ref="A1:F13">
  <autoFilter ref="A1:F13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NFO" displayName="TableNFO" ref="A1:F3">
  <autoFilter ref="A1:F3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TOT" displayName="TableTOT" ref="A1:F8">
  <autoFilter ref="A1:F8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WHU" displayName="TableWHU" ref="A1:F7">
  <autoFilter ref="A1:F7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WOL" displayName="TableWOL" ref="A1:F6">
  <autoFilter ref="A1:F6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39.341412860953895</v>
      </c>
      <c r="C2">
        <v>41.613079414802414</v>
      </c>
      <c r="D2">
        <f t="shared" ref="D2:D13" si="0">B2*$I$2+C2*$I$3</f>
        <v>37.812105000276546</v>
      </c>
      <c r="E2">
        <v>31</v>
      </c>
      <c r="F2">
        <f t="shared" ref="F2:F13" si="1">ABS(D2-E2)</f>
        <v>6.8121050002765458</v>
      </c>
      <c r="H2" t="s">
        <v>7</v>
      </c>
      <c r="I2">
        <v>0.45845736128589115</v>
      </c>
    </row>
    <row r="3" spans="1:9" x14ac:dyDescent="0.3">
      <c r="A3" t="s">
        <v>8</v>
      </c>
      <c r="B3">
        <v>48.75</v>
      </c>
      <c r="C3">
        <v>32.507693900763698</v>
      </c>
      <c r="D3">
        <f t="shared" si="0"/>
        <v>37.798397222273053</v>
      </c>
      <c r="E3">
        <v>29</v>
      </c>
      <c r="F3">
        <f t="shared" si="1"/>
        <v>8.7983972222730529</v>
      </c>
      <c r="H3" t="s">
        <v>9</v>
      </c>
      <c r="I3">
        <v>0.47522906136454446</v>
      </c>
    </row>
    <row r="4" spans="1:9" x14ac:dyDescent="0.3">
      <c r="A4" t="s">
        <v>10</v>
      </c>
      <c r="B4">
        <v>36.576032169581822</v>
      </c>
      <c r="C4">
        <v>30.072207805033582</v>
      </c>
      <c r="D4">
        <f t="shared" si="0"/>
        <v>31.059738283119987</v>
      </c>
      <c r="E4">
        <v>21</v>
      </c>
      <c r="F4">
        <f t="shared" si="1"/>
        <v>10.059738283119987</v>
      </c>
    </row>
    <row r="5" spans="1:9" x14ac:dyDescent="0.3">
      <c r="A5" t="s">
        <v>11</v>
      </c>
      <c r="B5">
        <v>50.937318109066098</v>
      </c>
      <c r="C5">
        <v>54.85334559986331</v>
      </c>
      <c r="D5">
        <f t="shared" si="0"/>
        <v>49.420492393390489</v>
      </c>
      <c r="E5">
        <v>56</v>
      </c>
      <c r="F5">
        <f t="shared" si="1"/>
        <v>6.5795076066095106</v>
      </c>
      <c r="H5" t="s">
        <v>12</v>
      </c>
      <c r="I5" cm="1">
        <f t="array" ref="I5">(SUM(TableARS[PP]-TableARS[AP]))^2</f>
        <v>8.0779356694631609E-28</v>
      </c>
    </row>
    <row r="6" spans="1:9" x14ac:dyDescent="0.3">
      <c r="A6" t="s">
        <v>13</v>
      </c>
      <c r="B6">
        <v>21.750261957464424</v>
      </c>
      <c r="C6">
        <v>42.778606998815647</v>
      </c>
      <c r="D6">
        <f t="shared" si="0"/>
        <v>30.301204954825934</v>
      </c>
      <c r="E6">
        <v>29</v>
      </c>
      <c r="F6">
        <f t="shared" si="1"/>
        <v>1.3012049548259341</v>
      </c>
    </row>
    <row r="7" spans="1:9" x14ac:dyDescent="0.3">
      <c r="A7" t="s">
        <v>14</v>
      </c>
      <c r="B7">
        <v>41.943175961963888</v>
      </c>
      <c r="C7">
        <v>49.91896731066192</v>
      </c>
      <c r="D7">
        <f t="shared" si="0"/>
        <v>42.952101754805028</v>
      </c>
      <c r="E7">
        <v>63</v>
      </c>
      <c r="F7">
        <f t="shared" si="1"/>
        <v>20.047898245194972</v>
      </c>
      <c r="H7" t="s">
        <v>15</v>
      </c>
      <c r="I7">
        <f>AVERAGE(TableARS[DIFF])/10</f>
        <v>0.74426003394092111</v>
      </c>
    </row>
    <row r="8" spans="1:9" x14ac:dyDescent="0.3">
      <c r="A8" t="s">
        <v>16</v>
      </c>
      <c r="B8">
        <v>54.999999845970699</v>
      </c>
      <c r="C8">
        <v>37.378338868350404</v>
      </c>
      <c r="D8">
        <f t="shared" si="0"/>
        <v>42.978427695880178</v>
      </c>
      <c r="E8">
        <v>32</v>
      </c>
      <c r="F8">
        <f t="shared" si="1"/>
        <v>10.978427695880178</v>
      </c>
    </row>
    <row r="9" spans="1:9" x14ac:dyDescent="0.3">
      <c r="A9" t="s">
        <v>17</v>
      </c>
      <c r="B9">
        <v>45.744536247919783</v>
      </c>
      <c r="C9">
        <v>54.986334025240808</v>
      </c>
      <c r="D9">
        <f t="shared" si="0"/>
        <v>47.103023288160607</v>
      </c>
      <c r="E9">
        <v>45</v>
      </c>
      <c r="F9">
        <f t="shared" si="1"/>
        <v>2.1030232881606068</v>
      </c>
    </row>
    <row r="10" spans="1:9" x14ac:dyDescent="0.3">
      <c r="A10" t="s">
        <v>18</v>
      </c>
      <c r="B10">
        <v>39.904489951049143</v>
      </c>
      <c r="C10">
        <v>39.437809835581845</v>
      </c>
      <c r="D10">
        <f t="shared" si="0"/>
        <v>37.036500516854311</v>
      </c>
      <c r="E10">
        <v>36</v>
      </c>
      <c r="F10">
        <f t="shared" si="1"/>
        <v>1.0365005168543107</v>
      </c>
    </row>
    <row r="11" spans="1:9" x14ac:dyDescent="0.3">
      <c r="A11" t="s">
        <v>19</v>
      </c>
      <c r="B11">
        <v>43.958202705878811</v>
      </c>
      <c r="C11">
        <v>45.058783640403689</v>
      </c>
      <c r="D11">
        <f t="shared" si="0"/>
        <v>41.566205075064659</v>
      </c>
      <c r="E11">
        <v>38</v>
      </c>
      <c r="F11">
        <f t="shared" si="1"/>
        <v>3.5662050750646586</v>
      </c>
    </row>
    <row r="12" spans="1:9" x14ac:dyDescent="0.3">
      <c r="A12" t="s">
        <v>20</v>
      </c>
      <c r="B12">
        <v>26.872910410197221</v>
      </c>
      <c r="C12">
        <v>30.105049855763216</v>
      </c>
      <c r="D12">
        <f t="shared" si="0"/>
        <v>26.626878182018341</v>
      </c>
      <c r="E12">
        <v>43</v>
      </c>
      <c r="F12">
        <f t="shared" si="1"/>
        <v>16.373121817981659</v>
      </c>
    </row>
    <row r="13" spans="1:9" x14ac:dyDescent="0.3">
      <c r="A13" t="s">
        <v>21</v>
      </c>
      <c r="B13">
        <v>21.320681987706195</v>
      </c>
      <c r="C13">
        <v>30.659534975818161</v>
      </c>
      <c r="D13">
        <f t="shared" si="0"/>
        <v>24.344925633330895</v>
      </c>
      <c r="E13">
        <v>26</v>
      </c>
      <c r="F13">
        <f t="shared" si="1"/>
        <v>1.6550743666691048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22</v>
      </c>
      <c r="B2">
        <v>55.68421057333186</v>
      </c>
      <c r="C2">
        <v>36.685318117655058</v>
      </c>
      <c r="D2">
        <f t="shared" ref="D2:D10" si="0">B2*$I$2+C2*$I$3</f>
        <v>48.549275846229925</v>
      </c>
      <c r="E2">
        <v>24</v>
      </c>
      <c r="F2">
        <f t="shared" ref="F2:F10" si="1">ABS(D2-E2)</f>
        <v>24.549275846229925</v>
      </c>
      <c r="H2" t="s">
        <v>7</v>
      </c>
      <c r="I2">
        <v>0.55108336928836288</v>
      </c>
    </row>
    <row r="3" spans="1:9" x14ac:dyDescent="0.3">
      <c r="A3" t="s">
        <v>23</v>
      </c>
      <c r="B3">
        <v>38.285714285714285</v>
      </c>
      <c r="C3">
        <v>34.176590827241171</v>
      </c>
      <c r="D3">
        <f t="shared" si="0"/>
        <v>37.739716820063194</v>
      </c>
      <c r="E3">
        <v>37</v>
      </c>
      <c r="F3">
        <f t="shared" si="1"/>
        <v>0.73971682006319384</v>
      </c>
      <c r="H3" t="s">
        <v>9</v>
      </c>
      <c r="I3">
        <v>0.48691504895848259</v>
      </c>
    </row>
    <row r="4" spans="1:9" x14ac:dyDescent="0.3">
      <c r="A4" t="s">
        <v>24</v>
      </c>
      <c r="B4">
        <v>48.647058852579853</v>
      </c>
      <c r="C4">
        <v>31.73756810980311</v>
      </c>
      <c r="D4">
        <f t="shared" si="0"/>
        <v>42.262084628456947</v>
      </c>
      <c r="E4">
        <v>45</v>
      </c>
      <c r="F4">
        <f t="shared" si="1"/>
        <v>2.7379153715430533</v>
      </c>
    </row>
    <row r="5" spans="1:9" x14ac:dyDescent="0.3">
      <c r="A5" t="s">
        <v>25</v>
      </c>
      <c r="B5">
        <v>26.758197306741543</v>
      </c>
      <c r="C5">
        <v>29.591181812225653</v>
      </c>
      <c r="D5">
        <f t="shared" si="0"/>
        <v>29.15438926872114</v>
      </c>
      <c r="E5">
        <v>37</v>
      </c>
      <c r="F5">
        <f t="shared" si="1"/>
        <v>7.8456107312788603</v>
      </c>
      <c r="H5" t="s">
        <v>12</v>
      </c>
      <c r="I5" cm="1">
        <f t="array" ref="I5">(SUM(TableAVL[PP]-TableAVL[AP]))^2</f>
        <v>4.543838814073028E-28</v>
      </c>
    </row>
    <row r="6" spans="1:9" x14ac:dyDescent="0.3">
      <c r="A6" t="s">
        <v>26</v>
      </c>
      <c r="B6">
        <v>69.913043441520188</v>
      </c>
      <c r="C6">
        <v>45.627714073900982</v>
      </c>
      <c r="D6">
        <f t="shared" si="0"/>
        <v>60.744736169113764</v>
      </c>
      <c r="E6">
        <v>41</v>
      </c>
      <c r="F6">
        <f t="shared" si="1"/>
        <v>19.744736169113764</v>
      </c>
    </row>
    <row r="7" spans="1:9" x14ac:dyDescent="0.3">
      <c r="A7" t="s">
        <v>27</v>
      </c>
      <c r="B7">
        <v>28.277022896845594</v>
      </c>
      <c r="C7">
        <v>32.422285790635513</v>
      </c>
      <c r="D7">
        <f t="shared" si="0"/>
        <v>31.369895924531058</v>
      </c>
      <c r="E7">
        <v>25</v>
      </c>
      <c r="F7">
        <f t="shared" si="1"/>
        <v>6.3698959245310576</v>
      </c>
      <c r="H7" t="s">
        <v>15</v>
      </c>
      <c r="I7">
        <f>AVERAGE(TableAVL[DIFF])/10</f>
        <v>1.1423027724430657</v>
      </c>
    </row>
    <row r="8" spans="1:9" x14ac:dyDescent="0.3">
      <c r="A8" t="s">
        <v>28</v>
      </c>
      <c r="B8">
        <v>32.394278226411132</v>
      </c>
      <c r="C8">
        <v>36.066960672627246</v>
      </c>
      <c r="D8">
        <f t="shared" si="0"/>
        <v>35.413493912371266</v>
      </c>
      <c r="E8">
        <v>50</v>
      </c>
      <c r="F8">
        <f t="shared" si="1"/>
        <v>14.586506087628734</v>
      </c>
    </row>
    <row r="9" spans="1:9" x14ac:dyDescent="0.3">
      <c r="A9" t="s">
        <v>29</v>
      </c>
      <c r="B9">
        <v>26.065738215706023</v>
      </c>
      <c r="C9">
        <v>32.943956186762321</v>
      </c>
      <c r="D9">
        <f t="shared" si="0"/>
        <v>30.405302878463196</v>
      </c>
      <c r="E9">
        <v>49</v>
      </c>
      <c r="F9">
        <f t="shared" si="1"/>
        <v>18.594697121536804</v>
      </c>
    </row>
    <row r="10" spans="1:9" x14ac:dyDescent="0.3">
      <c r="A10" t="s">
        <v>30</v>
      </c>
      <c r="B10">
        <v>44.910540244323101</v>
      </c>
      <c r="C10">
        <v>48.492345365280705</v>
      </c>
      <c r="D10">
        <f t="shared" si="0"/>
        <v>48.36110455204949</v>
      </c>
      <c r="E10">
        <v>56</v>
      </c>
      <c r="F10">
        <f t="shared" si="1"/>
        <v>7.6388954479505102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31</v>
      </c>
      <c r="B2">
        <v>75.583333333333343</v>
      </c>
      <c r="C2">
        <v>39.35458365506922</v>
      </c>
      <c r="D2">
        <f>B2*$I$2+C2*$I$3</f>
        <v>44.863218634707579</v>
      </c>
      <c r="E2">
        <v>39</v>
      </c>
      <c r="F2">
        <f>ABS(D2-E2)</f>
        <v>5.8632186347075788</v>
      </c>
      <c r="H2" t="s">
        <v>7</v>
      </c>
      <c r="I2">
        <v>0.42404822981533802</v>
      </c>
    </row>
    <row r="3" spans="1:9" x14ac:dyDescent="0.3">
      <c r="A3" t="s">
        <v>32</v>
      </c>
      <c r="B3">
        <v>37.444444367809901</v>
      </c>
      <c r="C3">
        <v>36.800652891544331</v>
      </c>
      <c r="D3">
        <f>B3*$I$2+C3*$I$3</f>
        <v>27.85903506940382</v>
      </c>
      <c r="E3">
        <v>29</v>
      </c>
      <c r="F3">
        <f>ABS(D3-E3)</f>
        <v>1.14096493059618</v>
      </c>
      <c r="H3" t="s">
        <v>9</v>
      </c>
      <c r="I3">
        <v>0.32555902619781912</v>
      </c>
    </row>
    <row r="4" spans="1:9" x14ac:dyDescent="0.3">
      <c r="A4" t="s">
        <v>33</v>
      </c>
      <c r="B4">
        <v>42.416666703159308</v>
      </c>
      <c r="C4">
        <v>28.349613333395965</v>
      </c>
      <c r="D4">
        <f>B4*$I$2+C4*$I$3</f>
        <v>27.216184940046993</v>
      </c>
      <c r="E4">
        <v>20</v>
      </c>
      <c r="F4">
        <f>ABS(D4-E4)</f>
        <v>7.2161849400469933</v>
      </c>
    </row>
    <row r="5" spans="1:9" x14ac:dyDescent="0.3">
      <c r="A5" t="s">
        <v>34</v>
      </c>
      <c r="B5">
        <v>37.435881340946167</v>
      </c>
      <c r="C5">
        <v>43.577173415600285</v>
      </c>
      <c r="D5">
        <f>B5*$I$2+C5*$I$3</f>
        <v>30.061561355841583</v>
      </c>
      <c r="E5">
        <v>42</v>
      </c>
      <c r="F5">
        <f>ABS(D5-E5)</f>
        <v>11.938438644158417</v>
      </c>
      <c r="H5" t="s">
        <v>12</v>
      </c>
      <c r="I5" cm="1">
        <f t="array" ref="I5">(SUM(TableBOU[PP]-TableBOU[AP]))^2</f>
        <v>6.1846694969327326E-28</v>
      </c>
    </row>
    <row r="7" spans="1:9" x14ac:dyDescent="0.3">
      <c r="H7" t="s">
        <v>15</v>
      </c>
      <c r="I7">
        <f>AVERAGE(TableBOU[DIFF])/10</f>
        <v>0.65397017873772922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35</v>
      </c>
      <c r="B2">
        <v>34.217391304347821</v>
      </c>
      <c r="C2">
        <v>35.05583664051553</v>
      </c>
      <c r="D2">
        <f t="shared" ref="D2:D11" si="0">B2*$I$2+C2*$I$3</f>
        <v>27.487493273336458</v>
      </c>
      <c r="E2">
        <v>20</v>
      </c>
      <c r="F2">
        <f t="shared" ref="F2:F11" si="1">ABS(D2-E2)</f>
        <v>7.4874932733364581</v>
      </c>
      <c r="H2" t="s">
        <v>7</v>
      </c>
      <c r="I2">
        <v>0.42773790035027809</v>
      </c>
    </row>
    <row r="3" spans="1:9" x14ac:dyDescent="0.3">
      <c r="A3" t="s">
        <v>36</v>
      </c>
      <c r="B3">
        <v>49.018686913889262</v>
      </c>
      <c r="C3">
        <v>32.8880478822105</v>
      </c>
      <c r="D3">
        <f t="shared" si="0"/>
        <v>33.023860208854188</v>
      </c>
      <c r="E3">
        <v>30</v>
      </c>
      <c r="F3">
        <f t="shared" si="1"/>
        <v>3.0238602088541882</v>
      </c>
      <c r="H3" t="s">
        <v>9</v>
      </c>
      <c r="I3">
        <v>0.36659852945851318</v>
      </c>
    </row>
    <row r="4" spans="1:9" x14ac:dyDescent="0.3">
      <c r="A4" t="s">
        <v>37</v>
      </c>
      <c r="B4">
        <v>34.598668719521093</v>
      </c>
      <c r="C4">
        <v>26.557615765865886</v>
      </c>
      <c r="D4">
        <f t="shared" si="0"/>
        <v>24.535144798693455</v>
      </c>
      <c r="E4">
        <v>23</v>
      </c>
      <c r="F4">
        <f t="shared" si="1"/>
        <v>1.5351447986934552</v>
      </c>
    </row>
    <row r="5" spans="1:9" x14ac:dyDescent="0.3">
      <c r="A5" t="s">
        <v>38</v>
      </c>
      <c r="B5">
        <v>26.735555212333139</v>
      </c>
      <c r="C5">
        <v>34.167044900131401</v>
      </c>
      <c r="D5">
        <f t="shared" si="0"/>
        <v>23.961398667553475</v>
      </c>
      <c r="E5">
        <v>32</v>
      </c>
      <c r="F5">
        <f t="shared" si="1"/>
        <v>8.0386013324465253</v>
      </c>
      <c r="H5" t="s">
        <v>12</v>
      </c>
      <c r="I5" cm="1">
        <f t="array" ref="I5">(SUM(TableBRE[PP]-TableBRE[AP]))^2</f>
        <v>5.0487097934144756E-29</v>
      </c>
    </row>
    <row r="6" spans="1:9" x14ac:dyDescent="0.3">
      <c r="A6" t="s">
        <v>39</v>
      </c>
      <c r="B6">
        <v>31.006712739841465</v>
      </c>
      <c r="C6">
        <v>36.757860809231389</v>
      </c>
      <c r="D6">
        <f t="shared" si="0"/>
        <v>26.738123922808946</v>
      </c>
      <c r="E6">
        <v>34</v>
      </c>
      <c r="F6">
        <f t="shared" si="1"/>
        <v>7.2618760771910544</v>
      </c>
    </row>
    <row r="7" spans="1:9" x14ac:dyDescent="0.3">
      <c r="A7" t="s">
        <v>40</v>
      </c>
      <c r="B7">
        <v>66.96820690782566</v>
      </c>
      <c r="C7">
        <v>40.205663748579255</v>
      </c>
      <c r="D7">
        <f t="shared" si="0"/>
        <v>43.384177419108944</v>
      </c>
      <c r="E7">
        <v>36</v>
      </c>
      <c r="F7">
        <f t="shared" si="1"/>
        <v>7.3841774191089442</v>
      </c>
      <c r="H7" t="s">
        <v>15</v>
      </c>
      <c r="I7">
        <f>AVERAGE(TableBRE[DIFF])/10</f>
        <v>0.60282630665992221</v>
      </c>
    </row>
    <row r="8" spans="1:9" x14ac:dyDescent="0.3">
      <c r="A8" t="s">
        <v>41</v>
      </c>
      <c r="B8">
        <v>31.337312018990044</v>
      </c>
      <c r="C8">
        <v>33.230950526558431</v>
      </c>
      <c r="D8">
        <f t="shared" si="0"/>
        <v>25.586573641169259</v>
      </c>
      <c r="E8">
        <v>31</v>
      </c>
      <c r="F8">
        <f t="shared" si="1"/>
        <v>5.4134263588307405</v>
      </c>
    </row>
    <row r="9" spans="1:9" x14ac:dyDescent="0.3">
      <c r="A9" t="s">
        <v>42</v>
      </c>
      <c r="B9">
        <v>62.191489356527086</v>
      </c>
      <c r="C9">
        <v>45.099722607625779</v>
      </c>
      <c r="D9">
        <f t="shared" si="0"/>
        <v>43.135149063960036</v>
      </c>
      <c r="E9">
        <v>38</v>
      </c>
      <c r="F9">
        <f t="shared" si="1"/>
        <v>5.1351490639600357</v>
      </c>
    </row>
    <row r="10" spans="1:9" x14ac:dyDescent="0.3">
      <c r="A10" t="s">
        <v>43</v>
      </c>
      <c r="B10">
        <v>47.710789436471259</v>
      </c>
      <c r="C10">
        <v>52.277557049040475</v>
      </c>
      <c r="D10">
        <f t="shared" si="0"/>
        <v>39.572588435472213</v>
      </c>
      <c r="E10">
        <v>49</v>
      </c>
      <c r="F10">
        <f t="shared" si="1"/>
        <v>9.4274115645277874</v>
      </c>
    </row>
    <row r="11" spans="1:9" x14ac:dyDescent="0.3">
      <c r="A11" t="s">
        <v>44</v>
      </c>
      <c r="B11">
        <v>44.823529362574646</v>
      </c>
      <c r="C11">
        <v>31.104238879650861</v>
      </c>
      <c r="D11">
        <f t="shared" si="0"/>
        <v>30.575490569043033</v>
      </c>
      <c r="E11">
        <v>25</v>
      </c>
      <c r="F11">
        <f t="shared" si="1"/>
        <v>5.5754905690430334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45</v>
      </c>
      <c r="B2">
        <v>47.999999951409251</v>
      </c>
      <c r="C2">
        <v>39.237656853072778</v>
      </c>
      <c r="D2">
        <f t="shared" ref="D2:D8" si="0">B2*$I$2+C2*$I$3</f>
        <v>35.876067303723133</v>
      </c>
      <c r="E2">
        <v>22</v>
      </c>
      <c r="F2">
        <f t="shared" ref="F2:F8" si="1">ABS(D2-E2)</f>
        <v>13.876067303723133</v>
      </c>
      <c r="H2" t="s">
        <v>7</v>
      </c>
      <c r="I2">
        <v>0.40377516187347584</v>
      </c>
    </row>
    <row r="3" spans="1:9" x14ac:dyDescent="0.3">
      <c r="A3" t="s">
        <v>46</v>
      </c>
      <c r="B3">
        <v>55.529248489712046</v>
      </c>
      <c r="C3">
        <v>34.565831927725554</v>
      </c>
      <c r="D3">
        <f t="shared" si="0"/>
        <v>36.952233209801449</v>
      </c>
      <c r="E3">
        <v>36</v>
      </c>
      <c r="F3">
        <f t="shared" si="1"/>
        <v>0.95223320980144877</v>
      </c>
      <c r="H3" t="s">
        <v>9</v>
      </c>
      <c r="I3">
        <v>0.42038339891655091</v>
      </c>
    </row>
    <row r="4" spans="1:9" x14ac:dyDescent="0.3">
      <c r="A4" t="s">
        <v>47</v>
      </c>
      <c r="B4">
        <v>43.111111111111114</v>
      </c>
      <c r="C4">
        <v>54.744362987651535</v>
      </c>
      <c r="D4">
        <f t="shared" si="0"/>
        <v>40.420817251704676</v>
      </c>
      <c r="E4">
        <v>39</v>
      </c>
      <c r="F4">
        <f t="shared" si="1"/>
        <v>1.4208172517046762</v>
      </c>
    </row>
    <row r="5" spans="1:9" x14ac:dyDescent="0.3">
      <c r="A5" t="s">
        <v>48</v>
      </c>
      <c r="B5">
        <v>44.425853149783521</v>
      </c>
      <c r="C5">
        <v>42.954995832065144</v>
      </c>
      <c r="D5">
        <f t="shared" si="0"/>
        <v>35.995623195250928</v>
      </c>
      <c r="E5">
        <v>40</v>
      </c>
      <c r="F5">
        <f t="shared" si="1"/>
        <v>4.0043768047490715</v>
      </c>
      <c r="H5" t="s">
        <v>12</v>
      </c>
      <c r="I5" cm="1">
        <f t="array" ref="I5">(SUM(TableBHA[PP]-TableBHA[AP]))^2</f>
        <v>5.0487097934144756E-29</v>
      </c>
    </row>
    <row r="6" spans="1:9" x14ac:dyDescent="0.3">
      <c r="A6" t="s">
        <v>49</v>
      </c>
      <c r="B6">
        <v>46.616631111892772</v>
      </c>
      <c r="C6">
        <v>57.66064676633642</v>
      </c>
      <c r="D6">
        <f t="shared" si="0"/>
        <v>43.062216444559752</v>
      </c>
      <c r="E6">
        <v>46</v>
      </c>
      <c r="F6">
        <f t="shared" si="1"/>
        <v>2.9377835554402481</v>
      </c>
    </row>
    <row r="7" spans="1:9" x14ac:dyDescent="0.3">
      <c r="A7" t="s">
        <v>50</v>
      </c>
      <c r="B7">
        <v>33.716019872011294</v>
      </c>
      <c r="C7">
        <v>69.266697352088102</v>
      </c>
      <c r="D7">
        <f t="shared" si="0"/>
        <v>42.732261046145545</v>
      </c>
      <c r="E7">
        <v>44</v>
      </c>
      <c r="F7">
        <f t="shared" si="1"/>
        <v>1.2677389538544546</v>
      </c>
      <c r="H7" t="s">
        <v>15</v>
      </c>
      <c r="I7">
        <f>AVERAGE(TableBHA[DIFF])/10</f>
        <v>0.46426050757797865</v>
      </c>
    </row>
    <row r="8" spans="1:9" x14ac:dyDescent="0.3">
      <c r="A8" t="s">
        <v>51</v>
      </c>
      <c r="B8">
        <v>47.098984314674041</v>
      </c>
      <c r="C8">
        <v>33.168249671649328</v>
      </c>
      <c r="D8">
        <f t="shared" si="0"/>
        <v>32.960781548814523</v>
      </c>
      <c r="E8">
        <v>41</v>
      </c>
      <c r="F8">
        <f t="shared" si="1"/>
        <v>8.0392184511854765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52</v>
      </c>
      <c r="B2">
        <v>81.222222199589496</v>
      </c>
      <c r="C2">
        <v>44.636218993389804</v>
      </c>
      <c r="D2">
        <f>B2*$I$2+C2*$I$3</f>
        <v>32</v>
      </c>
      <c r="E2">
        <v>32</v>
      </c>
      <c r="F2">
        <f>ABS(D2-E2)</f>
        <v>0</v>
      </c>
      <c r="H2" t="s">
        <v>7</v>
      </c>
      <c r="I2">
        <v>0.30259369046391182</v>
      </c>
    </row>
    <row r="3" spans="1:9" x14ac:dyDescent="0.3">
      <c r="H3" t="s">
        <v>9</v>
      </c>
      <c r="I3">
        <v>0.16629249081436701</v>
      </c>
    </row>
    <row r="5" spans="1:9" x14ac:dyDescent="0.3">
      <c r="H5" t="s">
        <v>12</v>
      </c>
      <c r="I5">
        <f>(SUM(TableCHE[PP]-TableCHE[AP]))^2</f>
        <v>0</v>
      </c>
    </row>
    <row r="7" spans="1:9" x14ac:dyDescent="0.3">
      <c r="H7" t="s">
        <v>15</v>
      </c>
      <c r="I7">
        <f>AVERAGE(TableCHE[DIFF])/10</f>
        <v>0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53</v>
      </c>
      <c r="B2">
        <v>31.025641020233422</v>
      </c>
      <c r="C2">
        <v>31.0848318514103</v>
      </c>
      <c r="D2">
        <f t="shared" ref="D2:D13" si="0">B2*$I$2+C2*$I$3</f>
        <v>33.820747299848129</v>
      </c>
      <c r="E2">
        <v>24</v>
      </c>
      <c r="F2">
        <f t="shared" ref="F2:F13" si="1">ABS(D2-E2)</f>
        <v>9.8207472998481293</v>
      </c>
      <c r="H2" t="s">
        <v>7</v>
      </c>
      <c r="I2">
        <v>0.56053895326138092</v>
      </c>
    </row>
    <row r="3" spans="1:9" x14ac:dyDescent="0.3">
      <c r="A3" t="s">
        <v>54</v>
      </c>
      <c r="B3">
        <v>23.406498753314988</v>
      </c>
      <c r="C3">
        <v>23.764653822971045</v>
      </c>
      <c r="D3">
        <f t="shared" si="0"/>
        <v>25.680893195681421</v>
      </c>
      <c r="E3">
        <v>40</v>
      </c>
      <c r="F3">
        <f t="shared" si="1"/>
        <v>14.319106804318579</v>
      </c>
      <c r="H3" t="s">
        <v>9</v>
      </c>
      <c r="I3">
        <v>0.52854289309458558</v>
      </c>
    </row>
    <row r="4" spans="1:9" x14ac:dyDescent="0.3">
      <c r="A4" t="s">
        <v>55</v>
      </c>
      <c r="B4">
        <v>32.857142759353984</v>
      </c>
      <c r="C4">
        <v>34.998299567334058</v>
      </c>
      <c r="D4">
        <f t="shared" si="0"/>
        <v>36.915810916197771</v>
      </c>
      <c r="E4">
        <v>21</v>
      </c>
      <c r="F4">
        <f t="shared" si="1"/>
        <v>15.915810916197771</v>
      </c>
    </row>
    <row r="5" spans="1:9" x14ac:dyDescent="0.3">
      <c r="A5" t="s">
        <v>56</v>
      </c>
      <c r="B5">
        <v>28.320949489755023</v>
      </c>
      <c r="C5">
        <v>25.421574344079918</v>
      </c>
      <c r="D5">
        <f t="shared" si="0"/>
        <v>29.311387833194814</v>
      </c>
      <c r="E5">
        <v>20</v>
      </c>
      <c r="F5">
        <f t="shared" si="1"/>
        <v>9.3113878331948143</v>
      </c>
      <c r="H5" t="s">
        <v>12</v>
      </c>
      <c r="I5" cm="1">
        <f t="array" ref="I5">(SUM(TableCRY[PP]-TableCRY[AP]))^2</f>
        <v>1.6357819730662901E-26</v>
      </c>
    </row>
    <row r="6" spans="1:9" x14ac:dyDescent="0.3">
      <c r="A6" t="s">
        <v>57</v>
      </c>
      <c r="B6">
        <v>59.432835779565188</v>
      </c>
      <c r="C6">
        <v>33.286259945854532</v>
      </c>
      <c r="D6">
        <f t="shared" si="0"/>
        <v>50.907635689313395</v>
      </c>
      <c r="E6">
        <v>62</v>
      </c>
      <c r="F6">
        <f t="shared" si="1"/>
        <v>11.092364310686605</v>
      </c>
    </row>
    <row r="7" spans="1:9" x14ac:dyDescent="0.3">
      <c r="A7" t="s">
        <v>58</v>
      </c>
      <c r="B7">
        <v>34.730344318748564</v>
      </c>
      <c r="C7">
        <v>39.198008480748719</v>
      </c>
      <c r="D7">
        <f t="shared" si="0"/>
        <v>40.185539656799698</v>
      </c>
      <c r="E7">
        <v>38</v>
      </c>
      <c r="F7">
        <f t="shared" si="1"/>
        <v>2.1855396567996976</v>
      </c>
      <c r="H7" t="s">
        <v>15</v>
      </c>
      <c r="I7">
        <f>AVERAGE(TableCRY[DIFF])/10</f>
        <v>0.68621725471503325</v>
      </c>
    </row>
    <row r="8" spans="1:9" x14ac:dyDescent="0.3">
      <c r="A8" t="s">
        <v>59</v>
      </c>
      <c r="B8">
        <v>29.22854069490289</v>
      </c>
      <c r="C8">
        <v>28.449882416994907</v>
      </c>
      <c r="D8">
        <f t="shared" si="0"/>
        <v>31.420718767357812</v>
      </c>
      <c r="E8">
        <v>34</v>
      </c>
      <c r="F8">
        <f t="shared" si="1"/>
        <v>2.5792812326421881</v>
      </c>
    </row>
    <row r="9" spans="1:9" x14ac:dyDescent="0.3">
      <c r="A9" t="s">
        <v>60</v>
      </c>
      <c r="B9">
        <v>21.885118791234834</v>
      </c>
      <c r="C9">
        <v>31.652593207468204</v>
      </c>
      <c r="D9">
        <f t="shared" si="0"/>
        <v>28.997214767061024</v>
      </c>
      <c r="E9">
        <v>33</v>
      </c>
      <c r="F9">
        <f t="shared" si="1"/>
        <v>4.0027852329389759</v>
      </c>
    </row>
    <row r="10" spans="1:9" x14ac:dyDescent="0.3">
      <c r="A10" t="s">
        <v>61</v>
      </c>
      <c r="B10">
        <v>28.764458364589835</v>
      </c>
      <c r="C10">
        <v>27.77005050904749</v>
      </c>
      <c r="D10">
        <f t="shared" si="0"/>
        <v>30.801262220252489</v>
      </c>
      <c r="E10">
        <v>29</v>
      </c>
      <c r="F10">
        <f t="shared" si="1"/>
        <v>1.8012622202524895</v>
      </c>
    </row>
    <row r="11" spans="1:9" x14ac:dyDescent="0.3">
      <c r="A11" t="s">
        <v>62</v>
      </c>
      <c r="B11">
        <v>44.458333332896579</v>
      </c>
      <c r="C11">
        <v>34.467703500426154</v>
      </c>
      <c r="D11">
        <f t="shared" si="0"/>
        <v>43.138287356609027</v>
      </c>
      <c r="E11">
        <v>41</v>
      </c>
      <c r="F11">
        <f t="shared" si="1"/>
        <v>2.1382873566090268</v>
      </c>
    </row>
    <row r="12" spans="1:9" x14ac:dyDescent="0.3">
      <c r="A12" t="s">
        <v>63</v>
      </c>
      <c r="B12">
        <v>28.002509182422195</v>
      </c>
      <c r="C12">
        <v>23.822165078512505</v>
      </c>
      <c r="D12">
        <f t="shared" si="0"/>
        <v>28.287533236180948</v>
      </c>
      <c r="E12">
        <v>35</v>
      </c>
      <c r="F12">
        <f t="shared" si="1"/>
        <v>6.7124667638190516</v>
      </c>
    </row>
    <row r="13" spans="1:9" x14ac:dyDescent="0.3">
      <c r="A13" t="s">
        <v>64</v>
      </c>
      <c r="B13">
        <v>19.41125553986317</v>
      </c>
      <c r="C13">
        <v>25.82988888520752</v>
      </c>
      <c r="D13">
        <f t="shared" si="0"/>
        <v>24.532969061503344</v>
      </c>
      <c r="E13">
        <v>27</v>
      </c>
      <c r="F13">
        <f t="shared" si="1"/>
        <v>2.4670309384966558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65</v>
      </c>
      <c r="B2">
        <v>31.485818123719596</v>
      </c>
      <c r="C2">
        <v>32.507631666952733</v>
      </c>
      <c r="D2">
        <f t="shared" ref="D2:D7" si="0">B2*$I$2+C2*$I$3</f>
        <v>35.178768990317046</v>
      </c>
      <c r="E2">
        <v>22</v>
      </c>
      <c r="F2">
        <f t="shared" ref="F2:F7" si="1">ABS(D2-E2)</f>
        <v>13.178768990317046</v>
      </c>
      <c r="H2" t="s">
        <v>7</v>
      </c>
      <c r="I2">
        <v>0.53679008479169565</v>
      </c>
    </row>
    <row r="3" spans="1:9" x14ac:dyDescent="0.3">
      <c r="A3" t="s">
        <v>66</v>
      </c>
      <c r="B3">
        <v>28.12667617651821</v>
      </c>
      <c r="C3">
        <v>30.4394577777949</v>
      </c>
      <c r="D3">
        <f t="shared" si="0"/>
        <v>32.212779161327134</v>
      </c>
      <c r="E3">
        <v>33</v>
      </c>
      <c r="F3">
        <f t="shared" si="1"/>
        <v>0.78722083867286585</v>
      </c>
      <c r="H3" t="s">
        <v>9</v>
      </c>
      <c r="I3">
        <v>0.562252402672896</v>
      </c>
    </row>
    <row r="4" spans="1:9" x14ac:dyDescent="0.3">
      <c r="A4" t="s">
        <v>67</v>
      </c>
      <c r="B4">
        <v>26.172998147784917</v>
      </c>
      <c r="C4">
        <v>25.94595806576644</v>
      </c>
      <c r="D4">
        <f t="shared" si="0"/>
        <v>28.637583157129747</v>
      </c>
      <c r="E4">
        <v>62</v>
      </c>
      <c r="F4">
        <f t="shared" si="1"/>
        <v>33.362416842870253</v>
      </c>
    </row>
    <row r="5" spans="1:9" x14ac:dyDescent="0.3">
      <c r="A5" t="s">
        <v>68</v>
      </c>
      <c r="B5">
        <v>25.676346576875915</v>
      </c>
      <c r="C5">
        <v>38.875585786990968</v>
      </c>
      <c r="D5">
        <f t="shared" si="0"/>
        <v>35.640699770194146</v>
      </c>
      <c r="E5">
        <v>20</v>
      </c>
      <c r="F5">
        <f t="shared" si="1"/>
        <v>15.640699770194146</v>
      </c>
      <c r="H5" t="s">
        <v>12</v>
      </c>
      <c r="I5" cm="1">
        <f t="array" ref="I5">(SUM(TableEVE[PP]-TableEVE[AP]))^2</f>
        <v>5.0487097934144756E-29</v>
      </c>
    </row>
    <row r="6" spans="1:9" x14ac:dyDescent="0.3">
      <c r="A6" t="s">
        <v>69</v>
      </c>
      <c r="B6">
        <v>39.785029119556619</v>
      </c>
      <c r="C6">
        <v>32.543929264301674</v>
      </c>
      <c r="D6">
        <f t="shared" si="0"/>
        <v>39.654111575797266</v>
      </c>
      <c r="E6">
        <v>39</v>
      </c>
      <c r="F6">
        <f t="shared" si="1"/>
        <v>0.6541115757972662</v>
      </c>
    </row>
    <row r="7" spans="1:9" x14ac:dyDescent="0.3">
      <c r="A7" t="s">
        <v>70</v>
      </c>
      <c r="B7">
        <v>28.195020011754494</v>
      </c>
      <c r="C7">
        <v>27.641056024909364</v>
      </c>
      <c r="D7">
        <f t="shared" si="0"/>
        <v>30.676057345234668</v>
      </c>
      <c r="E7">
        <v>26</v>
      </c>
      <c r="F7">
        <f t="shared" si="1"/>
        <v>4.6760573452346677</v>
      </c>
      <c r="H7" t="s">
        <v>15</v>
      </c>
      <c r="I7">
        <f>AVERAGE(TableEVE[DIFF])/10</f>
        <v>1.1383212560514375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71</v>
      </c>
      <c r="B2">
        <v>57.636363597795913</v>
      </c>
      <c r="C2">
        <v>46.46449972329939</v>
      </c>
      <c r="D2">
        <f t="shared" ref="D2:D7" si="0">B2*$I$2+C2*$I$3</f>
        <v>43.536522978763145</v>
      </c>
      <c r="E2">
        <v>37</v>
      </c>
      <c r="F2">
        <f t="shared" ref="F2:F7" si="1">ABS(D2-E2)</f>
        <v>6.5365229787631449</v>
      </c>
      <c r="H2" t="s">
        <v>7</v>
      </c>
      <c r="I2">
        <v>0.40111648046003479</v>
      </c>
    </row>
    <row r="3" spans="1:9" x14ac:dyDescent="0.3">
      <c r="A3" t="s">
        <v>72</v>
      </c>
      <c r="B3">
        <v>39.628504426819219</v>
      </c>
      <c r="C3">
        <v>41.360296620460133</v>
      </c>
      <c r="D3">
        <f t="shared" si="0"/>
        <v>34.070363297557094</v>
      </c>
      <c r="E3">
        <v>35</v>
      </c>
      <c r="F3">
        <f t="shared" si="1"/>
        <v>0.92963670244290597</v>
      </c>
      <c r="H3" t="s">
        <v>9</v>
      </c>
      <c r="I3">
        <v>0.43942424404630059</v>
      </c>
    </row>
    <row r="4" spans="1:9" x14ac:dyDescent="0.3">
      <c r="A4" t="s">
        <v>73</v>
      </c>
      <c r="B4">
        <v>25.798266707177934</v>
      </c>
      <c r="C4">
        <v>38.076079739379892</v>
      </c>
      <c r="D4">
        <f t="shared" si="0"/>
        <v>27.079662499276175</v>
      </c>
      <c r="E4">
        <v>20</v>
      </c>
      <c r="F4">
        <f t="shared" si="1"/>
        <v>7.079662499276175</v>
      </c>
    </row>
    <row r="5" spans="1:9" x14ac:dyDescent="0.3">
      <c r="A5" t="s">
        <v>74</v>
      </c>
      <c r="B5">
        <v>34.026320912954304</v>
      </c>
      <c r="C5">
        <v>28.663168767664963</v>
      </c>
      <c r="D5">
        <f t="shared" si="0"/>
        <v>26.243809355310617</v>
      </c>
      <c r="E5">
        <v>34</v>
      </c>
      <c r="F5">
        <f t="shared" si="1"/>
        <v>7.7561906446893829</v>
      </c>
      <c r="H5" t="s">
        <v>12</v>
      </c>
      <c r="I5" cm="1">
        <f t="array" ref="I5">(SUM(TableFUL[PP]-TableFUL[AP]))^2</f>
        <v>8.0779356694631609E-28</v>
      </c>
    </row>
    <row r="6" spans="1:9" x14ac:dyDescent="0.3">
      <c r="A6" t="s">
        <v>75</v>
      </c>
      <c r="B6">
        <v>27.524329466107012</v>
      </c>
      <c r="C6">
        <v>31.007722080697377</v>
      </c>
      <c r="D6">
        <f t="shared" si="0"/>
        <v>24.666006997375501</v>
      </c>
      <c r="E6">
        <v>22</v>
      </c>
      <c r="F6">
        <f t="shared" si="1"/>
        <v>2.6660069973755007</v>
      </c>
    </row>
    <row r="7" spans="1:9" x14ac:dyDescent="0.3">
      <c r="A7" t="s">
        <v>76</v>
      </c>
      <c r="B7">
        <v>22.749999995742531</v>
      </c>
      <c r="C7">
        <v>41.595872759886987</v>
      </c>
      <c r="D7">
        <f t="shared" si="0"/>
        <v>27.403634871717497</v>
      </c>
      <c r="E7">
        <v>35</v>
      </c>
      <c r="F7">
        <f t="shared" si="1"/>
        <v>7.5963651282825033</v>
      </c>
      <c r="H7" t="s">
        <v>15</v>
      </c>
      <c r="I7">
        <f>AVERAGE(TableFUL[DIFF])/10</f>
        <v>0.5427397491804935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"/>
  <sheetViews>
    <sheetView workbookViewId="0">
      <selection activeCell="H28" sqref="H2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77</v>
      </c>
      <c r="B2">
        <v>49.524308297449949</v>
      </c>
      <c r="C2">
        <v>47.789952007783278</v>
      </c>
      <c r="D2">
        <f t="shared" ref="D2:D10" si="0">B2*$I$2+C2*$I$3</f>
        <v>43.470105278462626</v>
      </c>
      <c r="E2">
        <v>59</v>
      </c>
      <c r="F2">
        <f t="shared" ref="F2:F10" si="1">ABS(D2-E2)</f>
        <v>15.529894721537374</v>
      </c>
      <c r="H2" t="s">
        <v>7</v>
      </c>
      <c r="I2">
        <v>0.46244658848698311</v>
      </c>
    </row>
    <row r="3" spans="1:9" x14ac:dyDescent="0.3">
      <c r="A3" t="s">
        <v>78</v>
      </c>
      <c r="B3">
        <v>41.060964182269139</v>
      </c>
      <c r="C3">
        <v>49.752423053417651</v>
      </c>
      <c r="D3">
        <f t="shared" si="0"/>
        <v>40.400865599431086</v>
      </c>
      <c r="E3">
        <v>47</v>
      </c>
      <c r="F3">
        <f t="shared" si="1"/>
        <v>6.5991344005689143</v>
      </c>
      <c r="H3" t="s">
        <v>9</v>
      </c>
      <c r="I3">
        <v>0.43037829072897055</v>
      </c>
    </row>
    <row r="4" spans="1:9" x14ac:dyDescent="0.3">
      <c r="A4" t="s">
        <v>79</v>
      </c>
      <c r="B4">
        <v>71.235294117647072</v>
      </c>
      <c r="C4">
        <v>52.341015326662443</v>
      </c>
      <c r="D4">
        <f t="shared" si="0"/>
        <v>55.468955455880575</v>
      </c>
      <c r="E4">
        <v>33</v>
      </c>
      <c r="F4">
        <f t="shared" si="1"/>
        <v>22.468955455880575</v>
      </c>
    </row>
    <row r="5" spans="1:9" x14ac:dyDescent="0.3">
      <c r="A5" t="s">
        <v>80</v>
      </c>
      <c r="B5">
        <v>20.825070012904444</v>
      </c>
      <c r="C5">
        <v>31.962503126338941</v>
      </c>
      <c r="D5">
        <f t="shared" si="0"/>
        <v>23.386450045403365</v>
      </c>
      <c r="E5">
        <v>20</v>
      </c>
      <c r="F5">
        <f t="shared" si="1"/>
        <v>3.3864500454033646</v>
      </c>
      <c r="H5" t="s">
        <v>12</v>
      </c>
      <c r="I5" cm="1">
        <f t="array" ref="I5">(SUM(TableLIV[PP]-TableLIV[AP]))^2</f>
        <v>5.0487097934144756E-29</v>
      </c>
    </row>
    <row r="6" spans="1:9" x14ac:dyDescent="0.3">
      <c r="A6" t="s">
        <v>81</v>
      </c>
      <c r="B6">
        <v>25.520533583204561</v>
      </c>
      <c r="C6">
        <v>24.635742154118109</v>
      </c>
      <c r="D6">
        <f t="shared" si="0"/>
        <v>22.404572291049433</v>
      </c>
      <c r="E6">
        <v>30</v>
      </c>
      <c r="F6">
        <f t="shared" si="1"/>
        <v>7.5954277089505666</v>
      </c>
    </row>
    <row r="7" spans="1:9" x14ac:dyDescent="0.3">
      <c r="A7" t="s">
        <v>82</v>
      </c>
      <c r="B7">
        <v>26.531043124582975</v>
      </c>
      <c r="C7">
        <v>36.13027049298735</v>
      </c>
      <c r="D7">
        <f t="shared" si="0"/>
        <v>27.818874440311681</v>
      </c>
      <c r="E7">
        <v>47</v>
      </c>
      <c r="F7">
        <f t="shared" si="1"/>
        <v>19.181125559688319</v>
      </c>
      <c r="H7" t="s">
        <v>15</v>
      </c>
      <c r="I7">
        <f>AVERAGE(TableLIV[DIFF])/10</f>
        <v>1.4867006189150325</v>
      </c>
    </row>
    <row r="8" spans="1:9" x14ac:dyDescent="0.3">
      <c r="A8" t="s">
        <v>83</v>
      </c>
      <c r="B8">
        <v>72.349397613922818</v>
      </c>
      <c r="C8">
        <v>49.754872900103052</v>
      </c>
      <c r="D8">
        <f t="shared" si="0"/>
        <v>54.871149259830418</v>
      </c>
      <c r="E8">
        <v>37</v>
      </c>
      <c r="F8">
        <f t="shared" si="1"/>
        <v>17.871149259830418</v>
      </c>
    </row>
    <row r="9" spans="1:9" x14ac:dyDescent="0.3">
      <c r="A9" t="s">
        <v>84</v>
      </c>
      <c r="B9">
        <v>66.647717255355929</v>
      </c>
      <c r="C9">
        <v>79.42557931183147</v>
      </c>
      <c r="D9">
        <f t="shared" si="0"/>
        <v>65.004054539568699</v>
      </c>
      <c r="E9">
        <v>83</v>
      </c>
      <c r="F9">
        <f t="shared" si="1"/>
        <v>17.995945460431301</v>
      </c>
    </row>
    <row r="10" spans="1:9" x14ac:dyDescent="0.3">
      <c r="A10" t="s">
        <v>85</v>
      </c>
      <c r="B10">
        <v>80.5454545431854</v>
      </c>
      <c r="C10">
        <v>50.948207404450912</v>
      </c>
      <c r="D10">
        <f t="shared" si="0"/>
        <v>59.174973090062124</v>
      </c>
      <c r="E10">
        <v>36</v>
      </c>
      <c r="F10">
        <f t="shared" si="1"/>
        <v>23.174973090062124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86</v>
      </c>
      <c r="B2">
        <v>28.629859901754553</v>
      </c>
      <c r="C2">
        <v>46.301594037174283</v>
      </c>
      <c r="D2">
        <f t="shared" ref="D2:D8" si="0">B2*$I$2+C2*$I$3</f>
        <v>26.90670182791327</v>
      </c>
      <c r="E2">
        <v>36</v>
      </c>
      <c r="F2">
        <f t="shared" ref="F2:F8" si="1">ABS(D2-E2)</f>
        <v>9.0932981720867296</v>
      </c>
      <c r="H2" t="s">
        <v>7</v>
      </c>
      <c r="I2">
        <v>0.42342626430281205</v>
      </c>
    </row>
    <row r="3" spans="1:9" x14ac:dyDescent="0.3">
      <c r="A3" t="s">
        <v>87</v>
      </c>
      <c r="B3">
        <v>69.500000034816551</v>
      </c>
      <c r="C3">
        <v>47.570298582111718</v>
      </c>
      <c r="D3">
        <f t="shared" si="0"/>
        <v>44.617289076554606</v>
      </c>
      <c r="E3">
        <v>29</v>
      </c>
      <c r="F3">
        <f t="shared" si="1"/>
        <v>15.617289076554606</v>
      </c>
      <c r="H3" t="s">
        <v>9</v>
      </c>
      <c r="I3">
        <v>0.31929931376295045</v>
      </c>
    </row>
    <row r="4" spans="1:9" x14ac:dyDescent="0.3">
      <c r="A4" t="s">
        <v>88</v>
      </c>
      <c r="B4">
        <v>83.237827267143004</v>
      </c>
      <c r="C4">
        <v>64.321147104338792</v>
      </c>
      <c r="D4">
        <f t="shared" si="0"/>
        <v>55.782780379270278</v>
      </c>
      <c r="E4">
        <v>72</v>
      </c>
      <c r="F4">
        <f t="shared" si="1"/>
        <v>16.217219620729722</v>
      </c>
    </row>
    <row r="5" spans="1:9" x14ac:dyDescent="0.3">
      <c r="A5" t="s">
        <v>89</v>
      </c>
      <c r="B5">
        <v>45.907426187825443</v>
      </c>
      <c r="C5">
        <v>42.984775962940837</v>
      </c>
      <c r="D5">
        <f t="shared" si="0"/>
        <v>33.163419441689186</v>
      </c>
      <c r="E5">
        <v>35</v>
      </c>
      <c r="F5">
        <f t="shared" si="1"/>
        <v>1.8365805583108141</v>
      </c>
      <c r="H5" t="s">
        <v>12</v>
      </c>
      <c r="I5" cm="1">
        <f t="array" ref="I5">(SUM(TableMCI[PP]-TableMCI[AP]))^2</f>
        <v>1.2621774483536189E-29</v>
      </c>
    </row>
    <row r="6" spans="1:9" x14ac:dyDescent="0.3">
      <c r="A6" t="s">
        <v>90</v>
      </c>
      <c r="B6">
        <v>49.705882352941167</v>
      </c>
      <c r="C6">
        <v>46.358416857004528</v>
      </c>
      <c r="D6">
        <f t="shared" si="0"/>
        <v>35.848986768159286</v>
      </c>
      <c r="E6">
        <v>47</v>
      </c>
      <c r="F6">
        <f t="shared" si="1"/>
        <v>11.151013231840714</v>
      </c>
    </row>
    <row r="7" spans="1:9" x14ac:dyDescent="0.3">
      <c r="A7" t="s">
        <v>91</v>
      </c>
      <c r="B7">
        <v>178.5</v>
      </c>
      <c r="C7">
        <v>82.163803424856908</v>
      </c>
      <c r="D7">
        <f t="shared" si="0"/>
        <v>101.81643422776271</v>
      </c>
      <c r="E7">
        <v>77</v>
      </c>
      <c r="F7">
        <f t="shared" si="1"/>
        <v>24.816434227762713</v>
      </c>
      <c r="H7" t="s">
        <v>15</v>
      </c>
      <c r="I7">
        <f>AVERAGE(TableMCI[DIFF])/10</f>
        <v>1.1552492372662089</v>
      </c>
    </row>
    <row r="8" spans="1:9" x14ac:dyDescent="0.3">
      <c r="A8" t="s">
        <v>92</v>
      </c>
      <c r="B8">
        <v>30.814665444498932</v>
      </c>
      <c r="C8">
        <v>37.008064516287305</v>
      </c>
      <c r="D8">
        <f t="shared" si="0"/>
        <v>24.864388278650665</v>
      </c>
      <c r="E8">
        <v>27</v>
      </c>
      <c r="F8">
        <f t="shared" si="1"/>
        <v>2.1356117213493349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93</v>
      </c>
      <c r="B2">
        <v>40.644265218233819</v>
      </c>
      <c r="C2">
        <v>55.955786710272839</v>
      </c>
      <c r="D2">
        <f>B2*$I$2+C2*$I$3</f>
        <v>56.037258624858495</v>
      </c>
      <c r="E2">
        <v>40</v>
      </c>
      <c r="F2">
        <f>ABS(D2-E2)</f>
        <v>16.037258624858495</v>
      </c>
      <c r="H2" t="s">
        <v>7</v>
      </c>
      <c r="I2">
        <v>0.5066839065285913</v>
      </c>
    </row>
    <row r="3" spans="1:9" x14ac:dyDescent="0.3">
      <c r="A3" t="s">
        <v>94</v>
      </c>
      <c r="B3">
        <v>42.526184705984569</v>
      </c>
      <c r="C3">
        <v>48.017826455940209</v>
      </c>
      <c r="D3">
        <f>B3*$I$2+C3*$I$3</f>
        <v>51.962741375141505</v>
      </c>
      <c r="E3">
        <v>68</v>
      </c>
      <c r="F3">
        <f>ABS(D3-E3)</f>
        <v>16.037258624858495</v>
      </c>
      <c r="H3" t="s">
        <v>9</v>
      </c>
      <c r="I3">
        <v>0.63341909085504156</v>
      </c>
    </row>
    <row r="5" spans="1:9" x14ac:dyDescent="0.3">
      <c r="H5" t="s">
        <v>12</v>
      </c>
      <c r="I5" cm="1">
        <f t="array" ref="I5">(SUM(TableMUN[PP]-TableMUN[AP]))^2</f>
        <v>0</v>
      </c>
    </row>
    <row r="7" spans="1:9" x14ac:dyDescent="0.3">
      <c r="H7" t="s">
        <v>15</v>
      </c>
      <c r="I7">
        <f>AVERAGE(TableMUN[DIFF])/10</f>
        <v>1.6037258624858495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95</v>
      </c>
      <c r="B2">
        <v>98.2857142649423</v>
      </c>
      <c r="C2">
        <v>61.376355013622479</v>
      </c>
      <c r="D2">
        <f t="shared" ref="D2:D13" si="0">B2*$I$2+C2*$I$3</f>
        <v>58.107782447235479</v>
      </c>
      <c r="E2">
        <v>37</v>
      </c>
      <c r="F2">
        <f t="shared" ref="F2:F13" si="1">ABS(D2-E2)</f>
        <v>21.107782447235479</v>
      </c>
      <c r="H2" t="s">
        <v>7</v>
      </c>
      <c r="I2">
        <v>0.39049854126948158</v>
      </c>
    </row>
    <row r="3" spans="1:9" x14ac:dyDescent="0.3">
      <c r="A3" t="s">
        <v>96</v>
      </c>
      <c r="B3">
        <v>71.90909089087836</v>
      </c>
      <c r="C3">
        <v>49.618080579538812</v>
      </c>
      <c r="D3">
        <f t="shared" si="0"/>
        <v>44.028449685362816</v>
      </c>
      <c r="E3">
        <v>20</v>
      </c>
      <c r="F3">
        <f t="shared" si="1"/>
        <v>24.028449685362816</v>
      </c>
      <c r="H3" t="s">
        <v>9</v>
      </c>
      <c r="I3">
        <v>0.32141619349614275</v>
      </c>
    </row>
    <row r="4" spans="1:9" x14ac:dyDescent="0.3">
      <c r="A4" t="s">
        <v>97</v>
      </c>
      <c r="B4">
        <v>44.09435685476415</v>
      </c>
      <c r="C4">
        <v>43.10511576068852</v>
      </c>
      <c r="D4">
        <f t="shared" si="0"/>
        <v>31.073464258012464</v>
      </c>
      <c r="E4">
        <v>32</v>
      </c>
      <c r="F4">
        <f t="shared" si="1"/>
        <v>0.92653574198753574</v>
      </c>
    </row>
    <row r="5" spans="1:9" x14ac:dyDescent="0.3">
      <c r="A5" t="s">
        <v>98</v>
      </c>
      <c r="B5">
        <v>30.99199497906891</v>
      </c>
      <c r="C5">
        <v>39.031876705987933</v>
      </c>
      <c r="D5">
        <f t="shared" si="0"/>
        <v>24.647806066206911</v>
      </c>
      <c r="E5">
        <v>21</v>
      </c>
      <c r="F5">
        <f t="shared" si="1"/>
        <v>3.6478060662069112</v>
      </c>
      <c r="H5" t="s">
        <v>12</v>
      </c>
      <c r="I5" cm="1">
        <f t="array" ref="I5">(SUM(TableNEW[PP]-TableNEW[AP]))^2</f>
        <v>2.473867798773093E-27</v>
      </c>
    </row>
    <row r="6" spans="1:9" x14ac:dyDescent="0.3">
      <c r="A6" t="s">
        <v>99</v>
      </c>
      <c r="B6">
        <v>21.547430628402722</v>
      </c>
      <c r="C6">
        <v>31.825059577706973</v>
      </c>
      <c r="D6">
        <f t="shared" si="0"/>
        <v>18.643329735751145</v>
      </c>
      <c r="E6">
        <v>51</v>
      </c>
      <c r="F6">
        <f t="shared" si="1"/>
        <v>32.356670264248855</v>
      </c>
    </row>
    <row r="7" spans="1:9" x14ac:dyDescent="0.3">
      <c r="A7" t="s">
        <v>100</v>
      </c>
      <c r="B7">
        <v>22.502283076367803</v>
      </c>
      <c r="C7">
        <v>28.906271611402076</v>
      </c>
      <c r="D7">
        <f t="shared" si="0"/>
        <v>18.078052506057038</v>
      </c>
      <c r="E7">
        <v>25</v>
      </c>
      <c r="F7">
        <f t="shared" si="1"/>
        <v>6.9219474939429624</v>
      </c>
      <c r="H7" t="s">
        <v>15</v>
      </c>
      <c r="I7">
        <f>AVERAGE(TableNEW[DIFF])/10</f>
        <v>1.3359152025611301</v>
      </c>
    </row>
    <row r="8" spans="1:9" x14ac:dyDescent="0.3">
      <c r="A8" t="s">
        <v>101</v>
      </c>
      <c r="B8">
        <v>20.445349902538346</v>
      </c>
      <c r="C8">
        <v>19.907476329739676</v>
      </c>
      <c r="D8">
        <f t="shared" si="0"/>
        <v>14.382464576704852</v>
      </c>
      <c r="E8">
        <v>35</v>
      </c>
      <c r="F8">
        <f t="shared" si="1"/>
        <v>20.617535423295148</v>
      </c>
    </row>
    <row r="9" spans="1:9" x14ac:dyDescent="0.3">
      <c r="A9" t="s">
        <v>102</v>
      </c>
      <c r="B9">
        <v>42.341463419034767</v>
      </c>
      <c r="C9">
        <v>42.117051294491866</v>
      </c>
      <c r="D9">
        <f t="shared" si="0"/>
        <v>30.071382008705562</v>
      </c>
      <c r="E9">
        <v>31</v>
      </c>
      <c r="F9">
        <f t="shared" si="1"/>
        <v>0.92861799129443767</v>
      </c>
    </row>
    <row r="10" spans="1:9" x14ac:dyDescent="0.3">
      <c r="A10" t="s">
        <v>103</v>
      </c>
      <c r="B10">
        <v>32.293990739737353</v>
      </c>
      <c r="C10">
        <v>43.086392045506535</v>
      </c>
      <c r="D10">
        <f t="shared" si="0"/>
        <v>26.459420398386776</v>
      </c>
      <c r="E10">
        <v>22</v>
      </c>
      <c r="F10">
        <f t="shared" si="1"/>
        <v>4.4594203983867757</v>
      </c>
    </row>
    <row r="11" spans="1:9" x14ac:dyDescent="0.3">
      <c r="A11" t="s">
        <v>104</v>
      </c>
      <c r="B11">
        <v>90.655172409795</v>
      </c>
      <c r="C11">
        <v>62.488109921336488</v>
      </c>
      <c r="D11">
        <f t="shared" si="0"/>
        <v>55.48540301424282</v>
      </c>
      <c r="E11">
        <v>29</v>
      </c>
      <c r="F11">
        <f t="shared" si="1"/>
        <v>26.48540301424282</v>
      </c>
    </row>
    <row r="12" spans="1:9" x14ac:dyDescent="0.3">
      <c r="A12" t="s">
        <v>105</v>
      </c>
      <c r="B12">
        <v>54.173912997691787</v>
      </c>
      <c r="C12">
        <v>41.289819275810025</v>
      </c>
      <c r="D12">
        <f t="shared" si="0"/>
        <v>34.426050542232971</v>
      </c>
      <c r="E12">
        <v>34</v>
      </c>
      <c r="F12">
        <f t="shared" si="1"/>
        <v>0.42605054223297145</v>
      </c>
    </row>
    <row r="13" spans="1:9" x14ac:dyDescent="0.3">
      <c r="A13" t="s">
        <v>106</v>
      </c>
      <c r="B13">
        <v>84.449511814445088</v>
      </c>
      <c r="C13">
        <v>42.371802859409762</v>
      </c>
      <c r="D13">
        <f t="shared" si="0"/>
        <v>46.596394761101116</v>
      </c>
      <c r="E13">
        <v>65</v>
      </c>
      <c r="F13">
        <f t="shared" si="1"/>
        <v>18.403605238898884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107</v>
      </c>
      <c r="B2">
        <v>37.833333333333336</v>
      </c>
      <c r="C2">
        <v>40.073485206379772</v>
      </c>
      <c r="D2">
        <f>B2*$I$2+C2*$I$3</f>
        <v>31.617525724965009</v>
      </c>
      <c r="E2">
        <v>46</v>
      </c>
      <c r="F2">
        <f>ABS(D2-E2)</f>
        <v>14.382474275034991</v>
      </c>
      <c r="H2" t="s">
        <v>7</v>
      </c>
      <c r="I2">
        <v>0.37594403670637422</v>
      </c>
    </row>
    <row r="3" spans="1:9" x14ac:dyDescent="0.3">
      <c r="A3" t="s">
        <v>108</v>
      </c>
      <c r="B3">
        <v>38.554348910331839</v>
      </c>
      <c r="C3">
        <v>48.122797505123671</v>
      </c>
      <c r="D3">
        <f>B3*$I$2+C3*$I$3</f>
        <v>35.382474275034994</v>
      </c>
      <c r="E3">
        <v>21</v>
      </c>
      <c r="F3">
        <f>ABS(D3-E3)</f>
        <v>14.382474275034994</v>
      </c>
      <c r="H3" t="s">
        <v>9</v>
      </c>
      <c r="I3">
        <v>0.43406031644097287</v>
      </c>
    </row>
    <row r="5" spans="1:9" x14ac:dyDescent="0.3">
      <c r="H5" t="s">
        <v>12</v>
      </c>
      <c r="I5" cm="1">
        <f t="array" ref="I5">(SUM(TableNFO[PP]-TableNFO[AP]))^2</f>
        <v>1.2621774483536189E-29</v>
      </c>
    </row>
    <row r="7" spans="1:9" x14ac:dyDescent="0.3">
      <c r="H7" t="s">
        <v>15</v>
      </c>
      <c r="I7">
        <f>AVERAGE(TableNFO[DIFF])/10</f>
        <v>1.4382474275034993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109</v>
      </c>
      <c r="B2">
        <v>33.429571740137348</v>
      </c>
      <c r="C2">
        <v>34.669557620107383</v>
      </c>
      <c r="D2">
        <f t="shared" ref="D2:D8" si="0">B2*$I$2+C2*$I$3</f>
        <v>25.643789159124871</v>
      </c>
      <c r="E2">
        <v>31</v>
      </c>
      <c r="F2">
        <f t="shared" ref="F2:F8" si="1">ABS(D2-E2)</f>
        <v>5.3562108408751286</v>
      </c>
      <c r="H2" t="s">
        <v>7</v>
      </c>
      <c r="I2">
        <v>0.41118421289935631</v>
      </c>
    </row>
    <row r="3" spans="1:9" x14ac:dyDescent="0.3">
      <c r="A3" t="s">
        <v>110</v>
      </c>
      <c r="B3">
        <v>36.068981268812038</v>
      </c>
      <c r="C3">
        <v>35.794105472860622</v>
      </c>
      <c r="D3">
        <f t="shared" si="0"/>
        <v>27.115000801948916</v>
      </c>
      <c r="E3">
        <v>20</v>
      </c>
      <c r="F3">
        <f t="shared" si="1"/>
        <v>7.1150008019489164</v>
      </c>
      <c r="H3" t="s">
        <v>9</v>
      </c>
      <c r="I3">
        <v>0.34318514086529261</v>
      </c>
    </row>
    <row r="4" spans="1:9" x14ac:dyDescent="0.3">
      <c r="A4" t="s">
        <v>111</v>
      </c>
      <c r="B4">
        <v>58.527472524533117</v>
      </c>
      <c r="C4">
        <v>36.155917873096215</v>
      </c>
      <c r="D4">
        <f t="shared" si="0"/>
        <v>36.473746491381327</v>
      </c>
      <c r="E4">
        <v>24</v>
      </c>
      <c r="F4">
        <f t="shared" si="1"/>
        <v>12.473746491381327</v>
      </c>
    </row>
    <row r="5" spans="1:9" x14ac:dyDescent="0.3">
      <c r="A5" t="s">
        <v>112</v>
      </c>
      <c r="B5">
        <v>60.711046759751632</v>
      </c>
      <c r="C5">
        <v>62.026292946686496</v>
      </c>
      <c r="D5">
        <f t="shared" si="0"/>
        <v>46.249926058465007</v>
      </c>
      <c r="E5">
        <v>77</v>
      </c>
      <c r="F5">
        <f t="shared" si="1"/>
        <v>30.750073941534993</v>
      </c>
      <c r="H5" t="s">
        <v>12</v>
      </c>
      <c r="I5" cm="1">
        <f t="array" ref="I5">(SUM(TableTOT[PP]-TableTOT[AP]))^2</f>
        <v>0</v>
      </c>
    </row>
    <row r="6" spans="1:9" x14ac:dyDescent="0.3">
      <c r="A6" t="s">
        <v>113</v>
      </c>
      <c r="B6">
        <v>66.051948051948045</v>
      </c>
      <c r="C6">
        <v>57.768063852359653</v>
      </c>
      <c r="D6">
        <f t="shared" si="0"/>
        <v>46.984659400896696</v>
      </c>
      <c r="E6">
        <v>32</v>
      </c>
      <c r="F6">
        <f t="shared" si="1"/>
        <v>14.984659400896696</v>
      </c>
    </row>
    <row r="7" spans="1:9" x14ac:dyDescent="0.3">
      <c r="A7" t="s">
        <v>114</v>
      </c>
      <c r="B7">
        <v>42.818181778367894</v>
      </c>
      <c r="C7">
        <v>43.422012548663794</v>
      </c>
      <c r="D7">
        <f t="shared" si="0"/>
        <v>32.507949865487447</v>
      </c>
      <c r="E7">
        <v>22</v>
      </c>
      <c r="F7">
        <f t="shared" si="1"/>
        <v>10.507949865487447</v>
      </c>
      <c r="H7" t="s">
        <v>15</v>
      </c>
      <c r="I7">
        <f>AVERAGE(TableTOT[DIFF])/10</f>
        <v>1.2880387588489826</v>
      </c>
    </row>
    <row r="8" spans="1:9" x14ac:dyDescent="0.3">
      <c r="A8" t="s">
        <v>115</v>
      </c>
      <c r="B8">
        <v>79.391304286573813</v>
      </c>
      <c r="C8">
        <v>44.81685081057968</v>
      </c>
      <c r="D8">
        <f t="shared" si="0"/>
        <v>48.024928222695735</v>
      </c>
      <c r="E8">
        <v>57</v>
      </c>
      <c r="F8">
        <f t="shared" si="1"/>
        <v>8.9750717773042652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116</v>
      </c>
      <c r="B2">
        <v>35.492019231480029</v>
      </c>
      <c r="C2">
        <v>26.489071039766252</v>
      </c>
      <c r="D2">
        <f t="shared" ref="D2:D7" si="0">B2*$I$2+C2*$I$3</f>
        <v>28.669589941431049</v>
      </c>
      <c r="E2">
        <v>29</v>
      </c>
      <c r="F2">
        <f t="shared" ref="F2:F7" si="1">ABS(D2-E2)</f>
        <v>0.33041005856895111</v>
      </c>
      <c r="H2" t="s">
        <v>7</v>
      </c>
      <c r="I2">
        <v>0.47707837488465693</v>
      </c>
    </row>
    <row r="3" spans="1:9" x14ac:dyDescent="0.3">
      <c r="A3" t="s">
        <v>117</v>
      </c>
      <c r="B3">
        <v>34.92682922875192</v>
      </c>
      <c r="C3">
        <v>34.59340100494331</v>
      </c>
      <c r="D3">
        <f t="shared" si="0"/>
        <v>31.990919789081261</v>
      </c>
      <c r="E3">
        <v>37</v>
      </c>
      <c r="F3">
        <f t="shared" si="1"/>
        <v>5.0090802109187393</v>
      </c>
      <c r="H3" t="s">
        <v>9</v>
      </c>
      <c r="I3">
        <v>0.44309274068091814</v>
      </c>
    </row>
    <row r="4" spans="1:9" x14ac:dyDescent="0.3">
      <c r="A4" t="s">
        <v>118</v>
      </c>
      <c r="B4">
        <v>44.878023576526616</v>
      </c>
      <c r="C4">
        <v>44.818030640207716</v>
      </c>
      <c r="D4">
        <f t="shared" si="0"/>
        <v>41.268878584215642</v>
      </c>
      <c r="E4">
        <v>35</v>
      </c>
      <c r="F4">
        <f t="shared" si="1"/>
        <v>6.268878584215642</v>
      </c>
    </row>
    <row r="5" spans="1:9" x14ac:dyDescent="0.3">
      <c r="A5" t="s">
        <v>119</v>
      </c>
      <c r="B5">
        <v>35.610099824555441</v>
      </c>
      <c r="C5">
        <v>32.953719895843605</v>
      </c>
      <c r="D5">
        <f t="shared" si="0"/>
        <v>31.590362618059963</v>
      </c>
      <c r="E5">
        <v>33</v>
      </c>
      <c r="F5">
        <f t="shared" si="1"/>
        <v>1.409637381940037</v>
      </c>
      <c r="H5" t="s">
        <v>12</v>
      </c>
      <c r="I5" cm="1">
        <f t="array" ref="I5">(SUM(TableWHU[PP]-TableWHU[AP]))^2</f>
        <v>5.0487097934144756E-29</v>
      </c>
    </row>
    <row r="6" spans="1:9" x14ac:dyDescent="0.3">
      <c r="A6" t="s">
        <v>120</v>
      </c>
      <c r="B6">
        <v>36.894444448370109</v>
      </c>
      <c r="C6">
        <v>35.958694449447883</v>
      </c>
      <c r="D6">
        <f t="shared" si="0"/>
        <v>33.534578074614245</v>
      </c>
      <c r="E6">
        <v>38</v>
      </c>
      <c r="F6">
        <f t="shared" si="1"/>
        <v>4.4654219253857548</v>
      </c>
    </row>
    <row r="7" spans="1:9" x14ac:dyDescent="0.3">
      <c r="A7" t="s">
        <v>121</v>
      </c>
      <c r="B7">
        <v>35.01937411823743</v>
      </c>
      <c r="C7">
        <v>32.134773584668004</v>
      </c>
      <c r="D7">
        <f t="shared" si="0"/>
        <v>30.945670992597847</v>
      </c>
      <c r="E7">
        <v>26</v>
      </c>
      <c r="F7">
        <f t="shared" si="1"/>
        <v>4.9456709925978473</v>
      </c>
      <c r="H7" t="s">
        <v>15</v>
      </c>
      <c r="I7">
        <f>AVERAGE(TableWHU[DIFF])/10</f>
        <v>0.37381831922711617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122</v>
      </c>
      <c r="B2">
        <v>33.230102959742617</v>
      </c>
      <c r="C2">
        <v>35.398299570998056</v>
      </c>
      <c r="D2">
        <f>B2*$I$2+C2*$I$3</f>
        <v>27.210744800967611</v>
      </c>
      <c r="E2">
        <v>30</v>
      </c>
      <c r="F2">
        <f>ABS(D2-E2)</f>
        <v>2.7892551990323895</v>
      </c>
      <c r="H2" t="s">
        <v>7</v>
      </c>
      <c r="I2">
        <v>0.43643118497563432</v>
      </c>
    </row>
    <row r="3" spans="1:9" x14ac:dyDescent="0.3">
      <c r="A3" t="s">
        <v>123</v>
      </c>
      <c r="B3">
        <v>48.333333333333343</v>
      </c>
      <c r="C3">
        <v>37.204473852800994</v>
      </c>
      <c r="D3">
        <f>B3*$I$2+C3*$I$3</f>
        <v>34.450687303736316</v>
      </c>
      <c r="E3">
        <v>31</v>
      </c>
      <c r="F3">
        <f>ABS(D3-E3)</f>
        <v>3.4506873037363164</v>
      </c>
      <c r="H3" t="s">
        <v>9</v>
      </c>
      <c r="I3">
        <v>0.35900288272029285</v>
      </c>
    </row>
    <row r="4" spans="1:9" x14ac:dyDescent="0.3">
      <c r="A4" t="s">
        <v>124</v>
      </c>
      <c r="B4">
        <v>45.659845219235024</v>
      </c>
      <c r="C4">
        <v>32.523394294544595</v>
      </c>
      <c r="D4">
        <f>B4*$I$2+C4*$I$3</f>
        <v>31.603372662425027</v>
      </c>
      <c r="E4">
        <v>20</v>
      </c>
      <c r="F4">
        <f>ABS(D4-E4)</f>
        <v>11.603372662425027</v>
      </c>
    </row>
    <row r="5" spans="1:9" x14ac:dyDescent="0.3">
      <c r="A5" t="s">
        <v>125</v>
      </c>
      <c r="B5">
        <v>41.182633253441772</v>
      </c>
      <c r="C5">
        <v>41.812125548910487</v>
      </c>
      <c r="D5">
        <f>B5*$I$2+C5*$I$3</f>
        <v>32.98405903593823</v>
      </c>
      <c r="E5">
        <v>50</v>
      </c>
      <c r="F5">
        <f>ABS(D5-E5)</f>
        <v>17.01594096406177</v>
      </c>
      <c r="H5" t="s">
        <v>12</v>
      </c>
      <c r="I5" cm="1">
        <f t="array" ref="I5">(SUM(TableWOL[PP]-TableWOL[AP]))^2</f>
        <v>1.135959703518257E-28</v>
      </c>
    </row>
    <row r="6" spans="1:9" x14ac:dyDescent="0.3">
      <c r="A6" t="s">
        <v>126</v>
      </c>
      <c r="B6">
        <v>47.517044989994424</v>
      </c>
      <c r="C6">
        <v>30.677235408133676</v>
      </c>
      <c r="D6">
        <f>B6*$I$2+C6*$I$3</f>
        <v>31.751136196932826</v>
      </c>
      <c r="E6">
        <v>27</v>
      </c>
      <c r="F6">
        <f>ABS(D6-E6)</f>
        <v>4.7511361969328263</v>
      </c>
    </row>
    <row r="7" spans="1:9" x14ac:dyDescent="0.3">
      <c r="H7" t="s">
        <v>15</v>
      </c>
      <c r="I7">
        <f>AVERAGE(TableWOL[DIFF])/10</f>
        <v>0.79220784652376652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LIV</vt:lpstr>
      <vt:lpstr>MCI</vt:lpstr>
      <vt:lpstr>MUN</vt:lpstr>
      <vt:lpstr>NEW</vt:lpstr>
      <vt:lpstr>NFO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2023-08-09T03:01:10Z</dcterms:created>
  <dcterms:modified xsi:type="dcterms:W3CDTF">2023-08-09T03:18:11Z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efa142a1-0086-446e-b68a-c2f41a09d17a</vt:lpwstr>
  </property>
</Properties>
</file>