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A7988EBC-A329-4D12-B2BB-7B83C4E45004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12" hidden="1">NEW!$I$2:$I$3</definedName>
    <definedName name="solver_cvg" localSheetId="12" hidden="1">0.0001</definedName>
    <definedName name="solver_drv" localSheetId="12" hidden="1">1</definedName>
    <definedName name="solver_eng" localSheetId="12" hidden="1">1</definedName>
    <definedName name="solver_est" localSheetId="12" hidden="1">1</definedName>
    <definedName name="solver_itr" localSheetId="12" hidden="1">2147483647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od" localSheetId="12" hidden="1">2147483647</definedName>
    <definedName name="solver_num" localSheetId="12" hidden="1">0</definedName>
    <definedName name="solver_nwt" localSheetId="12" hidden="1">1</definedName>
    <definedName name="solver_opt" localSheetId="12" hidden="1">NEW!$I$5</definedName>
    <definedName name="solver_pre" localSheetId="12" hidden="1">0.000001</definedName>
    <definedName name="solver_rbv" localSheetId="12" hidden="1">1</definedName>
    <definedName name="solver_rlx" localSheetId="12" hidden="1">2</definedName>
    <definedName name="solver_rsd" localSheetId="12" hidden="1">0</definedName>
    <definedName name="solver_scl" localSheetId="12" hidden="1">1</definedName>
    <definedName name="solver_sho" localSheetId="12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2</definedName>
    <definedName name="solver_val" localSheetId="12" hidden="1">0</definedName>
    <definedName name="solver_ver" localSheetId="1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7" l="1"/>
  <c r="I5" i="17" s="1"/>
  <c r="F4" i="17"/>
  <c r="D4" i="17"/>
  <c r="F3" i="17"/>
  <c r="D3" i="17"/>
  <c r="D2" i="17"/>
  <c r="F2" i="17" s="1"/>
  <c r="D8" i="16"/>
  <c r="F8" i="16" s="1"/>
  <c r="F7" i="16"/>
  <c r="D7" i="16"/>
  <c r="D6" i="16"/>
  <c r="F6" i="16" s="1"/>
  <c r="I5" i="16"/>
  <c r="F5" i="16"/>
  <c r="D5" i="16"/>
  <c r="D4" i="16"/>
  <c r="F4" i="16" s="1"/>
  <c r="D3" i="16"/>
  <c r="F3" i="16" s="1"/>
  <c r="F2" i="16"/>
  <c r="D2" i="16"/>
  <c r="D7" i="15"/>
  <c r="F7" i="15" s="1"/>
  <c r="D6" i="15"/>
  <c r="F6" i="15" s="1"/>
  <c r="D5" i="15"/>
  <c r="I5" i="15" s="1"/>
  <c r="D4" i="15"/>
  <c r="F4" i="15" s="1"/>
  <c r="F3" i="15"/>
  <c r="D3" i="15"/>
  <c r="D2" i="15"/>
  <c r="F2" i="15" s="1"/>
  <c r="I5" i="14"/>
  <c r="F5" i="14"/>
  <c r="D5" i="14"/>
  <c r="D4" i="14"/>
  <c r="F4" i="14" s="1"/>
  <c r="D3" i="14"/>
  <c r="F3" i="14" s="1"/>
  <c r="F2" i="14"/>
  <c r="I7" i="14" s="1"/>
  <c r="D2" i="14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7" i="12"/>
  <c r="F7" i="12" s="1"/>
  <c r="D6" i="12"/>
  <c r="F6" i="12" s="1"/>
  <c r="I5" i="12"/>
  <c r="F5" i="12"/>
  <c r="D5" i="12"/>
  <c r="D4" i="12"/>
  <c r="F4" i="12" s="1"/>
  <c r="D3" i="12"/>
  <c r="F3" i="12" s="1"/>
  <c r="F2" i="12"/>
  <c r="D2" i="12"/>
  <c r="D8" i="11"/>
  <c r="F8" i="11" s="1"/>
  <c r="D7" i="11"/>
  <c r="F7" i="11" s="1"/>
  <c r="F6" i="11"/>
  <c r="D6" i="11"/>
  <c r="D5" i="11"/>
  <c r="I5" i="11" s="1"/>
  <c r="F4" i="11"/>
  <c r="D4" i="11"/>
  <c r="D3" i="11"/>
  <c r="F3" i="11" s="1"/>
  <c r="D2" i="11"/>
  <c r="F2" i="11" s="1"/>
  <c r="F8" i="10"/>
  <c r="D8" i="10"/>
  <c r="D7" i="10"/>
  <c r="F7" i="10" s="1"/>
  <c r="D6" i="10"/>
  <c r="F6" i="10" s="1"/>
  <c r="D5" i="10"/>
  <c r="I5" i="10" s="1"/>
  <c r="D4" i="10"/>
  <c r="F4" i="10" s="1"/>
  <c r="F3" i="10"/>
  <c r="D3" i="10"/>
  <c r="D2" i="10"/>
  <c r="F2" i="10" s="1"/>
  <c r="D9" i="9"/>
  <c r="F9" i="9" s="1"/>
  <c r="F8" i="9"/>
  <c r="D8" i="9"/>
  <c r="D7" i="9"/>
  <c r="F7" i="9" s="1"/>
  <c r="D6" i="9"/>
  <c r="F6" i="9" s="1"/>
  <c r="I5" i="9"/>
  <c r="D5" i="9"/>
  <c r="F5" i="9" s="1"/>
  <c r="D4" i="9"/>
  <c r="F4" i="9" s="1"/>
  <c r="F3" i="9"/>
  <c r="D3" i="9"/>
  <c r="D2" i="9"/>
  <c r="F2" i="9" s="1"/>
  <c r="D6" i="8"/>
  <c r="F6" i="8" s="1"/>
  <c r="I5" i="8"/>
  <c r="D5" i="8"/>
  <c r="F5" i="8" s="1"/>
  <c r="D4" i="8"/>
  <c r="F4" i="8" s="1"/>
  <c r="F3" i="8"/>
  <c r="D3" i="8"/>
  <c r="D2" i="8"/>
  <c r="F2" i="8" s="1"/>
  <c r="D10" i="7"/>
  <c r="F10" i="7" s="1"/>
  <c r="F9" i="7"/>
  <c r="D9" i="7"/>
  <c r="D8" i="7"/>
  <c r="F8" i="7" s="1"/>
  <c r="D7" i="7"/>
  <c r="F7" i="7" s="1"/>
  <c r="D6" i="7"/>
  <c r="F6" i="7" s="1"/>
  <c r="D5" i="7"/>
  <c r="I5" i="7" s="1"/>
  <c r="F4" i="7"/>
  <c r="D4" i="7"/>
  <c r="D3" i="7"/>
  <c r="F3" i="7" s="1"/>
  <c r="D2" i="7"/>
  <c r="F2" i="7" s="1"/>
  <c r="D7" i="6"/>
  <c r="F7" i="6" s="1"/>
  <c r="D6" i="6"/>
  <c r="F6" i="6" s="1"/>
  <c r="I5" i="6"/>
  <c r="F5" i="6"/>
  <c r="D5" i="6"/>
  <c r="D4" i="6"/>
  <c r="F4" i="6" s="1"/>
  <c r="D3" i="6"/>
  <c r="F3" i="6" s="1"/>
  <c r="F2" i="6"/>
  <c r="D2" i="6"/>
  <c r="I5" i="5"/>
  <c r="D4" i="5"/>
  <c r="F4" i="5" s="1"/>
  <c r="F3" i="5"/>
  <c r="D3" i="5"/>
  <c r="D2" i="5"/>
  <c r="F2" i="5" s="1"/>
  <c r="D8" i="4"/>
  <c r="F8" i="4" s="1"/>
  <c r="D7" i="4"/>
  <c r="F7" i="4" s="1"/>
  <c r="D6" i="4"/>
  <c r="F6" i="4" s="1"/>
  <c r="I5" i="4"/>
  <c r="F5" i="4"/>
  <c r="D5" i="4"/>
  <c r="D4" i="4"/>
  <c r="F4" i="4" s="1"/>
  <c r="D3" i="4"/>
  <c r="F3" i="4" s="1"/>
  <c r="F2" i="4"/>
  <c r="D2" i="4"/>
  <c r="D5" i="3"/>
  <c r="I5" i="3" s="1"/>
  <c r="F4" i="3"/>
  <c r="D4" i="3"/>
  <c r="D3" i="3"/>
  <c r="F3" i="3" s="1"/>
  <c r="D2" i="3"/>
  <c r="F2" i="3" s="1"/>
  <c r="F8" i="2"/>
  <c r="D8" i="2"/>
  <c r="D7" i="2"/>
  <c r="F7" i="2" s="1"/>
  <c r="D6" i="2"/>
  <c r="F6" i="2" s="1"/>
  <c r="I5" i="2"/>
  <c r="D5" i="2"/>
  <c r="F5" i="2" s="1"/>
  <c r="D4" i="2"/>
  <c r="F4" i="2" s="1"/>
  <c r="F3" i="2"/>
  <c r="D3" i="2"/>
  <c r="D2" i="2"/>
  <c r="F2" i="2" s="1"/>
  <c r="I7" i="2" s="1"/>
  <c r="D10" i="1"/>
  <c r="F10" i="1" s="1"/>
  <c r="F9" i="1"/>
  <c r="D9" i="1"/>
  <c r="D8" i="1"/>
  <c r="F8" i="1" s="1"/>
  <c r="D7" i="1"/>
  <c r="F7" i="1" s="1"/>
  <c r="D6" i="1"/>
  <c r="F6" i="1" s="1"/>
  <c r="D5" i="1"/>
  <c r="I5" i="1" s="1"/>
  <c r="F4" i="1"/>
  <c r="D4" i="1"/>
  <c r="D3" i="1"/>
  <c r="F3" i="1" s="1"/>
  <c r="D2" i="1"/>
  <c r="F2" i="1" s="1"/>
  <c r="I5" i="13" l="1" a="1"/>
  <c r="I5" i="13" s="1"/>
  <c r="I7" i="6"/>
  <c r="I7" i="5"/>
  <c r="I7" i="9"/>
  <c r="I7" i="8"/>
  <c r="I7" i="16"/>
  <c r="I7" i="12"/>
  <c r="I7" i="15"/>
  <c r="I7" i="4"/>
  <c r="F5" i="11"/>
  <c r="I7" i="11" s="1"/>
  <c r="F5" i="15"/>
  <c r="F5" i="1"/>
  <c r="I7" i="1" s="1"/>
  <c r="F5" i="3"/>
  <c r="I7" i="3" s="1"/>
  <c r="F5" i="10"/>
  <c r="I7" i="10" s="1"/>
  <c r="F5" i="17"/>
  <c r="I7" i="17" s="1"/>
  <c r="F5" i="7"/>
  <c r="I7" i="7" s="1"/>
  <c r="F5" i="13"/>
  <c r="I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<sst xmlns="http://schemas.openxmlformats.org/spreadsheetml/2006/main" count="279" uniqueCount="118">
  <si>
    <t>Name</t>
  </si>
  <si>
    <t>ARIMAPP</t>
  </si>
  <si>
    <t>LSTMPP</t>
  </si>
  <si>
    <t>PP</t>
  </si>
  <si>
    <t>AP</t>
  </si>
  <si>
    <t>DIFF</t>
  </si>
  <si>
    <t>Gabriel</t>
  </si>
  <si>
    <t>ARIMA</t>
  </si>
  <si>
    <t>Havertz</t>
  </si>
  <si>
    <t>LSTM</t>
  </si>
  <si>
    <t>Nketiah</t>
  </si>
  <si>
    <t>Ødegaard</t>
  </si>
  <si>
    <t>OFF</t>
  </si>
  <si>
    <t>Saka</t>
  </si>
  <si>
    <t>Saliba</t>
  </si>
  <si>
    <t>AVG</t>
  </si>
  <si>
    <t>White</t>
  </si>
  <si>
    <t>Zinchenko</t>
  </si>
  <si>
    <t>Rice</t>
  </si>
  <si>
    <t>Cash</t>
  </si>
  <si>
    <t>Digne</t>
  </si>
  <si>
    <t>Douglas Luiz</t>
  </si>
  <si>
    <t>Konsa</t>
  </si>
  <si>
    <t>Martinez</t>
  </si>
  <si>
    <t>McGinn</t>
  </si>
  <si>
    <t>Watkins</t>
  </si>
  <si>
    <t>Billing</t>
  </si>
  <si>
    <t>Christie</t>
  </si>
  <si>
    <t>Neto</t>
  </si>
  <si>
    <t>Solanke</t>
  </si>
  <si>
    <t>Collins</t>
  </si>
  <si>
    <t>Janelt</t>
  </si>
  <si>
    <t>Jensen</t>
  </si>
  <si>
    <t>Mbeumo</t>
  </si>
  <si>
    <t>Nørgaard</t>
  </si>
  <si>
    <t>Pinnock</t>
  </si>
  <si>
    <t>Wissa</t>
  </si>
  <si>
    <t>Gilmour</t>
  </si>
  <si>
    <t>João Pedro</t>
  </si>
  <si>
    <t>Mitoma</t>
  </si>
  <si>
    <t>Sanchez</t>
  </si>
  <si>
    <t>Colwill</t>
  </si>
  <si>
    <t>Gallagher</t>
  </si>
  <si>
    <t>Mudryk</t>
  </si>
  <si>
    <t>Sterling</t>
  </si>
  <si>
    <t>T.Silva</t>
  </si>
  <si>
    <t>Andersen</t>
  </si>
  <si>
    <t>J.Ayew</t>
  </si>
  <si>
    <t>C.Doucouré</t>
  </si>
  <si>
    <t>Edouard</t>
  </si>
  <si>
    <t>Guéhi</t>
  </si>
  <si>
    <t>Johnstone</t>
  </si>
  <si>
    <t>Mitchell</t>
  </si>
  <si>
    <t>Schlupp</t>
  </si>
  <si>
    <t>Ward</t>
  </si>
  <si>
    <t>A.Doucoure</t>
  </si>
  <si>
    <t>Garner</t>
  </si>
  <si>
    <t>Onana</t>
  </si>
  <si>
    <t>Pickford</t>
  </si>
  <si>
    <t>Tarkowski</t>
  </si>
  <si>
    <t>Andreas</t>
  </si>
  <si>
    <t>De Cordova-Reid</t>
  </si>
  <si>
    <t>Diop</t>
  </si>
  <si>
    <t>Leno</t>
  </si>
  <si>
    <t>J.Palhinha</t>
  </si>
  <si>
    <t>Ream</t>
  </si>
  <si>
    <t>Reed</t>
  </si>
  <si>
    <t>Robinson</t>
  </si>
  <si>
    <t>A.Becker</t>
  </si>
  <si>
    <t>Darwin</t>
  </si>
  <si>
    <t>Diogo J.</t>
  </si>
  <si>
    <t>Luis Díaz</t>
  </si>
  <si>
    <t>Robertson</t>
  </si>
  <si>
    <t>Salah</t>
  </si>
  <si>
    <t>Virgil</t>
  </si>
  <si>
    <t>Aké</t>
  </si>
  <si>
    <t>J.Alvarez</t>
  </si>
  <si>
    <t>Rúben</t>
  </si>
  <si>
    <t>Ederson M.</t>
  </si>
  <si>
    <t>Foden</t>
  </si>
  <si>
    <t>Haaland</t>
  </si>
  <si>
    <t>Walker</t>
  </si>
  <si>
    <t>B.Fernandes</t>
  </si>
  <si>
    <t>Casemiro</t>
  </si>
  <si>
    <t>Dalot</t>
  </si>
  <si>
    <t>Eriksen</t>
  </si>
  <si>
    <t>Lindelof</t>
  </si>
  <si>
    <t>Rashford</t>
  </si>
  <si>
    <t>Almirón</t>
  </si>
  <si>
    <t>Bruno G.</t>
  </si>
  <si>
    <t>Burn</t>
  </si>
  <si>
    <t>Gordon</t>
  </si>
  <si>
    <t>Isak</t>
  </si>
  <si>
    <t>Longstaff</t>
  </si>
  <si>
    <t>Pope</t>
  </si>
  <si>
    <t>Schär</t>
  </si>
  <si>
    <t>Trippier</t>
  </si>
  <si>
    <t>Wilson</t>
  </si>
  <si>
    <t>Elanga</t>
  </si>
  <si>
    <t>Boly</t>
  </si>
  <si>
    <t>Gibbs-White</t>
  </si>
  <si>
    <t>Wood</t>
  </si>
  <si>
    <t>Kulusevski</t>
  </si>
  <si>
    <t>Maddison</t>
  </si>
  <si>
    <t>Pedro Porro</t>
  </si>
  <si>
    <t>Richarlison</t>
  </si>
  <si>
    <t>Romero</t>
  </si>
  <si>
    <t>Son</t>
  </si>
  <si>
    <t>N.Aguerd</t>
  </si>
  <si>
    <t>Antonio</t>
  </si>
  <si>
    <t>Areola</t>
  </si>
  <si>
    <t>Bowen</t>
  </si>
  <si>
    <t>Emerson</t>
  </si>
  <si>
    <t>L.Paquetá</t>
  </si>
  <si>
    <t>Ward-Prowse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</si>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</sst>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0">
  <autoFilter ref="A1:F10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8">
  <autoFilter ref="A1:F8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8">
  <autoFilter ref="A1:F8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4">
  <autoFilter ref="A1:F4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9">
  <autoFilter ref="A1:F9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8">
  <autoFilter ref="A1:F8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7">
  <autoFilter ref="A1:F7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1">
  <autoFilter ref="A1:F11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7">
  <autoFilter ref="A1:F7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8">
  <autoFilter ref="A1:F8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58.064516158375604</v>
      </c>
      <c r="C2">
        <v>38.861994657726775</v>
      </c>
      <c r="D2">
        <f t="shared" ref="D2:D10" si="0">B2*$I$2+C2*$I$3</f>
        <v>0</v>
      </c>
      <c r="E2">
        <v>33</v>
      </c>
      <c r="F2">
        <f t="shared" ref="F2:F10" si="1">ABS(D2-E2)</f>
        <v>33</v>
      </c>
      <c r="H2" t="s">
        <v>7</v>
      </c>
      <c r="I2">
        <v>0</v>
      </c>
    </row>
    <row r="3" spans="1:9" x14ac:dyDescent="0.3">
      <c r="A3" t="s">
        <v>8</v>
      </c>
      <c r="B3">
        <v>48.624999999999993</v>
      </c>
      <c r="C3">
        <v>34.331069123753792</v>
      </c>
      <c r="D3">
        <f t="shared" si="0"/>
        <v>0</v>
      </c>
      <c r="E3">
        <v>21</v>
      </c>
      <c r="F3">
        <f t="shared" si="1"/>
        <v>21</v>
      </c>
      <c r="H3" t="s">
        <v>9</v>
      </c>
      <c r="I3">
        <v>0</v>
      </c>
    </row>
    <row r="4" spans="1:9" x14ac:dyDescent="0.3">
      <c r="A4" t="s">
        <v>10</v>
      </c>
      <c r="B4">
        <v>22.078948717164092</v>
      </c>
      <c r="C4">
        <v>37.285529039103331</v>
      </c>
      <c r="D4">
        <f t="shared" si="0"/>
        <v>0</v>
      </c>
      <c r="E4">
        <v>29</v>
      </c>
      <c r="F4">
        <f t="shared" si="1"/>
        <v>29</v>
      </c>
    </row>
    <row r="5" spans="1:9" x14ac:dyDescent="0.3">
      <c r="A5" t="s">
        <v>11</v>
      </c>
      <c r="B5">
        <v>44.00335658601557</v>
      </c>
      <c r="C5">
        <v>62.202989109734801</v>
      </c>
      <c r="D5">
        <f t="shared" si="0"/>
        <v>0</v>
      </c>
      <c r="E5">
        <v>53</v>
      </c>
      <c r="F5">
        <f t="shared" si="1"/>
        <v>53</v>
      </c>
      <c r="H5" t="s">
        <v>12</v>
      </c>
      <c r="I5">
        <f>(SUM(TableARS[[#This Row],[PP]]-TableARS[[#This Row],[AP]]))^2</f>
        <v>2809</v>
      </c>
    </row>
    <row r="6" spans="1:9" x14ac:dyDescent="0.3">
      <c r="A6" t="s">
        <v>13</v>
      </c>
      <c r="B6">
        <v>46.399795409101614</v>
      </c>
      <c r="C6">
        <v>60.843668243183572</v>
      </c>
      <c r="D6">
        <f t="shared" si="0"/>
        <v>0</v>
      </c>
      <c r="E6">
        <v>61</v>
      </c>
      <c r="F6">
        <f t="shared" si="1"/>
        <v>61</v>
      </c>
    </row>
    <row r="7" spans="1:9" x14ac:dyDescent="0.3">
      <c r="A7" t="s">
        <v>14</v>
      </c>
      <c r="B7">
        <v>44.858099782048086</v>
      </c>
      <c r="C7">
        <v>46.120528044789111</v>
      </c>
      <c r="D7">
        <f t="shared" si="0"/>
        <v>0</v>
      </c>
      <c r="E7">
        <v>43</v>
      </c>
      <c r="F7">
        <f t="shared" si="1"/>
        <v>43</v>
      </c>
      <c r="H7" t="s">
        <v>15</v>
      </c>
      <c r="I7">
        <f>AVERAGE(TableARS[DIFF])/10</f>
        <v>3.9</v>
      </c>
    </row>
    <row r="8" spans="1:9" x14ac:dyDescent="0.3">
      <c r="A8" t="s">
        <v>16</v>
      </c>
      <c r="B8">
        <v>82.25</v>
      </c>
      <c r="C8">
        <v>44.64308870755017</v>
      </c>
      <c r="D8">
        <f t="shared" si="0"/>
        <v>0</v>
      </c>
      <c r="E8">
        <v>50</v>
      </c>
      <c r="F8">
        <f t="shared" si="1"/>
        <v>50</v>
      </c>
    </row>
    <row r="9" spans="1:9" x14ac:dyDescent="0.3">
      <c r="A9" t="s">
        <v>17</v>
      </c>
      <c r="B9">
        <v>40.320319244111566</v>
      </c>
      <c r="C9">
        <v>36.177690258283441</v>
      </c>
      <c r="D9">
        <f t="shared" si="0"/>
        <v>0</v>
      </c>
      <c r="E9">
        <v>31</v>
      </c>
      <c r="F9">
        <f t="shared" si="1"/>
        <v>31</v>
      </c>
    </row>
    <row r="10" spans="1:9" x14ac:dyDescent="0.3">
      <c r="A10" t="s">
        <v>18</v>
      </c>
      <c r="B10">
        <v>22.536047241899411</v>
      </c>
      <c r="C10">
        <v>30.55697521304181</v>
      </c>
      <c r="D10">
        <f t="shared" si="0"/>
        <v>0</v>
      </c>
      <c r="E10">
        <v>30</v>
      </c>
      <c r="F10">
        <f t="shared" si="1"/>
        <v>30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</v>
      </c>
      <c r="B2">
        <v>22.172543344896177</v>
      </c>
      <c r="C2">
        <v>40.852283249670933</v>
      </c>
      <c r="D2">
        <f t="shared" ref="D2:D8" si="0">B2*$I$2+C2*$I$3</f>
        <v>0</v>
      </c>
      <c r="E2">
        <v>46</v>
      </c>
      <c r="F2">
        <f t="shared" ref="F2:F8" si="1">ABS(D2-E2)</f>
        <v>46</v>
      </c>
      <c r="H2" t="s">
        <v>7</v>
      </c>
      <c r="I2">
        <v>0</v>
      </c>
    </row>
    <row r="3" spans="1:9" x14ac:dyDescent="0.3">
      <c r="A3" t="s">
        <v>20</v>
      </c>
      <c r="B3">
        <v>22.03455424351796</v>
      </c>
      <c r="C3">
        <v>27.205393984224472</v>
      </c>
      <c r="D3">
        <f t="shared" si="0"/>
        <v>0</v>
      </c>
      <c r="E3">
        <v>31</v>
      </c>
      <c r="F3">
        <f t="shared" si="1"/>
        <v>31</v>
      </c>
      <c r="H3" t="s">
        <v>9</v>
      </c>
      <c r="I3">
        <v>0</v>
      </c>
    </row>
    <row r="4" spans="1:9" x14ac:dyDescent="0.3">
      <c r="A4" t="s">
        <v>21</v>
      </c>
      <c r="B4">
        <v>27.022078481663598</v>
      </c>
      <c r="C4">
        <v>36.60472730982287</v>
      </c>
      <c r="D4">
        <f t="shared" si="0"/>
        <v>0</v>
      </c>
      <c r="E4">
        <v>58</v>
      </c>
      <c r="F4">
        <f t="shared" si="1"/>
        <v>58</v>
      </c>
    </row>
    <row r="5" spans="1:9" x14ac:dyDescent="0.3">
      <c r="A5" t="s">
        <v>22</v>
      </c>
      <c r="B5">
        <v>29.165021363649416</v>
      </c>
      <c r="C5">
        <v>33.67350101475288</v>
      </c>
      <c r="D5">
        <f t="shared" si="0"/>
        <v>0</v>
      </c>
      <c r="E5">
        <v>30</v>
      </c>
      <c r="F5">
        <f t="shared" si="1"/>
        <v>30</v>
      </c>
      <c r="H5" t="s">
        <v>12</v>
      </c>
      <c r="I5">
        <f>(SUM(TableAVL[[#This Row],[PP]]-TableAVL[[#This Row],[AP]]))^2</f>
        <v>900</v>
      </c>
    </row>
    <row r="6" spans="1:9" x14ac:dyDescent="0.3">
      <c r="A6" t="s">
        <v>23</v>
      </c>
      <c r="B6">
        <v>73.333333299050025</v>
      </c>
      <c r="C6">
        <v>46.551774170932312</v>
      </c>
      <c r="D6">
        <f t="shared" si="0"/>
        <v>0</v>
      </c>
      <c r="E6">
        <v>32</v>
      </c>
      <c r="F6">
        <f t="shared" si="1"/>
        <v>32</v>
      </c>
    </row>
    <row r="7" spans="1:9" x14ac:dyDescent="0.3">
      <c r="A7" t="s">
        <v>24</v>
      </c>
      <c r="B7">
        <v>29.440094904776121</v>
      </c>
      <c r="C7">
        <v>32.50150414866841</v>
      </c>
      <c r="D7">
        <f t="shared" si="0"/>
        <v>0</v>
      </c>
      <c r="E7">
        <v>32</v>
      </c>
      <c r="F7">
        <f t="shared" si="1"/>
        <v>32</v>
      </c>
      <c r="H7" t="s">
        <v>15</v>
      </c>
      <c r="I7">
        <f>AVERAGE(TableAVL[DIFF])/10</f>
        <v>4.3142857142857149</v>
      </c>
    </row>
    <row r="8" spans="1:9" x14ac:dyDescent="0.3">
      <c r="A8" t="s">
        <v>25</v>
      </c>
      <c r="B8">
        <v>71.061224516657489</v>
      </c>
      <c r="C8">
        <v>55.087384598197026</v>
      </c>
      <c r="D8">
        <f t="shared" si="0"/>
        <v>0</v>
      </c>
      <c r="E8">
        <v>73</v>
      </c>
      <c r="F8">
        <f t="shared" si="1"/>
        <v>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26</v>
      </c>
      <c r="B2">
        <v>35.88137754833425</v>
      </c>
      <c r="C2">
        <v>43.164170392865735</v>
      </c>
      <c r="D2">
        <f>B2*$I$2+C2*$I$3</f>
        <v>0</v>
      </c>
      <c r="E2">
        <v>24</v>
      </c>
      <c r="F2">
        <f>ABS(D2-E2)</f>
        <v>24</v>
      </c>
      <c r="H2" t="s">
        <v>7</v>
      </c>
      <c r="I2">
        <v>0</v>
      </c>
    </row>
    <row r="3" spans="1:9" x14ac:dyDescent="0.3">
      <c r="A3" t="s">
        <v>27</v>
      </c>
      <c r="B3">
        <v>40.518518518518519</v>
      </c>
      <c r="C3">
        <v>28.529598350871851</v>
      </c>
      <c r="D3">
        <f>B3*$I$2+C3*$I$3</f>
        <v>0</v>
      </c>
      <c r="E3">
        <v>23</v>
      </c>
      <c r="F3">
        <f>ABS(D3-E3)</f>
        <v>23</v>
      </c>
      <c r="H3" t="s">
        <v>9</v>
      </c>
      <c r="I3">
        <v>0</v>
      </c>
    </row>
    <row r="4" spans="1:9" x14ac:dyDescent="0.3">
      <c r="A4" t="s">
        <v>28</v>
      </c>
      <c r="B4">
        <v>58.956521702089084</v>
      </c>
      <c r="C4">
        <v>47.234169270014377</v>
      </c>
      <c r="D4">
        <f>B4*$I$2+C4*$I$3</f>
        <v>0</v>
      </c>
      <c r="E4">
        <v>32</v>
      </c>
      <c r="F4">
        <f>ABS(D4-E4)</f>
        <v>32</v>
      </c>
    </row>
    <row r="5" spans="1:9" x14ac:dyDescent="0.3">
      <c r="A5" t="s">
        <v>29</v>
      </c>
      <c r="B5">
        <v>35.332622696899314</v>
      </c>
      <c r="C5">
        <v>48.392637737262966</v>
      </c>
      <c r="D5">
        <f>B5*$I$2+C5*$I$3</f>
        <v>0</v>
      </c>
      <c r="E5">
        <v>36</v>
      </c>
      <c r="F5">
        <f>ABS(D5-E5)</f>
        <v>36</v>
      </c>
      <c r="H5" t="s">
        <v>12</v>
      </c>
      <c r="I5">
        <f>(SUM(TableBOU[[#This Row],[PP]]-TableBOU[[#This Row],[AP]]))^2</f>
        <v>1296</v>
      </c>
    </row>
    <row r="7" spans="1:9" x14ac:dyDescent="0.3">
      <c r="H7" t="s">
        <v>15</v>
      </c>
      <c r="I7">
        <f>AVERAGE(TableBOU[DIFF])/10</f>
        <v>2.875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43.263157944774903</v>
      </c>
      <c r="C2">
        <v>26.906603649967082</v>
      </c>
      <c r="D2">
        <f t="shared" ref="D2:D8" si="0">B2*$I$2+C2*$I$3</f>
        <v>0</v>
      </c>
      <c r="E2">
        <v>20</v>
      </c>
      <c r="F2">
        <f t="shared" ref="F2:F8" si="1">ABS(D2-E2)</f>
        <v>20</v>
      </c>
      <c r="H2" t="s">
        <v>7</v>
      </c>
      <c r="I2">
        <v>0</v>
      </c>
    </row>
    <row r="3" spans="1:9" x14ac:dyDescent="0.3">
      <c r="A3" t="s">
        <v>31</v>
      </c>
      <c r="B3">
        <v>29.967780581576893</v>
      </c>
      <c r="C3">
        <v>29.193528128201766</v>
      </c>
      <c r="D3">
        <f t="shared" si="0"/>
        <v>0</v>
      </c>
      <c r="E3">
        <v>25</v>
      </c>
      <c r="F3">
        <f t="shared" si="1"/>
        <v>25</v>
      </c>
      <c r="H3" t="s">
        <v>9</v>
      </c>
      <c r="I3">
        <v>0</v>
      </c>
    </row>
    <row r="4" spans="1:9" x14ac:dyDescent="0.3">
      <c r="A4" t="s">
        <v>32</v>
      </c>
      <c r="B4">
        <v>27.224215188870993</v>
      </c>
      <c r="C4">
        <v>36.055375920955498</v>
      </c>
      <c r="D4">
        <f t="shared" si="0"/>
        <v>0</v>
      </c>
      <c r="E4">
        <v>47</v>
      </c>
      <c r="F4">
        <f t="shared" si="1"/>
        <v>47</v>
      </c>
    </row>
    <row r="5" spans="1:9" x14ac:dyDescent="0.3">
      <c r="A5" t="s">
        <v>33</v>
      </c>
      <c r="B5">
        <v>33.918797101652984</v>
      </c>
      <c r="C5">
        <v>38.442836808423678</v>
      </c>
      <c r="D5">
        <f t="shared" si="0"/>
        <v>0</v>
      </c>
      <c r="E5">
        <v>56</v>
      </c>
      <c r="F5">
        <f t="shared" si="1"/>
        <v>56</v>
      </c>
      <c r="H5" t="s">
        <v>12</v>
      </c>
      <c r="I5">
        <f>(SUM(TableBRE[[#This Row],[PP]]-TableBRE[[#This Row],[AP]]))^2</f>
        <v>3136</v>
      </c>
    </row>
    <row r="6" spans="1:9" x14ac:dyDescent="0.3">
      <c r="A6" t="s">
        <v>34</v>
      </c>
      <c r="B6">
        <v>31.946610909639734</v>
      </c>
      <c r="C6">
        <v>35.993632571750467</v>
      </c>
      <c r="D6">
        <f t="shared" si="0"/>
        <v>0</v>
      </c>
      <c r="E6">
        <v>28</v>
      </c>
      <c r="F6">
        <f t="shared" si="1"/>
        <v>28</v>
      </c>
    </row>
    <row r="7" spans="1:9" x14ac:dyDescent="0.3">
      <c r="A7" t="s">
        <v>35</v>
      </c>
      <c r="B7">
        <v>29.466085168201118</v>
      </c>
      <c r="C7">
        <v>34.714046077879296</v>
      </c>
      <c r="D7">
        <f t="shared" si="0"/>
        <v>0</v>
      </c>
      <c r="E7">
        <v>32</v>
      </c>
      <c r="F7">
        <f t="shared" si="1"/>
        <v>32</v>
      </c>
      <c r="H7" t="s">
        <v>15</v>
      </c>
      <c r="I7">
        <f>AVERAGE(TableBRE[DIFF])/10</f>
        <v>3.6714285714285717</v>
      </c>
    </row>
    <row r="8" spans="1:9" x14ac:dyDescent="0.3">
      <c r="A8" t="s">
        <v>36</v>
      </c>
      <c r="B8">
        <v>29.627118644067792</v>
      </c>
      <c r="C8">
        <v>31.568399890678684</v>
      </c>
      <c r="D8">
        <f t="shared" si="0"/>
        <v>0</v>
      </c>
      <c r="E8">
        <v>49</v>
      </c>
      <c r="F8">
        <f t="shared" si="1"/>
        <v>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37</v>
      </c>
      <c r="B2">
        <v>17.516703400903619</v>
      </c>
      <c r="C2">
        <v>24.471669085179315</v>
      </c>
      <c r="D2">
        <f>B2*$I$2+C2*$I$3</f>
        <v>0</v>
      </c>
      <c r="E2">
        <v>22</v>
      </c>
      <c r="F2">
        <f>ABS(D2-E2)</f>
        <v>22</v>
      </c>
      <c r="H2" t="s">
        <v>7</v>
      </c>
      <c r="I2">
        <v>0</v>
      </c>
    </row>
    <row r="3" spans="1:9" x14ac:dyDescent="0.3">
      <c r="A3" t="s">
        <v>38</v>
      </c>
      <c r="B3">
        <v>22.700607411032163</v>
      </c>
      <c r="C3">
        <v>33.627646425001174</v>
      </c>
      <c r="D3">
        <f>B3*$I$2+C3*$I$3</f>
        <v>0</v>
      </c>
      <c r="E3">
        <v>32</v>
      </c>
      <c r="F3">
        <f>ABS(D3-E3)</f>
        <v>32</v>
      </c>
      <c r="H3" t="s">
        <v>9</v>
      </c>
      <c r="I3">
        <v>0</v>
      </c>
    </row>
    <row r="4" spans="1:9" x14ac:dyDescent="0.3">
      <c r="A4" t="s">
        <v>39</v>
      </c>
      <c r="B4">
        <v>66.166666663994491</v>
      </c>
      <c r="C4">
        <v>52.002381288676318</v>
      </c>
      <c r="D4">
        <f>B4*$I$2+C4*$I$3</f>
        <v>0</v>
      </c>
      <c r="E4">
        <v>46</v>
      </c>
      <c r="F4">
        <f>ABS(D4-E4)</f>
        <v>46</v>
      </c>
    </row>
    <row r="5" spans="1:9" x14ac:dyDescent="0.3">
      <c r="H5" t="s">
        <v>12</v>
      </c>
      <c r="I5" t="e">
        <f>(SUM(TableBHA[[#This Row],[PP]]-TableBHA[[#This Row],[AP]]))^2</f>
        <v>#VALUE!</v>
      </c>
    </row>
    <row r="7" spans="1:9" x14ac:dyDescent="0.3">
      <c r="H7" t="s">
        <v>15</v>
      </c>
      <c r="I7">
        <f>AVERAGE(TableBHA[DIFF])/10</f>
        <v>3.3333333333333335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40</v>
      </c>
      <c r="B2">
        <v>37.459949346436119</v>
      </c>
      <c r="C2">
        <v>38.729936683415673</v>
      </c>
      <c r="D2">
        <f t="shared" ref="D2:D7" si="0">B2*$I$2+C2*$I$3</f>
        <v>0</v>
      </c>
      <c r="E2">
        <v>37</v>
      </c>
      <c r="F2">
        <f t="shared" ref="F2:F7" si="1">ABS(D2-E2)</f>
        <v>37</v>
      </c>
      <c r="H2" t="s">
        <v>7</v>
      </c>
      <c r="I2">
        <v>0</v>
      </c>
    </row>
    <row r="3" spans="1:9" x14ac:dyDescent="0.3">
      <c r="A3" t="s">
        <v>41</v>
      </c>
      <c r="B3">
        <v>20.635863167245258</v>
      </c>
      <c r="C3">
        <v>41.489476518881133</v>
      </c>
      <c r="D3">
        <f t="shared" si="0"/>
        <v>0</v>
      </c>
      <c r="E3">
        <v>39</v>
      </c>
      <c r="F3">
        <f t="shared" si="1"/>
        <v>39</v>
      </c>
      <c r="H3" t="s">
        <v>9</v>
      </c>
      <c r="I3">
        <v>0</v>
      </c>
    </row>
    <row r="4" spans="1:9" x14ac:dyDescent="0.3">
      <c r="A4" t="s">
        <v>42</v>
      </c>
      <c r="B4">
        <v>27.296638336001052</v>
      </c>
      <c r="C4">
        <v>23.610309066007524</v>
      </c>
      <c r="D4">
        <f t="shared" si="0"/>
        <v>0</v>
      </c>
      <c r="E4">
        <v>37</v>
      </c>
      <c r="F4">
        <f t="shared" si="1"/>
        <v>37</v>
      </c>
    </row>
    <row r="5" spans="1:9" x14ac:dyDescent="0.3">
      <c r="A5" t="s">
        <v>43</v>
      </c>
      <c r="B5">
        <v>19.400000751955321</v>
      </c>
      <c r="C5">
        <v>49.651128840005157</v>
      </c>
      <c r="D5">
        <f t="shared" si="0"/>
        <v>0</v>
      </c>
      <c r="E5">
        <v>31</v>
      </c>
      <c r="F5">
        <f t="shared" si="1"/>
        <v>31</v>
      </c>
      <c r="H5" t="s">
        <v>12</v>
      </c>
      <c r="I5">
        <f>(SUM(TableCHE[[#This Row],[PP]]-TableCHE[[#This Row],[AP]]))^2</f>
        <v>961</v>
      </c>
    </row>
    <row r="6" spans="1:9" x14ac:dyDescent="0.3">
      <c r="A6" t="s">
        <v>44</v>
      </c>
      <c r="B6">
        <v>78.08590370192772</v>
      </c>
      <c r="C6">
        <v>34.561764317505506</v>
      </c>
      <c r="D6">
        <f t="shared" si="0"/>
        <v>0</v>
      </c>
      <c r="E6">
        <v>64</v>
      </c>
      <c r="F6">
        <f t="shared" si="1"/>
        <v>64</v>
      </c>
    </row>
    <row r="7" spans="1:9" x14ac:dyDescent="0.3">
      <c r="A7" t="s">
        <v>45</v>
      </c>
      <c r="B7">
        <v>61.235965616911734</v>
      </c>
      <c r="C7">
        <v>32.944667026322051</v>
      </c>
      <c r="D7">
        <f t="shared" si="0"/>
        <v>0</v>
      </c>
      <c r="E7">
        <v>28</v>
      </c>
      <c r="F7">
        <f t="shared" si="1"/>
        <v>28</v>
      </c>
      <c r="H7" t="s">
        <v>15</v>
      </c>
      <c r="I7">
        <f>AVERAGE(TableCHE[DIFF])/10</f>
        <v>3.9333333333333336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46</v>
      </c>
      <c r="B2">
        <v>57.116279069767444</v>
      </c>
      <c r="C2">
        <v>30.934999321645883</v>
      </c>
      <c r="D2">
        <f t="shared" ref="D2:D10" si="0">B2*$I$2+C2*$I$3</f>
        <v>0</v>
      </c>
      <c r="E2">
        <v>57</v>
      </c>
      <c r="F2">
        <f t="shared" ref="F2:F10" si="1">ABS(D2-E2)</f>
        <v>57</v>
      </c>
      <c r="H2" t="s">
        <v>7</v>
      </c>
      <c r="I2">
        <v>0</v>
      </c>
    </row>
    <row r="3" spans="1:9" x14ac:dyDescent="0.3">
      <c r="A3" t="s">
        <v>47</v>
      </c>
      <c r="B3">
        <v>25.251335160514216</v>
      </c>
      <c r="C3">
        <v>32.863683279522675</v>
      </c>
      <c r="D3">
        <f t="shared" si="0"/>
        <v>0</v>
      </c>
      <c r="E3">
        <v>30</v>
      </c>
      <c r="F3">
        <f t="shared" si="1"/>
        <v>30</v>
      </c>
      <c r="H3" t="s">
        <v>9</v>
      </c>
      <c r="I3">
        <v>0</v>
      </c>
    </row>
    <row r="4" spans="1:9" x14ac:dyDescent="0.3">
      <c r="A4" t="s">
        <v>48</v>
      </c>
      <c r="B4">
        <v>22.004218988138813</v>
      </c>
      <c r="C4">
        <v>30.988901120353677</v>
      </c>
      <c r="D4">
        <f t="shared" si="0"/>
        <v>0</v>
      </c>
      <c r="E4">
        <v>22</v>
      </c>
      <c r="F4">
        <f t="shared" si="1"/>
        <v>22</v>
      </c>
    </row>
    <row r="5" spans="1:9" x14ac:dyDescent="0.3">
      <c r="A5" t="s">
        <v>49</v>
      </c>
      <c r="B5">
        <v>27.798662872259655</v>
      </c>
      <c r="C5">
        <v>27.944401905889226</v>
      </c>
      <c r="D5">
        <f t="shared" si="0"/>
        <v>0</v>
      </c>
      <c r="E5">
        <v>27</v>
      </c>
      <c r="F5">
        <f t="shared" si="1"/>
        <v>27</v>
      </c>
      <c r="H5" t="s">
        <v>12</v>
      </c>
      <c r="I5">
        <f>(SUM(TableCRY[[#This Row],[PP]]-TableCRY[[#This Row],[AP]]))^2</f>
        <v>729</v>
      </c>
    </row>
    <row r="6" spans="1:9" x14ac:dyDescent="0.3">
      <c r="A6" t="s">
        <v>50</v>
      </c>
      <c r="B6">
        <v>29.88749113337451</v>
      </c>
      <c r="C6">
        <v>33.820100533177524</v>
      </c>
      <c r="D6">
        <f t="shared" si="0"/>
        <v>0</v>
      </c>
      <c r="E6">
        <v>43</v>
      </c>
      <c r="F6">
        <f t="shared" si="1"/>
        <v>43</v>
      </c>
    </row>
    <row r="7" spans="1:9" x14ac:dyDescent="0.3">
      <c r="A7" t="s">
        <v>51</v>
      </c>
      <c r="B7">
        <v>63.560975609756106</v>
      </c>
      <c r="C7">
        <v>45.177447944392092</v>
      </c>
      <c r="D7">
        <f t="shared" si="0"/>
        <v>0</v>
      </c>
      <c r="E7">
        <v>46</v>
      </c>
      <c r="F7">
        <f t="shared" si="1"/>
        <v>46</v>
      </c>
      <c r="H7" t="s">
        <v>15</v>
      </c>
      <c r="I7">
        <f>AVERAGE(TableCRY[DIFF])/10</f>
        <v>3.5444444444444443</v>
      </c>
    </row>
    <row r="8" spans="1:9" x14ac:dyDescent="0.3">
      <c r="A8" t="s">
        <v>52</v>
      </c>
      <c r="B8">
        <v>36.257326431369691</v>
      </c>
      <c r="C8">
        <v>29.853098086324238</v>
      </c>
      <c r="D8">
        <f t="shared" si="0"/>
        <v>0</v>
      </c>
      <c r="E8">
        <v>39</v>
      </c>
      <c r="F8">
        <f t="shared" si="1"/>
        <v>39</v>
      </c>
    </row>
    <row r="9" spans="1:9" x14ac:dyDescent="0.3">
      <c r="A9" t="s">
        <v>53</v>
      </c>
      <c r="B9">
        <v>44.476190475769016</v>
      </c>
      <c r="C9">
        <v>27.25910418248186</v>
      </c>
      <c r="D9">
        <f t="shared" si="0"/>
        <v>0</v>
      </c>
      <c r="E9">
        <v>25</v>
      </c>
      <c r="F9">
        <f t="shared" si="1"/>
        <v>25</v>
      </c>
    </row>
    <row r="10" spans="1:9" x14ac:dyDescent="0.3">
      <c r="A10" t="s">
        <v>54</v>
      </c>
      <c r="B10">
        <v>19.495071057856755</v>
      </c>
      <c r="C10">
        <v>26.62620798014154</v>
      </c>
      <c r="D10">
        <f t="shared" si="0"/>
        <v>0</v>
      </c>
      <c r="E10">
        <v>30</v>
      </c>
      <c r="F10">
        <f t="shared" si="1"/>
        <v>30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55</v>
      </c>
      <c r="B2">
        <v>55.169014083975384</v>
      </c>
      <c r="C2">
        <v>28.60747676493067</v>
      </c>
      <c r="D2">
        <f>B2*$I$2+C2*$I$3</f>
        <v>0</v>
      </c>
      <c r="E2">
        <v>44</v>
      </c>
      <c r="F2">
        <f>ABS(D2-E2)</f>
        <v>44</v>
      </c>
      <c r="H2" t="s">
        <v>7</v>
      </c>
      <c r="I2">
        <v>0</v>
      </c>
    </row>
    <row r="3" spans="1:9" x14ac:dyDescent="0.3">
      <c r="A3" t="s">
        <v>56</v>
      </c>
      <c r="B3">
        <v>18.999999950329467</v>
      </c>
      <c r="C3">
        <v>38.438640953474817</v>
      </c>
      <c r="D3">
        <f>B3*$I$2+C3*$I$3</f>
        <v>0</v>
      </c>
      <c r="E3">
        <v>28</v>
      </c>
      <c r="F3">
        <f>ABS(D3-E3)</f>
        <v>28</v>
      </c>
      <c r="H3" t="s">
        <v>9</v>
      </c>
      <c r="I3">
        <v>0</v>
      </c>
    </row>
    <row r="4" spans="1:9" x14ac:dyDescent="0.3">
      <c r="A4" t="s">
        <v>57</v>
      </c>
      <c r="B4">
        <v>35.928571428571431</v>
      </c>
      <c r="C4">
        <v>31.458730048723126</v>
      </c>
      <c r="D4">
        <f>B4*$I$2+C4*$I$3</f>
        <v>0</v>
      </c>
      <c r="E4">
        <v>21</v>
      </c>
      <c r="F4">
        <f>ABS(D4-E4)</f>
        <v>21</v>
      </c>
    </row>
    <row r="5" spans="1:9" x14ac:dyDescent="0.3">
      <c r="A5" t="s">
        <v>58</v>
      </c>
      <c r="B5">
        <v>33.067624852000215</v>
      </c>
      <c r="C5">
        <v>36.765685623152123</v>
      </c>
      <c r="D5">
        <f>B5*$I$2+C5*$I$3</f>
        <v>0</v>
      </c>
      <c r="E5">
        <v>25</v>
      </c>
      <c r="F5">
        <f>ABS(D5-E5)</f>
        <v>25</v>
      </c>
      <c r="H5" t="s">
        <v>12</v>
      </c>
      <c r="I5">
        <f>(SUM(TableEVE[[#This Row],[PP]]-TableEVE[[#This Row],[AP]]))^2</f>
        <v>625</v>
      </c>
    </row>
    <row r="6" spans="1:9" x14ac:dyDescent="0.3">
      <c r="A6" t="s">
        <v>59</v>
      </c>
      <c r="B6">
        <v>28.910931478115277</v>
      </c>
      <c r="C6">
        <v>28.860967716292663</v>
      </c>
      <c r="D6">
        <f>B6*$I$2+C6*$I$3</f>
        <v>0</v>
      </c>
      <c r="E6">
        <v>31</v>
      </c>
      <c r="F6">
        <f>ABS(D6-E6)</f>
        <v>31</v>
      </c>
    </row>
    <row r="7" spans="1:9" x14ac:dyDescent="0.3">
      <c r="H7" t="s">
        <v>15</v>
      </c>
      <c r="I7">
        <f>AVERAGE(TableEVE[DIFF])/10</f>
        <v>2.98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37.233268461307588</v>
      </c>
      <c r="C2">
        <v>44.292858423108321</v>
      </c>
      <c r="D2">
        <f t="shared" ref="D2:D9" si="0">B2*$I$2+C2*$I$3</f>
        <v>0</v>
      </c>
      <c r="E2">
        <v>30</v>
      </c>
      <c r="F2">
        <f t="shared" ref="F2:F9" si="1">ABS(D2-E2)</f>
        <v>30</v>
      </c>
      <c r="H2" t="s">
        <v>7</v>
      </c>
      <c r="I2">
        <v>0</v>
      </c>
    </row>
    <row r="3" spans="1:9" x14ac:dyDescent="0.3">
      <c r="A3" t="s">
        <v>61</v>
      </c>
      <c r="B3">
        <v>57.000000005518956</v>
      </c>
      <c r="C3">
        <v>31.778878024825527</v>
      </c>
      <c r="D3">
        <f t="shared" si="0"/>
        <v>0</v>
      </c>
      <c r="E3">
        <v>28</v>
      </c>
      <c r="F3">
        <f t="shared" si="1"/>
        <v>28</v>
      </c>
      <c r="H3" t="s">
        <v>9</v>
      </c>
      <c r="I3">
        <v>0</v>
      </c>
    </row>
    <row r="4" spans="1:9" x14ac:dyDescent="0.3">
      <c r="A4" t="s">
        <v>62</v>
      </c>
      <c r="B4">
        <v>53.34693882888179</v>
      </c>
      <c r="C4">
        <v>32.595328910960497</v>
      </c>
      <c r="D4">
        <f t="shared" si="0"/>
        <v>0</v>
      </c>
      <c r="E4">
        <v>36</v>
      </c>
      <c r="F4">
        <f t="shared" si="1"/>
        <v>36</v>
      </c>
    </row>
    <row r="5" spans="1:9" x14ac:dyDescent="0.3">
      <c r="A5" t="s">
        <v>63</v>
      </c>
      <c r="B5">
        <v>34.709912870424333</v>
      </c>
      <c r="C5">
        <v>37.338684527334692</v>
      </c>
      <c r="D5">
        <f t="shared" si="0"/>
        <v>0</v>
      </c>
      <c r="E5">
        <v>57</v>
      </c>
      <c r="F5">
        <f t="shared" si="1"/>
        <v>57</v>
      </c>
      <c r="H5" t="s">
        <v>12</v>
      </c>
      <c r="I5">
        <f>(SUM(TableFUL[[#This Row],[PP]]-TableFUL[[#This Row],[AP]]))^2</f>
        <v>3249</v>
      </c>
    </row>
    <row r="6" spans="1:9" x14ac:dyDescent="0.3">
      <c r="A6" t="s">
        <v>64</v>
      </c>
      <c r="B6">
        <v>41</v>
      </c>
      <c r="C6">
        <v>30.805594124573254</v>
      </c>
      <c r="D6">
        <f t="shared" si="0"/>
        <v>0</v>
      </c>
      <c r="E6">
        <v>27</v>
      </c>
      <c r="F6">
        <f t="shared" si="1"/>
        <v>27</v>
      </c>
    </row>
    <row r="7" spans="1:9" x14ac:dyDescent="0.3">
      <c r="A7" t="s">
        <v>65</v>
      </c>
      <c r="B7">
        <v>26.003352228252702</v>
      </c>
      <c r="C7">
        <v>33.179747814750158</v>
      </c>
      <c r="D7">
        <f t="shared" si="0"/>
        <v>0</v>
      </c>
      <c r="E7">
        <v>27</v>
      </c>
      <c r="F7">
        <f t="shared" si="1"/>
        <v>27</v>
      </c>
      <c r="H7" t="s">
        <v>15</v>
      </c>
      <c r="I7">
        <f>AVERAGE(TableFUL[DIFF])/10</f>
        <v>3.2875000000000001</v>
      </c>
    </row>
    <row r="8" spans="1:9" x14ac:dyDescent="0.3">
      <c r="A8" t="s">
        <v>66</v>
      </c>
      <c r="B8">
        <v>35.745762681755892</v>
      </c>
      <c r="C8">
        <v>29.353448317038833</v>
      </c>
      <c r="D8">
        <f t="shared" si="0"/>
        <v>0</v>
      </c>
      <c r="E8">
        <v>29</v>
      </c>
      <c r="F8">
        <f t="shared" si="1"/>
        <v>29</v>
      </c>
    </row>
    <row r="9" spans="1:9" x14ac:dyDescent="0.3">
      <c r="A9" t="s">
        <v>67</v>
      </c>
      <c r="B9">
        <v>42.454545454545446</v>
      </c>
      <c r="C9">
        <v>27.266494586512458</v>
      </c>
      <c r="D9">
        <f t="shared" si="0"/>
        <v>0</v>
      </c>
      <c r="E9">
        <v>29</v>
      </c>
      <c r="F9">
        <f t="shared" si="1"/>
        <v>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42.643250856603302</v>
      </c>
      <c r="C2">
        <v>48.547321396108885</v>
      </c>
      <c r="D2">
        <f t="shared" ref="D2:D8" si="0">B2*$I$2+C2*$I$3</f>
        <v>0</v>
      </c>
      <c r="E2">
        <v>42</v>
      </c>
      <c r="F2">
        <f t="shared" ref="F2:F8" si="1">ABS(D2-E2)</f>
        <v>42</v>
      </c>
      <c r="H2" t="s">
        <v>7</v>
      </c>
      <c r="I2">
        <v>0</v>
      </c>
    </row>
    <row r="3" spans="1:9" x14ac:dyDescent="0.3">
      <c r="A3" t="s">
        <v>69</v>
      </c>
      <c r="B3">
        <v>69.5</v>
      </c>
      <c r="C3">
        <v>45.235477656863992</v>
      </c>
      <c r="D3">
        <f t="shared" si="0"/>
        <v>0</v>
      </c>
      <c r="E3">
        <v>37</v>
      </c>
      <c r="F3">
        <f t="shared" si="1"/>
        <v>37</v>
      </c>
      <c r="H3" t="s">
        <v>9</v>
      </c>
      <c r="I3">
        <v>0</v>
      </c>
    </row>
    <row r="4" spans="1:9" x14ac:dyDescent="0.3">
      <c r="A4" t="s">
        <v>70</v>
      </c>
      <c r="B4">
        <v>32.793679421968534</v>
      </c>
      <c r="C4">
        <v>46.166144048544112</v>
      </c>
      <c r="D4">
        <f t="shared" si="0"/>
        <v>0</v>
      </c>
      <c r="E4">
        <v>29</v>
      </c>
      <c r="F4">
        <f t="shared" si="1"/>
        <v>29</v>
      </c>
    </row>
    <row r="5" spans="1:9" x14ac:dyDescent="0.3">
      <c r="A5" t="s">
        <v>71</v>
      </c>
      <c r="B5">
        <v>37.809523806381762</v>
      </c>
      <c r="C5">
        <v>48.408498386898749</v>
      </c>
      <c r="D5">
        <f t="shared" si="0"/>
        <v>0</v>
      </c>
      <c r="E5">
        <v>33</v>
      </c>
      <c r="F5">
        <f t="shared" si="1"/>
        <v>33</v>
      </c>
      <c r="H5" t="s">
        <v>12</v>
      </c>
      <c r="I5">
        <f>(SUM(TableLIV[[#This Row],[PP]]-TableLIV[[#This Row],[AP]]))^2</f>
        <v>1089</v>
      </c>
    </row>
    <row r="6" spans="1:9" x14ac:dyDescent="0.3">
      <c r="A6" t="s">
        <v>72</v>
      </c>
      <c r="B6">
        <v>57.333333333333336</v>
      </c>
      <c r="C6">
        <v>46.234507370848995</v>
      </c>
      <c r="D6">
        <f t="shared" si="0"/>
        <v>0</v>
      </c>
      <c r="E6">
        <v>33</v>
      </c>
      <c r="F6">
        <f t="shared" si="1"/>
        <v>33</v>
      </c>
    </row>
    <row r="7" spans="1:9" x14ac:dyDescent="0.3">
      <c r="A7" t="s">
        <v>73</v>
      </c>
      <c r="B7">
        <v>67.218022917879182</v>
      </c>
      <c r="C7">
        <v>36.108088530289031</v>
      </c>
      <c r="D7">
        <f t="shared" si="0"/>
        <v>0</v>
      </c>
      <c r="E7">
        <v>89</v>
      </c>
      <c r="F7">
        <f t="shared" si="1"/>
        <v>89</v>
      </c>
      <c r="H7" t="s">
        <v>15</v>
      </c>
      <c r="I7">
        <f>AVERAGE(TableLIV[DIFF])/10</f>
        <v>4.3714285714285719</v>
      </c>
    </row>
    <row r="8" spans="1:9" x14ac:dyDescent="0.3">
      <c r="A8" t="s">
        <v>74</v>
      </c>
      <c r="B8">
        <v>59.161290273317647</v>
      </c>
      <c r="C8">
        <v>41.842546826183529</v>
      </c>
      <c r="D8">
        <f t="shared" si="0"/>
        <v>0</v>
      </c>
      <c r="E8">
        <v>43</v>
      </c>
      <c r="F8">
        <f t="shared" si="1"/>
        <v>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75</v>
      </c>
      <c r="B2">
        <v>33.609004839148561</v>
      </c>
      <c r="C2">
        <v>37.276889268399174</v>
      </c>
      <c r="D2">
        <f t="shared" ref="D2:D8" si="0">B2*$I$2+C2*$I$3</f>
        <v>0</v>
      </c>
      <c r="E2">
        <v>33</v>
      </c>
      <c r="F2">
        <f t="shared" ref="F2:F8" si="1">ABS(D2-E2)</f>
        <v>33</v>
      </c>
      <c r="H2" t="s">
        <v>7</v>
      </c>
      <c r="I2">
        <v>0</v>
      </c>
    </row>
    <row r="3" spans="1:9" x14ac:dyDescent="0.3">
      <c r="A3" t="s">
        <v>76</v>
      </c>
      <c r="B3">
        <v>29.618396196339258</v>
      </c>
      <c r="C3">
        <v>41.259928809583506</v>
      </c>
      <c r="D3">
        <f t="shared" si="0"/>
        <v>0</v>
      </c>
      <c r="E3">
        <v>47</v>
      </c>
      <c r="F3">
        <f t="shared" si="1"/>
        <v>47</v>
      </c>
      <c r="H3" t="s">
        <v>9</v>
      </c>
      <c r="I3">
        <v>0</v>
      </c>
    </row>
    <row r="4" spans="1:9" x14ac:dyDescent="0.3">
      <c r="A4" t="s">
        <v>77</v>
      </c>
      <c r="B4">
        <v>62.952380951899528</v>
      </c>
      <c r="C4">
        <v>40.727204672401477</v>
      </c>
      <c r="D4">
        <f t="shared" si="0"/>
        <v>0</v>
      </c>
      <c r="E4">
        <v>32</v>
      </c>
      <c r="F4">
        <f t="shared" si="1"/>
        <v>32</v>
      </c>
    </row>
    <row r="5" spans="1:9" x14ac:dyDescent="0.3">
      <c r="A5" t="s">
        <v>78</v>
      </c>
      <c r="B5">
        <v>54.112508252351581</v>
      </c>
      <c r="C5">
        <v>40.022495245193397</v>
      </c>
      <c r="D5">
        <f t="shared" si="0"/>
        <v>0</v>
      </c>
      <c r="E5">
        <v>35</v>
      </c>
      <c r="F5">
        <f t="shared" si="1"/>
        <v>35</v>
      </c>
      <c r="H5" t="s">
        <v>12</v>
      </c>
      <c r="I5">
        <f>(SUM(TableMCI[[#This Row],[PP]]-TableMCI[[#This Row],[AP]]))^2</f>
        <v>1225</v>
      </c>
    </row>
    <row r="6" spans="1:9" x14ac:dyDescent="0.3">
      <c r="A6" t="s">
        <v>79</v>
      </c>
      <c r="B6">
        <v>49.712685747674385</v>
      </c>
      <c r="C6">
        <v>50.630142824548493</v>
      </c>
      <c r="D6">
        <f t="shared" si="0"/>
        <v>0</v>
      </c>
      <c r="E6">
        <v>43</v>
      </c>
      <c r="F6">
        <f t="shared" si="1"/>
        <v>43</v>
      </c>
    </row>
    <row r="7" spans="1:9" x14ac:dyDescent="0.3">
      <c r="A7" t="s">
        <v>80</v>
      </c>
      <c r="B7">
        <v>118.78571427568072</v>
      </c>
      <c r="C7">
        <v>89.764458352330323</v>
      </c>
      <c r="D7">
        <f t="shared" si="0"/>
        <v>0</v>
      </c>
      <c r="E7">
        <v>52</v>
      </c>
      <c r="F7">
        <f t="shared" si="1"/>
        <v>52</v>
      </c>
      <c r="H7" t="s">
        <v>15</v>
      </c>
      <c r="I7">
        <f>AVERAGE(TableMCI[DIFF])/10</f>
        <v>4</v>
      </c>
    </row>
    <row r="8" spans="1:9" x14ac:dyDescent="0.3">
      <c r="A8" t="s">
        <v>81</v>
      </c>
      <c r="B8">
        <v>77.833333325901492</v>
      </c>
      <c r="C8">
        <v>34.640847759248217</v>
      </c>
      <c r="D8">
        <f t="shared" si="0"/>
        <v>0</v>
      </c>
      <c r="E8">
        <v>38</v>
      </c>
      <c r="F8">
        <f t="shared" si="1"/>
        <v>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82</v>
      </c>
      <c r="B2">
        <v>44.969798831957277</v>
      </c>
      <c r="C2">
        <v>47.179503561653604</v>
      </c>
      <c r="D2">
        <f t="shared" ref="D2:D7" si="0">B2*$I$2+C2*$I$3</f>
        <v>0</v>
      </c>
      <c r="E2">
        <v>46</v>
      </c>
      <c r="F2">
        <f t="shared" ref="F2:F7" si="1">ABS(D2-E2)</f>
        <v>46</v>
      </c>
      <c r="H2" t="s">
        <v>7</v>
      </c>
      <c r="I2">
        <v>0</v>
      </c>
    </row>
    <row r="3" spans="1:9" x14ac:dyDescent="0.3">
      <c r="A3" t="s">
        <v>83</v>
      </c>
      <c r="B3">
        <v>31.497713178031461</v>
      </c>
      <c r="C3">
        <v>40.963324209373354</v>
      </c>
      <c r="D3">
        <f t="shared" si="0"/>
        <v>0</v>
      </c>
      <c r="E3">
        <v>24</v>
      </c>
      <c r="F3">
        <f t="shared" si="1"/>
        <v>24</v>
      </c>
      <c r="H3" t="s">
        <v>9</v>
      </c>
      <c r="I3">
        <v>0</v>
      </c>
    </row>
    <row r="4" spans="1:9" x14ac:dyDescent="0.3">
      <c r="A4" t="s">
        <v>84</v>
      </c>
      <c r="B4">
        <v>35.263232691354176</v>
      </c>
      <c r="C4">
        <v>57.323136143882387</v>
      </c>
      <c r="D4">
        <f t="shared" si="0"/>
        <v>0</v>
      </c>
      <c r="E4">
        <v>27</v>
      </c>
      <c r="F4">
        <f t="shared" si="1"/>
        <v>27</v>
      </c>
    </row>
    <row r="5" spans="1:9" x14ac:dyDescent="0.3">
      <c r="A5" t="s">
        <v>85</v>
      </c>
      <c r="B5">
        <v>38.709677809035718</v>
      </c>
      <c r="C5">
        <v>42.822999448534631</v>
      </c>
      <c r="D5">
        <f t="shared" si="0"/>
        <v>0</v>
      </c>
      <c r="E5">
        <v>24</v>
      </c>
      <c r="F5">
        <f t="shared" si="1"/>
        <v>24</v>
      </c>
      <c r="H5" t="s">
        <v>12</v>
      </c>
      <c r="I5">
        <f>(SUM(TableMUN[[#This Row],[PP]]-TableMUN[[#This Row],[AP]]))^2</f>
        <v>576</v>
      </c>
    </row>
    <row r="6" spans="1:9" x14ac:dyDescent="0.3">
      <c r="A6" t="s">
        <v>86</v>
      </c>
      <c r="B6">
        <v>56.317460342035531</v>
      </c>
      <c r="C6">
        <v>30.916056860863417</v>
      </c>
      <c r="D6">
        <f t="shared" si="0"/>
        <v>0</v>
      </c>
      <c r="E6">
        <v>29</v>
      </c>
      <c r="F6">
        <f t="shared" si="1"/>
        <v>29</v>
      </c>
    </row>
    <row r="7" spans="1:9" x14ac:dyDescent="0.3">
      <c r="A7" t="s">
        <v>87</v>
      </c>
      <c r="B7">
        <v>61.65279466795927</v>
      </c>
      <c r="C7">
        <v>59.132446014735223</v>
      </c>
      <c r="D7">
        <f t="shared" si="0"/>
        <v>0</v>
      </c>
      <c r="E7">
        <v>27</v>
      </c>
      <c r="F7">
        <f t="shared" si="1"/>
        <v>27</v>
      </c>
      <c r="H7" t="s">
        <v>15</v>
      </c>
      <c r="I7">
        <f>AVERAGE(TableMUN[DIFF])/10</f>
        <v>2.95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88</v>
      </c>
      <c r="B2">
        <v>83.999999997732928</v>
      </c>
      <c r="C2">
        <v>51.112079297913766</v>
      </c>
      <c r="D2">
        <f t="shared" ref="D2:D11" si="0">B2*$I$2+C2*$I$3</f>
        <v>64.068566748644045</v>
      </c>
      <c r="E2">
        <v>33</v>
      </c>
      <c r="F2">
        <f t="shared" ref="F2:F11" si="1">ABS(D2-E2)</f>
        <v>31.068566748644045</v>
      </c>
      <c r="H2" t="s">
        <v>7</v>
      </c>
      <c r="I2">
        <v>0.52000157525851554</v>
      </c>
    </row>
    <row r="3" spans="1:9" x14ac:dyDescent="0.3">
      <c r="A3" t="s">
        <v>89</v>
      </c>
      <c r="B3">
        <v>35.485322038550827</v>
      </c>
      <c r="C3">
        <v>38.049002133676019</v>
      </c>
      <c r="D3">
        <f t="shared" si="0"/>
        <v>33.630040777290191</v>
      </c>
      <c r="E3">
        <v>35</v>
      </c>
      <c r="F3">
        <f t="shared" si="1"/>
        <v>1.3699592227098094</v>
      </c>
      <c r="H3" t="s">
        <v>9</v>
      </c>
      <c r="I3">
        <v>0.39889659564172375</v>
      </c>
    </row>
    <row r="4" spans="1:9" x14ac:dyDescent="0.3">
      <c r="A4" t="s">
        <v>90</v>
      </c>
      <c r="B4">
        <v>29.091876650928388</v>
      </c>
      <c r="C4">
        <v>32.878491699650567</v>
      </c>
      <c r="D4">
        <f t="shared" si="0"/>
        <v>28.242940094534472</v>
      </c>
      <c r="E4">
        <v>44</v>
      </c>
      <c r="F4">
        <f t="shared" si="1"/>
        <v>15.757059905465528</v>
      </c>
    </row>
    <row r="5" spans="1:9" x14ac:dyDescent="0.3">
      <c r="A5" t="s">
        <v>91</v>
      </c>
      <c r="B5">
        <v>24.802893067513057</v>
      </c>
      <c r="C5">
        <v>24.641529980500696</v>
      </c>
      <c r="D5">
        <f t="shared" si="0"/>
        <v>22.726965886700505</v>
      </c>
      <c r="E5">
        <v>47</v>
      </c>
      <c r="F5">
        <f t="shared" si="1"/>
        <v>24.273034113299495</v>
      </c>
      <c r="H5" t="s">
        <v>12</v>
      </c>
      <c r="I5" cm="1">
        <f t="array" ref="I5">(SUM(TableNEW[PP]-TableNEW[AP]))^2</f>
        <v>1.5272347125078789E-27</v>
      </c>
    </row>
    <row r="6" spans="1:9" x14ac:dyDescent="0.3">
      <c r="A6" t="s">
        <v>92</v>
      </c>
      <c r="B6">
        <v>91.869282774288507</v>
      </c>
      <c r="C6">
        <v>60.81004840694056</v>
      </c>
      <c r="D6">
        <f t="shared" si="0"/>
        <v>72.029093050837048</v>
      </c>
      <c r="E6">
        <v>53</v>
      </c>
      <c r="F6">
        <f t="shared" si="1"/>
        <v>19.029093050837048</v>
      </c>
    </row>
    <row r="7" spans="1:9" x14ac:dyDescent="0.3">
      <c r="A7" t="s">
        <v>93</v>
      </c>
      <c r="B7">
        <v>22.404141784950131</v>
      </c>
      <c r="C7">
        <v>27.21900034089203</v>
      </c>
      <c r="D7">
        <f t="shared" si="0"/>
        <v>22.507755593241946</v>
      </c>
      <c r="E7">
        <v>36</v>
      </c>
      <c r="F7">
        <f t="shared" si="1"/>
        <v>13.492244406758054</v>
      </c>
      <c r="H7" t="s">
        <v>15</v>
      </c>
      <c r="I7">
        <f>AVERAGE(TableNEW[DIFF])/10</f>
        <v>1.9056760693680712</v>
      </c>
    </row>
    <row r="8" spans="1:9" x14ac:dyDescent="0.3">
      <c r="A8" t="s">
        <v>94</v>
      </c>
      <c r="B8">
        <v>93.666666666666643</v>
      </c>
      <c r="C8">
        <v>39.311812729565396</v>
      </c>
      <c r="D8">
        <f t="shared" si="0"/>
        <v>64.388162482209552</v>
      </c>
      <c r="E8">
        <v>37</v>
      </c>
      <c r="F8">
        <f t="shared" si="1"/>
        <v>27.388162482209552</v>
      </c>
    </row>
    <row r="9" spans="1:9" x14ac:dyDescent="0.3">
      <c r="A9" t="s">
        <v>95</v>
      </c>
      <c r="B9">
        <v>32.195259339189441</v>
      </c>
      <c r="C9">
        <v>39.112805998361509</v>
      </c>
      <c r="D9">
        <f t="shared" si="0"/>
        <v>32.343550730976538</v>
      </c>
      <c r="E9">
        <v>32</v>
      </c>
      <c r="F9">
        <f t="shared" si="1"/>
        <v>0.34355073097653843</v>
      </c>
    </row>
    <row r="10" spans="1:9" x14ac:dyDescent="0.3">
      <c r="A10" t="s">
        <v>96</v>
      </c>
      <c r="B10">
        <v>19.481110927428585</v>
      </c>
      <c r="C10">
        <v>46.323498399512921</v>
      </c>
      <c r="D10">
        <f t="shared" si="0"/>
        <v>28.60849417982929</v>
      </c>
      <c r="E10">
        <v>69</v>
      </c>
      <c r="F10">
        <f t="shared" si="1"/>
        <v>40.391505820170707</v>
      </c>
    </row>
    <row r="11" spans="1:9" x14ac:dyDescent="0.3">
      <c r="A11" t="s">
        <v>97</v>
      </c>
      <c r="B11">
        <v>96.060606060606077</v>
      </c>
      <c r="C11">
        <v>46.384863110118133</v>
      </c>
      <c r="D11">
        <f t="shared" si="0"/>
        <v>68.454430455736372</v>
      </c>
      <c r="E11">
        <v>51</v>
      </c>
      <c r="F11">
        <f t="shared" si="1"/>
        <v>17.454430455736372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21.926226628887946</v>
      </c>
      <c r="C2">
        <v>26.48205818282706</v>
      </c>
      <c r="D2">
        <f>B2*$I$2+C2*$I$3</f>
        <v>0</v>
      </c>
      <c r="E2">
        <v>23</v>
      </c>
      <c r="F2">
        <f>ABS(D2-E2)</f>
        <v>23</v>
      </c>
      <c r="H2" t="s">
        <v>7</v>
      </c>
      <c r="I2">
        <v>0</v>
      </c>
    </row>
    <row r="3" spans="1:9" x14ac:dyDescent="0.3">
      <c r="A3" t="s">
        <v>99</v>
      </c>
      <c r="B3">
        <v>47.142857142857139</v>
      </c>
      <c r="C3">
        <v>31.762595586938644</v>
      </c>
      <c r="D3">
        <f>B3*$I$2+C3*$I$3</f>
        <v>0</v>
      </c>
      <c r="E3">
        <v>32</v>
      </c>
      <c r="F3">
        <f>ABS(D3-E3)</f>
        <v>32</v>
      </c>
      <c r="H3" t="s">
        <v>9</v>
      </c>
      <c r="I3">
        <v>0</v>
      </c>
    </row>
    <row r="4" spans="1:9" x14ac:dyDescent="0.3">
      <c r="A4" t="s">
        <v>100</v>
      </c>
      <c r="B4">
        <v>46.727272726882084</v>
      </c>
      <c r="C4">
        <v>39.614591758917861</v>
      </c>
      <c r="D4">
        <f>B4*$I$2+C4*$I$3</f>
        <v>0</v>
      </c>
      <c r="E4">
        <v>33</v>
      </c>
      <c r="F4">
        <f>ABS(D4-E4)</f>
        <v>33</v>
      </c>
    </row>
    <row r="5" spans="1:9" x14ac:dyDescent="0.3">
      <c r="A5" t="s">
        <v>101</v>
      </c>
      <c r="B5">
        <v>32.048192607944834</v>
      </c>
      <c r="C5">
        <v>29.519458749452443</v>
      </c>
      <c r="D5">
        <f>B5*$I$2+C5*$I$3</f>
        <v>0</v>
      </c>
      <c r="E5">
        <v>30</v>
      </c>
      <c r="F5">
        <f>ABS(D5-E5)</f>
        <v>30</v>
      </c>
      <c r="H5" t="s">
        <v>12</v>
      </c>
      <c r="I5">
        <f>(SUM(TableNFO[[#This Row],[PP]]-TableNFO[[#This Row],[AP]]))^2</f>
        <v>900</v>
      </c>
    </row>
    <row r="7" spans="1:9" x14ac:dyDescent="0.3">
      <c r="H7" t="s">
        <v>15</v>
      </c>
      <c r="I7">
        <f>AVERAGE(TableNFO[DIFF])/10</f>
        <v>2.95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102</v>
      </c>
      <c r="B2">
        <v>37.029243315919373</v>
      </c>
      <c r="C2">
        <v>34.227662121754996</v>
      </c>
      <c r="D2">
        <f t="shared" ref="D2:D7" si="0">B2*$I$2+C2*$I$3</f>
        <v>0</v>
      </c>
      <c r="E2">
        <v>35</v>
      </c>
      <c r="F2">
        <f t="shared" ref="F2:F7" si="1">ABS(D2-E2)</f>
        <v>35</v>
      </c>
      <c r="H2" t="s">
        <v>7</v>
      </c>
      <c r="I2">
        <v>0</v>
      </c>
    </row>
    <row r="3" spans="1:9" x14ac:dyDescent="0.3">
      <c r="A3" t="s">
        <v>103</v>
      </c>
      <c r="B3">
        <v>48.000000002308781</v>
      </c>
      <c r="C3">
        <v>47.502553949711036</v>
      </c>
      <c r="D3">
        <f t="shared" si="0"/>
        <v>0</v>
      </c>
      <c r="E3">
        <v>60</v>
      </c>
      <c r="F3">
        <f t="shared" si="1"/>
        <v>60</v>
      </c>
      <c r="H3" t="s">
        <v>9</v>
      </c>
      <c r="I3">
        <v>0</v>
      </c>
    </row>
    <row r="4" spans="1:9" x14ac:dyDescent="0.3">
      <c r="A4" t="s">
        <v>104</v>
      </c>
      <c r="B4">
        <v>35.6</v>
      </c>
      <c r="C4">
        <v>51.789420245719619</v>
      </c>
      <c r="D4">
        <f t="shared" si="0"/>
        <v>0</v>
      </c>
      <c r="E4">
        <v>48</v>
      </c>
      <c r="F4">
        <f t="shared" si="1"/>
        <v>48</v>
      </c>
    </row>
    <row r="5" spans="1:9" x14ac:dyDescent="0.3">
      <c r="A5" t="s">
        <v>105</v>
      </c>
      <c r="B5">
        <v>33.531510720145398</v>
      </c>
      <c r="C5">
        <v>29.992769552955316</v>
      </c>
      <c r="D5">
        <f t="shared" si="0"/>
        <v>0</v>
      </c>
      <c r="E5">
        <v>30</v>
      </c>
      <c r="F5">
        <f t="shared" si="1"/>
        <v>30</v>
      </c>
      <c r="H5" t="s">
        <v>12</v>
      </c>
      <c r="I5">
        <f>(SUM(TableTOT[[#This Row],[PP]]-TableTOT[[#This Row],[AP]]))^2</f>
        <v>900</v>
      </c>
    </row>
    <row r="6" spans="1:9" x14ac:dyDescent="0.3">
      <c r="A6" t="s">
        <v>106</v>
      </c>
      <c r="B6">
        <v>27.5</v>
      </c>
      <c r="C6">
        <v>28.074691777555053</v>
      </c>
      <c r="D6">
        <f t="shared" si="0"/>
        <v>0</v>
      </c>
      <c r="E6">
        <v>44</v>
      </c>
      <c r="F6">
        <f t="shared" si="1"/>
        <v>44</v>
      </c>
    </row>
    <row r="7" spans="1:9" x14ac:dyDescent="0.3">
      <c r="A7" t="s">
        <v>107</v>
      </c>
      <c r="B7">
        <v>81.516128928714821</v>
      </c>
      <c r="C7">
        <v>49.917878202468984</v>
      </c>
      <c r="D7">
        <f t="shared" si="0"/>
        <v>0</v>
      </c>
      <c r="E7">
        <v>53</v>
      </c>
      <c r="F7">
        <f t="shared" si="1"/>
        <v>53</v>
      </c>
      <c r="H7" t="s">
        <v>15</v>
      </c>
      <c r="I7">
        <f>AVERAGE(TableTOT[DIFF])/10</f>
        <v>4.5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22.043953290869204</v>
      </c>
      <c r="C2">
        <v>36.836841452591401</v>
      </c>
      <c r="D2">
        <f t="shared" ref="D2:D8" si="0">B2*$I$2+C2*$I$3</f>
        <v>0</v>
      </c>
      <c r="E2">
        <v>31</v>
      </c>
      <c r="F2">
        <f t="shared" ref="F2:F8" si="1">ABS(D2-E2)</f>
        <v>31</v>
      </c>
      <c r="H2" t="s">
        <v>7</v>
      </c>
      <c r="I2">
        <v>0</v>
      </c>
    </row>
    <row r="3" spans="1:9" x14ac:dyDescent="0.3">
      <c r="A3" t="s">
        <v>109</v>
      </c>
      <c r="B3">
        <v>35.099447370750561</v>
      </c>
      <c r="C3">
        <v>27.036628374243655</v>
      </c>
      <c r="D3">
        <f t="shared" si="0"/>
        <v>0</v>
      </c>
      <c r="E3">
        <v>33</v>
      </c>
      <c r="F3">
        <f t="shared" si="1"/>
        <v>33</v>
      </c>
      <c r="H3" t="s">
        <v>9</v>
      </c>
      <c r="I3">
        <v>0</v>
      </c>
    </row>
    <row r="4" spans="1:9" x14ac:dyDescent="0.3">
      <c r="A4" t="s">
        <v>110</v>
      </c>
      <c r="B4">
        <v>42.810810859174239</v>
      </c>
      <c r="C4">
        <v>31.470725642277696</v>
      </c>
      <c r="D4">
        <f t="shared" si="0"/>
        <v>0</v>
      </c>
      <c r="E4">
        <v>36</v>
      </c>
      <c r="F4">
        <f t="shared" si="1"/>
        <v>36</v>
      </c>
    </row>
    <row r="5" spans="1:9" x14ac:dyDescent="0.3">
      <c r="A5" t="s">
        <v>111</v>
      </c>
      <c r="B5">
        <v>43.787828591686306</v>
      </c>
      <c r="C5">
        <v>42.759835685247729</v>
      </c>
      <c r="D5">
        <f t="shared" si="0"/>
        <v>0</v>
      </c>
      <c r="E5">
        <v>55</v>
      </c>
      <c r="F5">
        <f t="shared" si="1"/>
        <v>55</v>
      </c>
      <c r="H5" t="s">
        <v>12</v>
      </c>
      <c r="I5">
        <f>(SUM(TableWHU[[#This Row],[PP]]-TableWHU[[#This Row],[AP]]))^2</f>
        <v>3025</v>
      </c>
    </row>
    <row r="6" spans="1:9" x14ac:dyDescent="0.3">
      <c r="A6" t="s">
        <v>112</v>
      </c>
      <c r="B6">
        <v>18.997770181220712</v>
      </c>
      <c r="C6">
        <v>33.245032706138169</v>
      </c>
      <c r="D6">
        <f t="shared" si="0"/>
        <v>0</v>
      </c>
      <c r="E6">
        <v>21</v>
      </c>
      <c r="F6">
        <f t="shared" si="1"/>
        <v>21</v>
      </c>
    </row>
    <row r="7" spans="1:9" x14ac:dyDescent="0.3">
      <c r="A7" t="s">
        <v>113</v>
      </c>
      <c r="B7">
        <v>30.665064112325197</v>
      </c>
      <c r="C7">
        <v>46.72424726684531</v>
      </c>
      <c r="D7">
        <f t="shared" si="0"/>
        <v>0</v>
      </c>
      <c r="E7">
        <v>24</v>
      </c>
      <c r="F7">
        <f t="shared" si="1"/>
        <v>24</v>
      </c>
      <c r="H7" t="s">
        <v>15</v>
      </c>
      <c r="I7">
        <f>AVERAGE(TableWHU[DIFF])/10</f>
        <v>3.4428571428571431</v>
      </c>
    </row>
    <row r="8" spans="1:9" x14ac:dyDescent="0.3">
      <c r="A8" t="s">
        <v>114</v>
      </c>
      <c r="B8">
        <v>37.264148509737979</v>
      </c>
      <c r="C8">
        <v>48.447648380223619</v>
      </c>
      <c r="D8">
        <f t="shared" si="0"/>
        <v>0</v>
      </c>
      <c r="E8">
        <v>41</v>
      </c>
      <c r="F8">
        <f t="shared" si="1"/>
        <v>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115</v>
      </c>
      <c r="B2">
        <v>20.188052574218034</v>
      </c>
      <c r="C2">
        <v>30.50048525060264</v>
      </c>
      <c r="D2">
        <f>B2*$I$2+C2*$I$3</f>
        <v>0</v>
      </c>
      <c r="E2">
        <v>38</v>
      </c>
      <c r="F2">
        <f>ABS(D2-E2)</f>
        <v>38</v>
      </c>
      <c r="H2" t="s">
        <v>7</v>
      </c>
      <c r="I2">
        <v>0</v>
      </c>
    </row>
    <row r="3" spans="1:9" x14ac:dyDescent="0.3">
      <c r="A3" t="s">
        <v>116</v>
      </c>
      <c r="B3">
        <v>32.93152068646846</v>
      </c>
      <c r="C3">
        <v>30.328206689044755</v>
      </c>
      <c r="D3">
        <f>B3*$I$2+C3*$I$3</f>
        <v>0</v>
      </c>
      <c r="E3">
        <v>25</v>
      </c>
      <c r="F3">
        <f>ABS(D3-E3)</f>
        <v>25</v>
      </c>
      <c r="H3" t="s">
        <v>9</v>
      </c>
      <c r="I3">
        <v>0</v>
      </c>
    </row>
    <row r="4" spans="1:9" x14ac:dyDescent="0.3">
      <c r="A4" t="s">
        <v>28</v>
      </c>
      <c r="B4">
        <v>28.406060700748892</v>
      </c>
      <c r="C4">
        <v>25.006107564421853</v>
      </c>
      <c r="D4">
        <f>B4*$I$2+C4*$I$3</f>
        <v>0</v>
      </c>
      <c r="E4">
        <v>41</v>
      </c>
      <c r="F4">
        <f>ABS(D4-E4)</f>
        <v>41</v>
      </c>
    </row>
    <row r="5" spans="1:9" x14ac:dyDescent="0.3">
      <c r="A5" t="s">
        <v>117</v>
      </c>
      <c r="B5">
        <v>40.771204974932665</v>
      </c>
      <c r="C5">
        <v>42.820821973880065</v>
      </c>
      <c r="D5">
        <f>B5*$I$2+C5*$I$3</f>
        <v>0</v>
      </c>
      <c r="E5">
        <v>37</v>
      </c>
      <c r="F5">
        <f>ABS(D5-E5)</f>
        <v>37</v>
      </c>
      <c r="H5" t="s">
        <v>12</v>
      </c>
      <c r="I5">
        <f>(SUM(TableWOL[[#This Row],[PP]]-TableWOL[[#This Row],[AP]]))^2</f>
        <v>1369</v>
      </c>
    </row>
    <row r="7" spans="1:9" x14ac:dyDescent="0.3">
      <c r="H7" t="s">
        <v>15</v>
      </c>
      <c r="I7">
        <f>AVERAGE(TableWOL[DIFF])/10</f>
        <v>3.5249999999999999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2023-10-26T23:42:53Z</dcterms:created>
  <dcterms:modified xsi:type="dcterms:W3CDTF">2023-10-26T23:43:44Z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cc227487-8e9d-4ae3-a368-71e474a65490</vt:lpwstr>
  </property>
</Properties>
</file>