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38F9C65C-C747-456A-9111-AF9DCA8EB1C8}" xr6:coauthVersionLast="47" xr6:coauthVersionMax="47" xr10:uidLastSave="{00000000-0000-0000-0000-000000000000}"/>
  <bookViews>
    <workbookView xWindow="-108" yWindow="-108" windowWidth="23256" windowHeight="12576" firstSheet="3" activeTab="16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IV" sheetId="10" r:id="rId10"/>
    <sheet name="MCI" sheetId="11" r:id="rId11"/>
    <sheet name="MUN" sheetId="12" r:id="rId12"/>
    <sheet name="NEW" sheetId="13" r:id="rId13"/>
    <sheet name="NFO" sheetId="14" r:id="rId14"/>
    <sheet name="TOT" sheetId="15" r:id="rId15"/>
    <sheet name="WHU" sheetId="16" r:id="rId16"/>
    <sheet name="WOL" sheetId="17" r:id="rId17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LIV!$I$2:$I$3</definedName>
    <definedName name="solver_adj" localSheetId="10" hidden="1">MCI!$I$2:$I$3</definedName>
    <definedName name="solver_adj" localSheetId="11" hidden="1">MUN!$I$2:$I$3</definedName>
    <definedName name="solver_adj" localSheetId="12" hidden="1">NEW!$I$2:$I$3</definedName>
    <definedName name="solver_adj" localSheetId="13" hidden="1">NFO!$I$2:$I$3</definedName>
    <definedName name="solver_adj" localSheetId="14" hidden="1">TOT!$I$2:$I$3</definedName>
    <definedName name="solver_adj" localSheetId="15" hidden="1">WHU!$I$2:$I$3</definedName>
    <definedName name="solver_adj" localSheetId="16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LIV!$I$5</definedName>
    <definedName name="solver_opt" localSheetId="10" hidden="1">MCI!$I$5</definedName>
    <definedName name="solver_opt" localSheetId="11" hidden="1">MUN!$I$5</definedName>
    <definedName name="solver_opt" localSheetId="12" hidden="1">NEW!$I$5</definedName>
    <definedName name="solver_opt" localSheetId="13" hidden="1">NFO!$I$5</definedName>
    <definedName name="solver_opt" localSheetId="14" hidden="1">TOT!$I$5</definedName>
    <definedName name="solver_opt" localSheetId="15" hidden="1">WHU!$I$5</definedName>
    <definedName name="solver_opt" localSheetId="16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7" l="1"/>
  <c r="I5" i="17" s="1"/>
  <c r="D9" i="16"/>
  <c r="F9" i="16" s="1"/>
  <c r="D8" i="16"/>
  <c r="F8" i="16" s="1"/>
  <c r="D7" i="16"/>
  <c r="F7" i="16" s="1"/>
  <c r="D6" i="16"/>
  <c r="F6" i="16" s="1"/>
  <c r="D5" i="16"/>
  <c r="F5" i="16" s="1"/>
  <c r="D4" i="16"/>
  <c r="F4" i="16" s="1"/>
  <c r="D3" i="16"/>
  <c r="F3" i="16" s="1"/>
  <c r="D2" i="16"/>
  <c r="F2" i="16" s="1"/>
  <c r="D6" i="15"/>
  <c r="F6" i="15" s="1"/>
  <c r="D5" i="15"/>
  <c r="F5" i="15" s="1"/>
  <c r="D4" i="15"/>
  <c r="F4" i="15" s="1"/>
  <c r="D3" i="15"/>
  <c r="F3" i="15" s="1"/>
  <c r="D2" i="15"/>
  <c r="F2" i="15" s="1"/>
  <c r="D6" i="14"/>
  <c r="F6" i="14" s="1"/>
  <c r="D5" i="14"/>
  <c r="F5" i="14" s="1"/>
  <c r="D4" i="14"/>
  <c r="F4" i="14" s="1"/>
  <c r="D3" i="14"/>
  <c r="F3" i="14" s="1"/>
  <c r="D2" i="14"/>
  <c r="F2" i="14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8" i="12"/>
  <c r="F8" i="12" s="1"/>
  <c r="D7" i="12"/>
  <c r="F7" i="12" s="1"/>
  <c r="D6" i="12"/>
  <c r="F6" i="12" s="1"/>
  <c r="D5" i="12"/>
  <c r="F5" i="12" s="1"/>
  <c r="D4" i="12"/>
  <c r="F4" i="12" s="1"/>
  <c r="D3" i="12"/>
  <c r="F3" i="12" s="1"/>
  <c r="D2" i="12"/>
  <c r="F2" i="12" s="1"/>
  <c r="D8" i="11"/>
  <c r="F8" i="11" s="1"/>
  <c r="D7" i="11"/>
  <c r="F7" i="11" s="1"/>
  <c r="D6" i="11"/>
  <c r="F6" i="11" s="1"/>
  <c r="D5" i="11"/>
  <c r="F5" i="11" s="1"/>
  <c r="D4" i="11"/>
  <c r="D3" i="11"/>
  <c r="F3" i="11" s="1"/>
  <c r="D2" i="11"/>
  <c r="F2" i="11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F2" i="10" s="1"/>
  <c r="D8" i="9"/>
  <c r="F8" i="9" s="1"/>
  <c r="D7" i="9"/>
  <c r="F7" i="9" s="1"/>
  <c r="D6" i="9"/>
  <c r="F6" i="9" s="1"/>
  <c r="D5" i="9"/>
  <c r="F5" i="9" s="1"/>
  <c r="D4" i="9"/>
  <c r="D3" i="9"/>
  <c r="F3" i="9" s="1"/>
  <c r="D2" i="9"/>
  <c r="F2" i="9" s="1"/>
  <c r="I5" i="8"/>
  <c r="D2" i="8"/>
  <c r="F2" i="8" s="1"/>
  <c r="I7" i="8" s="1"/>
  <c r="D12" i="7"/>
  <c r="F12" i="7" s="1"/>
  <c r="D11" i="7"/>
  <c r="F11" i="7" s="1"/>
  <c r="D10" i="7"/>
  <c r="F10" i="7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F2" i="7" s="1"/>
  <c r="D5" i="6"/>
  <c r="F5" i="6" s="1"/>
  <c r="D4" i="6"/>
  <c r="F4" i="6" s="1"/>
  <c r="D3" i="6"/>
  <c r="F3" i="6" s="1"/>
  <c r="D2" i="6"/>
  <c r="F2" i="6" s="1"/>
  <c r="D7" i="5"/>
  <c r="F7" i="5" s="1"/>
  <c r="D6" i="5"/>
  <c r="F6" i="5" s="1"/>
  <c r="D5" i="5"/>
  <c r="F5" i="5" s="1"/>
  <c r="D4" i="5"/>
  <c r="F4" i="5" s="1"/>
  <c r="D3" i="5"/>
  <c r="F3" i="5" s="1"/>
  <c r="D2" i="5"/>
  <c r="D10" i="4"/>
  <c r="F10" i="4" s="1"/>
  <c r="D9" i="4"/>
  <c r="F9" i="4" s="1"/>
  <c r="D8" i="4"/>
  <c r="F8" i="4" s="1"/>
  <c r="D7" i="4"/>
  <c r="F7" i="4" s="1"/>
  <c r="D6" i="4"/>
  <c r="F6" i="4" s="1"/>
  <c r="D5" i="4"/>
  <c r="D4" i="4"/>
  <c r="F4" i="4" s="1"/>
  <c r="D3" i="4"/>
  <c r="F3" i="4" s="1"/>
  <c r="D2" i="4"/>
  <c r="F2" i="4" s="1"/>
  <c r="D4" i="3"/>
  <c r="F4" i="3" s="1"/>
  <c r="D3" i="3"/>
  <c r="F3" i="3" s="1"/>
  <c r="D2" i="3"/>
  <c r="F2" i="3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F2" i="17" l="1"/>
  <c r="I7" i="17" s="1"/>
  <c r="I7" i="16"/>
  <c r="I5" i="16" a="1"/>
  <c r="I5" i="16" s="1"/>
  <c r="I5" i="15" a="1"/>
  <c r="I5" i="15" s="1"/>
  <c r="I7" i="15"/>
  <c r="I5" i="14" a="1"/>
  <c r="I5" i="14" s="1"/>
  <c r="I7" i="14"/>
  <c r="I7" i="13"/>
  <c r="I5" i="13" a="1"/>
  <c r="I5" i="13" s="1"/>
  <c r="I5" i="12" a="1"/>
  <c r="I5" i="12" s="1"/>
  <c r="I5" i="11" a="1"/>
  <c r="I5" i="11" s="1"/>
  <c r="F4" i="11"/>
  <c r="I7" i="11" s="1"/>
  <c r="I5" i="10" a="1"/>
  <c r="I5" i="10" s="1"/>
  <c r="I7" i="10"/>
  <c r="I5" i="9" a="1"/>
  <c r="I5" i="9" s="1"/>
  <c r="F4" i="9"/>
  <c r="I7" i="9" s="1"/>
  <c r="I5" i="7" a="1"/>
  <c r="I5" i="7" s="1"/>
  <c r="I5" i="6" a="1"/>
  <c r="I5" i="6" s="1"/>
  <c r="I7" i="6"/>
  <c r="I5" i="5" a="1"/>
  <c r="I5" i="5" s="1"/>
  <c r="F2" i="5"/>
  <c r="I7" i="5" s="1"/>
  <c r="I5" i="4" a="1"/>
  <c r="I5" i="4" s="1"/>
  <c r="I5" i="3" a="1"/>
  <c r="I5" i="3" s="1"/>
  <c r="I7" i="3"/>
  <c r="I5" i="2" a="1"/>
  <c r="I5" i="2" s="1"/>
  <c r="I5" i="1" a="1"/>
  <c r="I5" i="1" s="1"/>
  <c r="I7" i="2"/>
  <c r="I7" i="12"/>
  <c r="I7" i="7"/>
  <c r="I7" i="1"/>
  <c r="F5" i="4"/>
  <c r="I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<sst xmlns="http://schemas.openxmlformats.org/spreadsheetml/2006/main" count="278" uniqueCount="117">
  <si>
    <t>Name</t>
  </si>
  <si>
    <t>ARIMAPP</t>
  </si>
  <si>
    <t>LSTMPP</t>
  </si>
  <si>
    <t>PP</t>
  </si>
  <si>
    <t>AP</t>
  </si>
  <si>
    <t>DIFF</t>
  </si>
  <si>
    <t>Havertz</t>
  </si>
  <si>
    <t>ARIMA</t>
  </si>
  <si>
    <t>Martinelli</t>
  </si>
  <si>
    <t>LSTM</t>
  </si>
  <si>
    <t>Nketiah</t>
  </si>
  <si>
    <t>Ødegaard</t>
  </si>
  <si>
    <t>OFF</t>
  </si>
  <si>
    <t>Ramsdale</t>
  </si>
  <si>
    <t>Saka</t>
  </si>
  <si>
    <t>AVG</t>
  </si>
  <si>
    <t>Saliba</t>
  </si>
  <si>
    <t>White</t>
  </si>
  <si>
    <t>Rice</t>
  </si>
  <si>
    <t>Bailey</t>
  </si>
  <si>
    <t>Cash</t>
  </si>
  <si>
    <t>Digne</t>
  </si>
  <si>
    <t>Douglas Luiz</t>
  </si>
  <si>
    <t>Konsa</t>
  </si>
  <si>
    <t>Martinez</t>
  </si>
  <si>
    <t>McGinn</t>
  </si>
  <si>
    <t>Watkins</t>
  </si>
  <si>
    <t>Billing</t>
  </si>
  <si>
    <t>Christie</t>
  </si>
  <si>
    <t>Solanke</t>
  </si>
  <si>
    <t>Ajer</t>
  </si>
  <si>
    <t>Henry</t>
  </si>
  <si>
    <t>Hickey</t>
  </si>
  <si>
    <t>Janelt</t>
  </si>
  <si>
    <t>Jensen</t>
  </si>
  <si>
    <t>Mbeumo</t>
  </si>
  <si>
    <t>Nørgaard</t>
  </si>
  <si>
    <t>Pinnock</t>
  </si>
  <si>
    <t>Wissa</t>
  </si>
  <si>
    <t>Dunk</t>
  </si>
  <si>
    <t>Enciso</t>
  </si>
  <si>
    <t>Ferguson</t>
  </si>
  <si>
    <t>João Pedro</t>
  </si>
  <si>
    <t>March</t>
  </si>
  <si>
    <t>Mitoma</t>
  </si>
  <si>
    <t>Sanchez</t>
  </si>
  <si>
    <t>Chilwell</t>
  </si>
  <si>
    <t>Gallagher</t>
  </si>
  <si>
    <t>Sterling</t>
  </si>
  <si>
    <t>Andersen</t>
  </si>
  <si>
    <t>J.Ayew</t>
  </si>
  <si>
    <t>C.Doucouré</t>
  </si>
  <si>
    <t>Edouard</t>
  </si>
  <si>
    <t>Eze</t>
  </si>
  <si>
    <t>Guéhi</t>
  </si>
  <si>
    <t>Johnstone</t>
  </si>
  <si>
    <t>Lerma</t>
  </si>
  <si>
    <t>Mitchell</t>
  </si>
  <si>
    <t>Schlupp</t>
  </si>
  <si>
    <t>Ward</t>
  </si>
  <si>
    <t>A.Doucoure</t>
  </si>
  <si>
    <t>Andreas</t>
  </si>
  <si>
    <t>Diop</t>
  </si>
  <si>
    <t>Leno</t>
  </si>
  <si>
    <t>Reed</t>
  </si>
  <si>
    <t>Robinson</t>
  </si>
  <si>
    <t>Tete</t>
  </si>
  <si>
    <t>Wilson</t>
  </si>
  <si>
    <t>A.Becker</t>
  </si>
  <si>
    <t>Diogo J.</t>
  </si>
  <si>
    <t>Gakpo</t>
  </si>
  <si>
    <t>Konaté</t>
  </si>
  <si>
    <t>Luis Díaz</t>
  </si>
  <si>
    <t>Robertson</t>
  </si>
  <si>
    <t>Salah</t>
  </si>
  <si>
    <t>Virgil</t>
  </si>
  <si>
    <t>Akanji</t>
  </si>
  <si>
    <t>J.Alvarez</t>
  </si>
  <si>
    <t>Ederson M.</t>
  </si>
  <si>
    <t>Foden</t>
  </si>
  <si>
    <t>Haaland</t>
  </si>
  <si>
    <t>Rodrigo</t>
  </si>
  <si>
    <t>Walker</t>
  </si>
  <si>
    <t>Mount</t>
  </si>
  <si>
    <t>B.Fernandes</t>
  </si>
  <si>
    <t>Garnacho</t>
  </si>
  <si>
    <t>R.Varane</t>
  </si>
  <si>
    <t>Rashford</t>
  </si>
  <si>
    <t>Shaw</t>
  </si>
  <si>
    <t>Wan-Bissaka</t>
  </si>
  <si>
    <t>Almirón</t>
  </si>
  <si>
    <t>Botman</t>
  </si>
  <si>
    <t>Burn</t>
  </si>
  <si>
    <t>Isak</t>
  </si>
  <si>
    <t>Pope</t>
  </si>
  <si>
    <t>Schär</t>
  </si>
  <si>
    <t>Trippier</t>
  </si>
  <si>
    <t>Barnes</t>
  </si>
  <si>
    <t>Aurier</t>
  </si>
  <si>
    <t>Awoniyi</t>
  </si>
  <si>
    <t>Gibbs-White</t>
  </si>
  <si>
    <t>Johnson</t>
  </si>
  <si>
    <t>Wood</t>
  </si>
  <si>
    <t>E.Royal</t>
  </si>
  <si>
    <t>Maddison</t>
  </si>
  <si>
    <t>Richarlison</t>
  </si>
  <si>
    <t>Romero</t>
  </si>
  <si>
    <t>Son</t>
  </si>
  <si>
    <t>N.Aguerd</t>
  </si>
  <si>
    <t>Antonio</t>
  </si>
  <si>
    <t>Areola</t>
  </si>
  <si>
    <t>Benrahma</t>
  </si>
  <si>
    <t>Bowen</t>
  </si>
  <si>
    <t>Emerson</t>
  </si>
  <si>
    <t>L.Paquetá</t>
  </si>
  <si>
    <t>Zouma</t>
  </si>
  <si>
    <t>Hee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</si>
</sst>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0">
  <autoFilter ref="A1:F10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9">
  <autoFilter ref="A1:F9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4">
  <autoFilter ref="A1:F4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0">
  <autoFilter ref="A1:F10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7">
  <autoFilter ref="A1:F7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5">
  <autoFilter ref="A1:F5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2">
  <autoFilter ref="A1:F12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2">
  <autoFilter ref="A1:F2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8">
  <autoFilter ref="A1:F8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IV" displayName="TableLIV" ref="A1:F9">
  <autoFilter ref="A1:F9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MCI" displayName="TableMCI" ref="A1:F8">
  <autoFilter ref="A1:F8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MUN" displayName="TableMUN" ref="A1:F8">
  <autoFilter ref="A1:F8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NEW" displayName="TableNEW" ref="A1:F10">
  <autoFilter ref="A1:F10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NFO" displayName="TableNFO" ref="A1:F6">
  <autoFilter ref="A1:F6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TOT" displayName="TableTOT" ref="A1:F6">
  <autoFilter ref="A1:F6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WHU" displayName="TableWHU" ref="A1:F9">
  <autoFilter ref="A1:F9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WOL" displayName="TableWOL" ref="A1:F2">
  <autoFilter ref="A1:F2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52.108108104106833</v>
      </c>
      <c r="C2">
        <v>30.022582302954035</v>
      </c>
      <c r="D2">
        <f t="shared" ref="D2:D10" si="0">B2*$I$2+C2*$I$3</f>
        <v>34.94208055098359</v>
      </c>
      <c r="E2">
        <v>31</v>
      </c>
      <c r="F2">
        <f t="shared" ref="F2:F10" si="1">ABS(D2-E2)</f>
        <v>3.9420805509835901</v>
      </c>
      <c r="H2" t="s">
        <v>7</v>
      </c>
      <c r="I2">
        <v>0.41578852670177635</v>
      </c>
    </row>
    <row r="3" spans="1:9" x14ac:dyDescent="0.3">
      <c r="A3" t="s">
        <v>8</v>
      </c>
      <c r="B3">
        <v>49.777046937565459</v>
      </c>
      <c r="C3">
        <v>57.848730595368977</v>
      </c>
      <c r="D3">
        <f t="shared" si="0"/>
        <v>46.277705669503142</v>
      </c>
      <c r="E3">
        <v>49</v>
      </c>
      <c r="F3">
        <f t="shared" si="1"/>
        <v>2.7222943304968581</v>
      </c>
      <c r="H3" t="s">
        <v>9</v>
      </c>
      <c r="I3">
        <v>0.44220470175391358</v>
      </c>
    </row>
    <row r="4" spans="1:9" x14ac:dyDescent="0.3">
      <c r="A4" t="s">
        <v>10</v>
      </c>
      <c r="B4">
        <v>19.853230331147017</v>
      </c>
      <c r="C4">
        <v>45.536272104121409</v>
      </c>
      <c r="D4">
        <f t="shared" si="0"/>
        <v>28.391099014446699</v>
      </c>
      <c r="E4">
        <v>27</v>
      </c>
      <c r="F4">
        <f t="shared" si="1"/>
        <v>1.3910990144466986</v>
      </c>
    </row>
    <row r="5" spans="1:9" x14ac:dyDescent="0.3">
      <c r="A5" t="s">
        <v>11</v>
      </c>
      <c r="B5">
        <v>42.083142519579802</v>
      </c>
      <c r="C5">
        <v>50.712013517977198</v>
      </c>
      <c r="D5">
        <f t="shared" si="0"/>
        <v>39.922778640254506</v>
      </c>
      <c r="E5">
        <v>67</v>
      </c>
      <c r="F5">
        <f t="shared" si="1"/>
        <v>27.077221359745494</v>
      </c>
      <c r="H5" t="s">
        <v>12</v>
      </c>
      <c r="I5" cm="1">
        <f t="array" ref="I5">(SUM(TableARS[PP]-TableARS[AP]))^2</f>
        <v>1.2621774483536189E-27</v>
      </c>
    </row>
    <row r="6" spans="1:9" x14ac:dyDescent="0.3">
      <c r="A6" t="s">
        <v>13</v>
      </c>
      <c r="B6">
        <v>50.173913004890629</v>
      </c>
      <c r="C6">
        <v>37.610958247452622</v>
      </c>
      <c r="D6">
        <f t="shared" si="0"/>
        <v>37.493479941660254</v>
      </c>
      <c r="E6">
        <v>31</v>
      </c>
      <c r="F6">
        <f t="shared" si="1"/>
        <v>6.4934799416602544</v>
      </c>
    </row>
    <row r="7" spans="1:9" x14ac:dyDescent="0.3">
      <c r="A7" t="s">
        <v>14</v>
      </c>
      <c r="B7">
        <v>46.86438003353225</v>
      </c>
      <c r="C7">
        <v>61.664278107521461</v>
      </c>
      <c r="D7">
        <f t="shared" si="0"/>
        <v>46.753905238341432</v>
      </c>
      <c r="E7">
        <v>37</v>
      </c>
      <c r="F7">
        <f t="shared" si="1"/>
        <v>9.7539052383414315</v>
      </c>
      <c r="H7" t="s">
        <v>15</v>
      </c>
      <c r="I7">
        <f>AVERAGE(TableARS[DIFF])/10</f>
        <v>0.7865207066778741</v>
      </c>
    </row>
    <row r="8" spans="1:9" x14ac:dyDescent="0.3">
      <c r="A8" t="s">
        <v>16</v>
      </c>
      <c r="B8">
        <v>49.527579642494302</v>
      </c>
      <c r="C8">
        <v>52.251146053828336</v>
      </c>
      <c r="D8">
        <f t="shared" si="0"/>
        <v>43.69870182769094</v>
      </c>
      <c r="E8">
        <v>38</v>
      </c>
      <c r="F8">
        <f t="shared" si="1"/>
        <v>5.6987018276909396</v>
      </c>
    </row>
    <row r="9" spans="1:9" x14ac:dyDescent="0.3">
      <c r="A9" t="s">
        <v>17</v>
      </c>
      <c r="B9">
        <v>53.756025093724084</v>
      </c>
      <c r="C9">
        <v>46.953428287772432</v>
      </c>
      <c r="D9">
        <f t="shared" si="0"/>
        <v>43.114165227381434</v>
      </c>
      <c r="E9">
        <v>35</v>
      </c>
      <c r="F9">
        <f t="shared" si="1"/>
        <v>8.1141652273814344</v>
      </c>
    </row>
    <row r="10" spans="1:9" x14ac:dyDescent="0.3">
      <c r="A10" t="s">
        <v>18</v>
      </c>
      <c r="B10">
        <v>22.951437735818484</v>
      </c>
      <c r="C10">
        <v>29.088653641301264</v>
      </c>
      <c r="D10">
        <f t="shared" si="0"/>
        <v>22.406083889738039</v>
      </c>
      <c r="E10">
        <v>28</v>
      </c>
      <c r="F10">
        <f t="shared" si="1"/>
        <v>5.5939161102619614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19</v>
      </c>
      <c r="B2">
        <v>32.749999999999993</v>
      </c>
      <c r="C2">
        <v>34.999700333218563</v>
      </c>
      <c r="D2">
        <f t="shared" ref="D2:D9" si="0">B2*$I$2+C2*$I$3</f>
        <v>34.553259624838425</v>
      </c>
      <c r="E2">
        <v>37</v>
      </c>
      <c r="F2">
        <f t="shared" ref="F2:F9" si="1">ABS(D2-E2)</f>
        <v>2.4467403751615748</v>
      </c>
      <c r="H2" t="s">
        <v>7</v>
      </c>
      <c r="I2">
        <v>0.5047437189590972</v>
      </c>
    </row>
    <row r="3" spans="1:9" x14ac:dyDescent="0.3">
      <c r="A3" t="s">
        <v>20</v>
      </c>
      <c r="B3">
        <v>13.987136394693993</v>
      </c>
      <c r="C3">
        <v>38.329133763048716</v>
      </c>
      <c r="D3">
        <f t="shared" si="0"/>
        <v>26.797295469000797</v>
      </c>
      <c r="E3">
        <v>37</v>
      </c>
      <c r="F3">
        <f t="shared" si="1"/>
        <v>10.202704530999203</v>
      </c>
      <c r="H3" t="s">
        <v>9</v>
      </c>
      <c r="I3">
        <v>0.51494448973388152</v>
      </c>
    </row>
    <row r="4" spans="1:9" x14ac:dyDescent="0.3">
      <c r="A4" t="s">
        <v>21</v>
      </c>
      <c r="B4">
        <v>30.874601993203207</v>
      </c>
      <c r="C4">
        <v>27.832724912884672</v>
      </c>
      <c r="D4">
        <f t="shared" si="0"/>
        <v>29.91606975960023</v>
      </c>
      <c r="E4">
        <v>22</v>
      </c>
      <c r="F4">
        <f t="shared" si="1"/>
        <v>7.9160697596002301</v>
      </c>
    </row>
    <row r="5" spans="1:9" x14ac:dyDescent="0.3">
      <c r="A5" t="s">
        <v>22</v>
      </c>
      <c r="B5">
        <v>26.487056737512233</v>
      </c>
      <c r="C5">
        <v>35.163232080680842</v>
      </c>
      <c r="D5">
        <f t="shared" si="0"/>
        <v>31.476288123152784</v>
      </c>
      <c r="E5">
        <v>40</v>
      </c>
      <c r="F5">
        <f t="shared" si="1"/>
        <v>8.5237118768472158</v>
      </c>
      <c r="H5" t="s">
        <v>12</v>
      </c>
      <c r="I5" cm="1">
        <f t="array" ref="I5">(SUM(TableAVL[PP]-TableAVL[AP]))^2</f>
        <v>4.543838814073028E-28</v>
      </c>
    </row>
    <row r="6" spans="1:9" x14ac:dyDescent="0.3">
      <c r="A6" t="s">
        <v>23</v>
      </c>
      <c r="B6">
        <v>27.013359325486238</v>
      </c>
      <c r="C6">
        <v>30.878074524562113</v>
      </c>
      <c r="D6">
        <f t="shared" si="0"/>
        <v>29.535317777539738</v>
      </c>
      <c r="E6">
        <v>35</v>
      </c>
      <c r="F6">
        <f t="shared" si="1"/>
        <v>5.4646822224602616</v>
      </c>
    </row>
    <row r="7" spans="1:9" x14ac:dyDescent="0.3">
      <c r="A7" t="s">
        <v>24</v>
      </c>
      <c r="B7">
        <v>85.031611727399508</v>
      </c>
      <c r="C7">
        <v>45.897809341774412</v>
      </c>
      <c r="D7">
        <f t="shared" si="0"/>
        <v>66.553995943776613</v>
      </c>
      <c r="E7">
        <v>40</v>
      </c>
      <c r="F7">
        <f t="shared" si="1"/>
        <v>26.553995943776613</v>
      </c>
      <c r="H7" t="s">
        <v>15</v>
      </c>
      <c r="I7">
        <f>AVERAGE(TableAVL[DIFF])/10</f>
        <v>0.86175164258442083</v>
      </c>
    </row>
    <row r="8" spans="1:9" x14ac:dyDescent="0.3">
      <c r="A8" t="s">
        <v>25</v>
      </c>
      <c r="B8">
        <v>29.681898857060091</v>
      </c>
      <c r="C8">
        <v>31.659011718983344</v>
      </c>
      <c r="D8">
        <f t="shared" si="0"/>
        <v>31.284385649991144</v>
      </c>
      <c r="E8">
        <v>33</v>
      </c>
      <c r="F8">
        <f t="shared" si="1"/>
        <v>1.7156143500088561</v>
      </c>
    </row>
    <row r="9" spans="1:9" x14ac:dyDescent="0.3">
      <c r="A9" t="s">
        <v>26</v>
      </c>
      <c r="B9">
        <v>42.49721463307511</v>
      </c>
      <c r="C9">
        <v>49.390149811958615</v>
      </c>
      <c r="D9">
        <f t="shared" si="0"/>
        <v>46.883387652100289</v>
      </c>
      <c r="E9">
        <v>53</v>
      </c>
      <c r="F9">
        <f t="shared" si="1"/>
        <v>6.1166123478997108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27</v>
      </c>
      <c r="B2">
        <v>62.153846153846146</v>
      </c>
      <c r="C2">
        <v>40.715792753863028</v>
      </c>
      <c r="D2">
        <f>B2*$I$2+C2*$I$3</f>
        <v>47.245554439132611</v>
      </c>
      <c r="E2">
        <v>32</v>
      </c>
      <c r="F2">
        <f>ABS(D2-E2)</f>
        <v>15.245554439132611</v>
      </c>
      <c r="H2" t="s">
        <v>7</v>
      </c>
      <c r="I2">
        <v>0.47398548410934338</v>
      </c>
    </row>
    <row r="3" spans="1:9" x14ac:dyDescent="0.3">
      <c r="A3" t="s">
        <v>28</v>
      </c>
      <c r="B3">
        <v>20.563212862297572</v>
      </c>
      <c r="C3">
        <v>28.200929201270352</v>
      </c>
      <c r="D3">
        <f>B3*$I$2+C3*$I$3</f>
        <v>22.06543654043876</v>
      </c>
      <c r="E3">
        <v>22</v>
      </c>
      <c r="F3">
        <f>ABS(D3-E3)</f>
        <v>6.543654043876046E-2</v>
      </c>
      <c r="H3" t="s">
        <v>9</v>
      </c>
      <c r="I3">
        <v>0.43682149794214048</v>
      </c>
    </row>
    <row r="4" spans="1:9" x14ac:dyDescent="0.3">
      <c r="A4" t="s">
        <v>29</v>
      </c>
      <c r="B4">
        <v>35.928979321552873</v>
      </c>
      <c r="C4">
        <v>40.426568853273039</v>
      </c>
      <c r="D4">
        <f>B4*$I$2+C4*$I$3</f>
        <v>34.689009020428635</v>
      </c>
      <c r="E4">
        <v>50</v>
      </c>
      <c r="F4">
        <f>ABS(D4-E4)</f>
        <v>15.310990979571365</v>
      </c>
    </row>
    <row r="5" spans="1:9" x14ac:dyDescent="0.3">
      <c r="H5" t="s">
        <v>12</v>
      </c>
      <c r="I5" cm="1">
        <f t="array" ref="I5">(SUM(TableBOU[PP]-TableBOU[AP]))^2</f>
        <v>5.0487097934144756E-29</v>
      </c>
    </row>
    <row r="7" spans="1:9" x14ac:dyDescent="0.3">
      <c r="H7" t="s">
        <v>15</v>
      </c>
      <c r="I7">
        <f>AVERAGE(TableBOU[DIFF])/10</f>
        <v>1.0207327319714246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30</v>
      </c>
      <c r="B2">
        <v>52.75</v>
      </c>
      <c r="C2">
        <v>44.359483450467792</v>
      </c>
      <c r="D2">
        <f t="shared" ref="D2:D10" si="0">B2*$I$2+C2*$I$3</f>
        <v>40.799346537876545</v>
      </c>
      <c r="E2">
        <v>33</v>
      </c>
      <c r="F2">
        <f t="shared" ref="F2:F10" si="1">ABS(D2-E2)</f>
        <v>7.799346537876545</v>
      </c>
      <c r="H2" t="s">
        <v>7</v>
      </c>
      <c r="I2">
        <v>0.4171989825642739</v>
      </c>
    </row>
    <row r="3" spans="1:9" x14ac:dyDescent="0.3">
      <c r="A3" t="s">
        <v>31</v>
      </c>
      <c r="B3">
        <v>43.942574481179385</v>
      </c>
      <c r="C3">
        <v>33.486540690372252</v>
      </c>
      <c r="D3">
        <f t="shared" si="0"/>
        <v>32.51877022362536</v>
      </c>
      <c r="E3">
        <v>31</v>
      </c>
      <c r="F3">
        <f t="shared" si="1"/>
        <v>1.51877022362536</v>
      </c>
      <c r="H3" t="s">
        <v>9</v>
      </c>
      <c r="I3">
        <v>0.42363207922821111</v>
      </c>
    </row>
    <row r="4" spans="1:9" x14ac:dyDescent="0.3">
      <c r="A4" t="s">
        <v>32</v>
      </c>
      <c r="B4">
        <v>36.999999970197678</v>
      </c>
      <c r="C4">
        <v>52.498766113664011</v>
      </c>
      <c r="D4">
        <f t="shared" si="0"/>
        <v>37.676523788091671</v>
      </c>
      <c r="E4">
        <v>20</v>
      </c>
      <c r="F4">
        <f t="shared" si="1"/>
        <v>17.676523788091671</v>
      </c>
    </row>
    <row r="5" spans="1:9" x14ac:dyDescent="0.3">
      <c r="A5" t="s">
        <v>33</v>
      </c>
      <c r="B5">
        <v>32.102294238280841</v>
      </c>
      <c r="C5">
        <v>28.845650020948991</v>
      </c>
      <c r="D5">
        <f t="shared" si="0"/>
        <v>25.61298718925363</v>
      </c>
      <c r="E5">
        <v>20</v>
      </c>
      <c r="F5">
        <f t="shared" si="1"/>
        <v>5.61298718925363</v>
      </c>
      <c r="H5" t="s">
        <v>12</v>
      </c>
      <c r="I5" cm="1">
        <f t="array" ref="I5">(SUM(TableBRE[PP]-TableBRE[AP]))^2</f>
        <v>6.1846694969327326E-28</v>
      </c>
    </row>
    <row r="6" spans="1:9" x14ac:dyDescent="0.3">
      <c r="A6" t="s">
        <v>34</v>
      </c>
      <c r="B6">
        <v>27.986619746660708</v>
      </c>
      <c r="C6">
        <v>38.057653492490012</v>
      </c>
      <c r="D6">
        <f t="shared" si="0"/>
        <v>27.798432163290396</v>
      </c>
      <c r="E6">
        <v>26</v>
      </c>
      <c r="F6">
        <f t="shared" si="1"/>
        <v>1.7984321632903963</v>
      </c>
    </row>
    <row r="7" spans="1:9" x14ac:dyDescent="0.3">
      <c r="A7" t="s">
        <v>35</v>
      </c>
      <c r="B7">
        <v>33.682116687504887</v>
      </c>
      <c r="C7">
        <v>36.277674302732237</v>
      </c>
      <c r="D7">
        <f t="shared" si="0"/>
        <v>29.420531407068491</v>
      </c>
      <c r="E7">
        <v>53</v>
      </c>
      <c r="F7">
        <f t="shared" si="1"/>
        <v>23.579468592931509</v>
      </c>
      <c r="H7" t="s">
        <v>15</v>
      </c>
      <c r="I7">
        <f>AVERAGE(TableBRE[DIFF])/10</f>
        <v>0.78635945104860339</v>
      </c>
    </row>
    <row r="8" spans="1:9" x14ac:dyDescent="0.3">
      <c r="A8" t="s">
        <v>36</v>
      </c>
      <c r="B8">
        <v>32.814719198534021</v>
      </c>
      <c r="C8">
        <v>33.731741841464391</v>
      </c>
      <c r="D8">
        <f t="shared" si="0"/>
        <v>27.980115395049545</v>
      </c>
      <c r="E8">
        <v>27</v>
      </c>
      <c r="F8">
        <f t="shared" si="1"/>
        <v>0.9801153950495447</v>
      </c>
    </row>
    <row r="9" spans="1:9" x14ac:dyDescent="0.3">
      <c r="A9" t="s">
        <v>37</v>
      </c>
      <c r="B9">
        <v>30.323523562749962</v>
      </c>
      <c r="C9">
        <v>33.996160896542179</v>
      </c>
      <c r="D9">
        <f t="shared" si="0"/>
        <v>27.052807504522036</v>
      </c>
      <c r="E9">
        <v>31</v>
      </c>
      <c r="F9">
        <f t="shared" si="1"/>
        <v>3.9471924954779638</v>
      </c>
    </row>
    <row r="10" spans="1:9" x14ac:dyDescent="0.3">
      <c r="A10" t="s">
        <v>38</v>
      </c>
      <c r="B10">
        <v>37.474647938969106</v>
      </c>
      <c r="C10">
        <v>31.881676250146008</v>
      </c>
      <c r="D10">
        <f t="shared" si="0"/>
        <v>29.140485791222304</v>
      </c>
      <c r="E10">
        <v>37</v>
      </c>
      <c r="F10">
        <f t="shared" si="1"/>
        <v>7.8595142087776964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39</v>
      </c>
      <c r="B2">
        <v>34.499999923249717</v>
      </c>
      <c r="C2">
        <v>35.185389371250331</v>
      </c>
      <c r="D2">
        <f t="shared" ref="D2:D7" si="0">B2*$I$2+C2*$I$3</f>
        <v>27.427065403792163</v>
      </c>
      <c r="E2">
        <v>32</v>
      </c>
      <c r="F2">
        <f t="shared" ref="F2:F7" si="1">ABS(D2-E2)</f>
        <v>4.5729345962078369</v>
      </c>
      <c r="H2" t="s">
        <v>7</v>
      </c>
      <c r="I2">
        <v>0.32602705899081502</v>
      </c>
    </row>
    <row r="3" spans="1:9" x14ac:dyDescent="0.3">
      <c r="A3" t="s">
        <v>40</v>
      </c>
      <c r="B3">
        <v>13.2674331807555</v>
      </c>
      <c r="C3">
        <v>44.075790803166335</v>
      </c>
      <c r="D3">
        <f t="shared" si="0"/>
        <v>24.592705536175608</v>
      </c>
      <c r="E3">
        <v>32</v>
      </c>
      <c r="F3">
        <f t="shared" si="1"/>
        <v>7.4072944638243925</v>
      </c>
      <c r="H3" t="s">
        <v>9</v>
      </c>
      <c r="I3">
        <v>0.45982529063189898</v>
      </c>
    </row>
    <row r="4" spans="1:9" x14ac:dyDescent="0.3">
      <c r="A4" t="s">
        <v>41</v>
      </c>
      <c r="B4">
        <v>39.947475364614228</v>
      </c>
      <c r="C4">
        <v>73.172405877937223</v>
      </c>
      <c r="D4">
        <f t="shared" si="0"/>
        <v>46.670480706290967</v>
      </c>
      <c r="E4">
        <v>22</v>
      </c>
      <c r="F4">
        <f t="shared" si="1"/>
        <v>24.670480706290967</v>
      </c>
    </row>
    <row r="5" spans="1:9" x14ac:dyDescent="0.3">
      <c r="A5" t="s">
        <v>42</v>
      </c>
      <c r="B5">
        <v>21.949317755653162</v>
      </c>
      <c r="C5">
        <v>39.060292005380184</v>
      </c>
      <c r="D5">
        <f t="shared" si="0"/>
        <v>25.116981638271263</v>
      </c>
      <c r="E5">
        <v>26</v>
      </c>
      <c r="F5">
        <f t="shared" si="1"/>
        <v>0.88301836172873749</v>
      </c>
      <c r="H5" t="s">
        <v>12</v>
      </c>
      <c r="I5" cm="1">
        <f t="array" ref="I5">(SUM(TableBHA[PP]-TableBHA[AP]))^2</f>
        <v>0</v>
      </c>
    </row>
    <row r="6" spans="1:9" x14ac:dyDescent="0.3">
      <c r="A6" t="s">
        <v>43</v>
      </c>
      <c r="B6">
        <v>75.727272706330567</v>
      </c>
      <c r="C6">
        <v>58.027460443041306</v>
      </c>
      <c r="D6">
        <f t="shared" si="0"/>
        <v>51.371633868692861</v>
      </c>
      <c r="E6">
        <v>58</v>
      </c>
      <c r="F6">
        <f t="shared" si="1"/>
        <v>6.6283661313071391</v>
      </c>
    </row>
    <row r="7" spans="1:9" x14ac:dyDescent="0.3">
      <c r="A7" t="s">
        <v>44</v>
      </c>
      <c r="B7">
        <v>36.246945931532871</v>
      </c>
      <c r="C7">
        <v>63.07536418334697</v>
      </c>
      <c r="D7">
        <f t="shared" si="0"/>
        <v>40.821132846777139</v>
      </c>
      <c r="E7">
        <v>46</v>
      </c>
      <c r="F7">
        <f t="shared" si="1"/>
        <v>5.1788671532228605</v>
      </c>
      <c r="H7" t="s">
        <v>15</v>
      </c>
      <c r="I7">
        <f>AVERAGE(TableBHA[DIFF])/10</f>
        <v>0.82234935687636557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45</v>
      </c>
      <c r="B2">
        <v>52.799327148098143</v>
      </c>
      <c r="C2">
        <v>34.887802287512571</v>
      </c>
      <c r="D2">
        <f>B2*$I$2+C2*$I$3</f>
        <v>30.699941653663672</v>
      </c>
      <c r="E2">
        <v>29</v>
      </c>
      <c r="F2">
        <f>ABS(D2-E2)</f>
        <v>1.6999416536636716</v>
      </c>
      <c r="H2" t="s">
        <v>7</v>
      </c>
      <c r="I2">
        <v>0.40553307402455602</v>
      </c>
    </row>
    <row r="3" spans="1:9" x14ac:dyDescent="0.3">
      <c r="A3" t="s">
        <v>46</v>
      </c>
      <c r="B3">
        <v>45.571428571428584</v>
      </c>
      <c r="C3">
        <v>38.231536932012013</v>
      </c>
      <c r="D3">
        <f>B3*$I$2+C3*$I$3</f>
        <v>28.658981523240193</v>
      </c>
      <c r="E3">
        <v>31</v>
      </c>
      <c r="F3">
        <f>ABS(D3-E3)</f>
        <v>2.3410184767598068</v>
      </c>
      <c r="H3" t="s">
        <v>9</v>
      </c>
      <c r="I3">
        <v>0.26622680707496799</v>
      </c>
    </row>
    <row r="4" spans="1:9" x14ac:dyDescent="0.3">
      <c r="A4" t="s">
        <v>47</v>
      </c>
      <c r="B4">
        <v>28.064919348418332</v>
      </c>
      <c r="C4">
        <v>23.371199317335325</v>
      </c>
      <c r="D4">
        <f>B4*$I$2+C4*$I$3</f>
        <v>17.603292787382181</v>
      </c>
      <c r="E4">
        <v>27</v>
      </c>
      <c r="F4">
        <f>ABS(D4-E4)</f>
        <v>9.3967072126178195</v>
      </c>
    </row>
    <row r="5" spans="1:9" x14ac:dyDescent="0.3">
      <c r="A5" t="s">
        <v>48</v>
      </c>
      <c r="B5">
        <v>80.351351351351354</v>
      </c>
      <c r="C5">
        <v>39.262212678792579</v>
      </c>
      <c r="D5">
        <f>B5*$I$2+C5*$I$3</f>
        <v>43.037784035713955</v>
      </c>
      <c r="E5">
        <v>33</v>
      </c>
      <c r="F5">
        <f>ABS(D5-E5)</f>
        <v>10.037784035713955</v>
      </c>
      <c r="H5" t="s">
        <v>12</v>
      </c>
      <c r="I5" cm="1">
        <f t="array" ref="I5">(SUM(TableCHE[PP]-TableCHE[AP]))^2</f>
        <v>0</v>
      </c>
    </row>
    <row r="7" spans="1:9" x14ac:dyDescent="0.3">
      <c r="H7" t="s">
        <v>15</v>
      </c>
      <c r="I7">
        <f>AVERAGE(TableCHE[DIFF])/10</f>
        <v>0.58688628446888136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49</v>
      </c>
      <c r="B2">
        <v>30.500000000000004</v>
      </c>
      <c r="C2">
        <v>29.23245327116884</v>
      </c>
      <c r="D2">
        <f t="shared" ref="D2:D12" si="0">B2*$I$2+C2*$I$3</f>
        <v>39.323055431396057</v>
      </c>
      <c r="E2">
        <v>33</v>
      </c>
      <c r="F2">
        <f t="shared" ref="F2:F12" si="1">ABS(D2-E2)</f>
        <v>6.3230554313960567</v>
      </c>
      <c r="H2" t="s">
        <v>7</v>
      </c>
      <c r="I2">
        <v>0.67518035543833299</v>
      </c>
    </row>
    <row r="3" spans="1:9" x14ac:dyDescent="0.3">
      <c r="A3" t="s">
        <v>50</v>
      </c>
      <c r="B3">
        <v>26.195741831347569</v>
      </c>
      <c r="C3">
        <v>22.129984300428369</v>
      </c>
      <c r="D3">
        <f t="shared" si="0"/>
        <v>31.866153337763805</v>
      </c>
      <c r="E3">
        <v>46</v>
      </c>
      <c r="F3">
        <f t="shared" si="1"/>
        <v>14.133846662236195</v>
      </c>
      <c r="H3" t="s">
        <v>9</v>
      </c>
      <c r="I3">
        <v>0.64072811189609724</v>
      </c>
    </row>
    <row r="4" spans="1:9" x14ac:dyDescent="0.3">
      <c r="A4" t="s">
        <v>51</v>
      </c>
      <c r="B4">
        <v>20.209629153193259</v>
      </c>
      <c r="C4">
        <v>30.818264535898503</v>
      </c>
      <c r="D4">
        <f t="shared" si="0"/>
        <v>33.391273042930621</v>
      </c>
      <c r="E4">
        <v>26</v>
      </c>
      <c r="F4">
        <f t="shared" si="1"/>
        <v>7.3912730429306208</v>
      </c>
    </row>
    <row r="5" spans="1:9" x14ac:dyDescent="0.3">
      <c r="A5" t="s">
        <v>52</v>
      </c>
      <c r="B5">
        <v>28.064386043713139</v>
      </c>
      <c r="C5">
        <v>24.932549533501678</v>
      </c>
      <c r="D5">
        <f t="shared" si="0"/>
        <v>34.92350753150928</v>
      </c>
      <c r="E5">
        <v>25</v>
      </c>
      <c r="F5">
        <f t="shared" si="1"/>
        <v>9.92350753150928</v>
      </c>
      <c r="H5" t="s">
        <v>12</v>
      </c>
      <c r="I5" cm="1">
        <f t="array" ref="I5">(SUM(TableCRY[PP]-TableCRY[AP]))^2</f>
        <v>6.1846694969327326E-28</v>
      </c>
    </row>
    <row r="6" spans="1:9" x14ac:dyDescent="0.3">
      <c r="A6" t="s">
        <v>53</v>
      </c>
      <c r="B6">
        <v>33.202239713921671</v>
      </c>
      <c r="C6">
        <v>31.422597992800682</v>
      </c>
      <c r="D6">
        <f t="shared" si="0"/>
        <v>42.550841894191649</v>
      </c>
      <c r="E6">
        <v>65</v>
      </c>
      <c r="F6">
        <f t="shared" si="1"/>
        <v>22.449158105808351</v>
      </c>
    </row>
    <row r="7" spans="1:9" x14ac:dyDescent="0.3">
      <c r="A7" t="s">
        <v>54</v>
      </c>
      <c r="B7">
        <v>28.68987041818135</v>
      </c>
      <c r="C7">
        <v>26.575988367990227</v>
      </c>
      <c r="D7">
        <f t="shared" si="0"/>
        <v>36.398819755222419</v>
      </c>
      <c r="E7">
        <v>40</v>
      </c>
      <c r="F7">
        <f t="shared" si="1"/>
        <v>3.6011802447775807</v>
      </c>
      <c r="H7" t="s">
        <v>15</v>
      </c>
      <c r="I7">
        <f>AVERAGE(TableCRY[DIFF])/10</f>
        <v>0.86093250621622208</v>
      </c>
    </row>
    <row r="8" spans="1:9" x14ac:dyDescent="0.3">
      <c r="A8" t="s">
        <v>55</v>
      </c>
      <c r="B8">
        <v>41.285714285714278</v>
      </c>
      <c r="C8">
        <v>41.608369968449743</v>
      </c>
      <c r="D8">
        <f t="shared" si="0"/>
        <v>54.534955574913113</v>
      </c>
      <c r="E8">
        <v>43</v>
      </c>
      <c r="F8">
        <f t="shared" si="1"/>
        <v>11.534955574913113</v>
      </c>
    </row>
    <row r="9" spans="1:9" x14ac:dyDescent="0.3">
      <c r="A9" t="s">
        <v>56</v>
      </c>
      <c r="B9">
        <v>23.349506388061041</v>
      </c>
      <c r="C9">
        <v>29.417652887528806</v>
      </c>
      <c r="D9">
        <f t="shared" si="0"/>
        <v>34.613845213441785</v>
      </c>
      <c r="E9">
        <v>34</v>
      </c>
      <c r="F9">
        <f t="shared" si="1"/>
        <v>0.61384521344178467</v>
      </c>
    </row>
    <row r="10" spans="1:9" x14ac:dyDescent="0.3">
      <c r="A10" t="s">
        <v>57</v>
      </c>
      <c r="B10">
        <v>47.243243093254875</v>
      </c>
      <c r="C10">
        <v>26.012502143250313</v>
      </c>
      <c r="D10">
        <f t="shared" si="0"/>
        <v>48.564651047701354</v>
      </c>
      <c r="E10">
        <v>37</v>
      </c>
      <c r="F10">
        <f t="shared" si="1"/>
        <v>11.564651047701354</v>
      </c>
    </row>
    <row r="11" spans="1:9" x14ac:dyDescent="0.3">
      <c r="A11" t="s">
        <v>58</v>
      </c>
      <c r="B11">
        <v>24.400662202692349</v>
      </c>
      <c r="C11">
        <v>23.071478324347265</v>
      </c>
      <c r="D11">
        <f t="shared" si="0"/>
        <v>31.257392524355275</v>
      </c>
      <c r="E11">
        <v>35</v>
      </c>
      <c r="F11">
        <f t="shared" si="1"/>
        <v>3.742607475644725</v>
      </c>
    </row>
    <row r="12" spans="1:9" x14ac:dyDescent="0.3">
      <c r="A12" t="s">
        <v>59</v>
      </c>
      <c r="B12">
        <v>22.60353986140521</v>
      </c>
      <c r="C12">
        <v>23.900993704596342</v>
      </c>
      <c r="D12">
        <f t="shared" si="0"/>
        <v>30.575504646574618</v>
      </c>
      <c r="E12">
        <v>34</v>
      </c>
      <c r="F12">
        <f t="shared" si="1"/>
        <v>3.4244953534253817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60</v>
      </c>
      <c r="B2">
        <v>15.130724583207533</v>
      </c>
      <c r="C2">
        <v>22.484205864832301</v>
      </c>
      <c r="D2">
        <f>B2*$I$2+C2*$I$3</f>
        <v>48</v>
      </c>
      <c r="E2">
        <v>48</v>
      </c>
      <c r="F2">
        <f>ABS(D2-E2)</f>
        <v>0</v>
      </c>
      <c r="H2" t="s">
        <v>7</v>
      </c>
      <c r="I2">
        <v>0.98883080881681196</v>
      </c>
    </row>
    <row r="3" spans="1:9" x14ac:dyDescent="0.3">
      <c r="H3" t="s">
        <v>9</v>
      </c>
      <c r="I3">
        <v>1.4693991671761848</v>
      </c>
    </row>
    <row r="5" spans="1:9" x14ac:dyDescent="0.3">
      <c r="H5" t="s">
        <v>12</v>
      </c>
      <c r="I5">
        <f>(SUM(TableEVE[PP]-TableEVE[AP]))^2</f>
        <v>0</v>
      </c>
    </row>
    <row r="7" spans="1:9" x14ac:dyDescent="0.3">
      <c r="H7" t="s">
        <v>15</v>
      </c>
      <c r="I7">
        <f>AVERAGE(TableEVE[DIFF])/10</f>
        <v>0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61</v>
      </c>
      <c r="B2">
        <v>61.08333333333335</v>
      </c>
      <c r="C2">
        <v>42.086369840268048</v>
      </c>
      <c r="D2">
        <f t="shared" ref="D2:D8" si="0">B2*$I$2+C2*$I$3</f>
        <v>53.688030361032446</v>
      </c>
      <c r="E2">
        <v>39</v>
      </c>
      <c r="F2">
        <f t="shared" ref="F2:F8" si="1">ABS(D2-E2)</f>
        <v>14.688030361032446</v>
      </c>
      <c r="H2" t="s">
        <v>7</v>
      </c>
      <c r="I2">
        <v>0.50785034765996606</v>
      </c>
    </row>
    <row r="3" spans="1:9" x14ac:dyDescent="0.3">
      <c r="A3" t="s">
        <v>62</v>
      </c>
      <c r="B3">
        <v>20.784076654380485</v>
      </c>
      <c r="C3">
        <v>34.014363777622613</v>
      </c>
      <c r="D3">
        <f t="shared" si="0"/>
        <v>28.874625258269504</v>
      </c>
      <c r="E3">
        <v>37</v>
      </c>
      <c r="F3">
        <f t="shared" si="1"/>
        <v>8.1253747417304965</v>
      </c>
      <c r="H3" t="s">
        <v>9</v>
      </c>
      <c r="I3">
        <v>0.53857907863039267</v>
      </c>
    </row>
    <row r="4" spans="1:9" x14ac:dyDescent="0.3">
      <c r="A4" t="s">
        <v>63</v>
      </c>
      <c r="B4">
        <v>34.560324314406962</v>
      </c>
      <c r="C4">
        <v>39.285823955017023</v>
      </c>
      <c r="D4">
        <f t="shared" si="0"/>
        <v>38.709995587241636</v>
      </c>
      <c r="E4">
        <v>45</v>
      </c>
      <c r="F4">
        <f t="shared" si="1"/>
        <v>6.2900044127583641</v>
      </c>
    </row>
    <row r="5" spans="1:9" x14ac:dyDescent="0.3">
      <c r="A5" t="s">
        <v>64</v>
      </c>
      <c r="B5">
        <v>23.962264135057687</v>
      </c>
      <c r="C5">
        <v>27.451860633722681</v>
      </c>
      <c r="D5">
        <f t="shared" si="0"/>
        <v>26.954241978509291</v>
      </c>
      <c r="E5">
        <v>34</v>
      </c>
      <c r="F5">
        <f t="shared" si="1"/>
        <v>7.045758021490709</v>
      </c>
      <c r="H5" t="s">
        <v>12</v>
      </c>
      <c r="I5" cm="1">
        <f t="array" ref="I5">(SUM(TableFUL[PP]-TableFUL[AP]))^2</f>
        <v>2.0194839173657902E-28</v>
      </c>
    </row>
    <row r="6" spans="1:9" x14ac:dyDescent="0.3">
      <c r="A6" t="s">
        <v>65</v>
      </c>
      <c r="B6">
        <v>24.200000030787518</v>
      </c>
      <c r="C6">
        <v>28.900619782352404</v>
      </c>
      <c r="D6">
        <f t="shared" si="0"/>
        <v>27.855247603233288</v>
      </c>
      <c r="E6">
        <v>27</v>
      </c>
      <c r="F6">
        <f t="shared" si="1"/>
        <v>0.85524760323328763</v>
      </c>
    </row>
    <row r="7" spans="1:9" x14ac:dyDescent="0.3">
      <c r="A7" t="s">
        <v>66</v>
      </c>
      <c r="B7">
        <v>45.249999994098552</v>
      </c>
      <c r="C7">
        <v>29.486413327558942</v>
      </c>
      <c r="D7">
        <f t="shared" si="0"/>
        <v>38.860993550688036</v>
      </c>
      <c r="E7">
        <v>23</v>
      </c>
      <c r="F7">
        <f t="shared" si="1"/>
        <v>15.860993550688036</v>
      </c>
      <c r="H7" t="s">
        <v>15</v>
      </c>
      <c r="I7">
        <f>AVERAGE(TableFUL[DIFF])/10</f>
        <v>0.89726490042725082</v>
      </c>
    </row>
    <row r="8" spans="1:9" x14ac:dyDescent="0.3">
      <c r="A8" t="s">
        <v>67</v>
      </c>
      <c r="B8">
        <v>14.438109276837725</v>
      </c>
      <c r="C8">
        <v>36.623158284184584</v>
      </c>
      <c r="D8">
        <f t="shared" si="0"/>
        <v>27.056865661025785</v>
      </c>
      <c r="E8">
        <v>37</v>
      </c>
      <c r="F8">
        <f t="shared" si="1"/>
        <v>9.9431343389742146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68</v>
      </c>
      <c r="B2">
        <v>40.897088816053241</v>
      </c>
      <c r="C2">
        <v>49.70466518377058</v>
      </c>
      <c r="D2">
        <f t="shared" ref="D2:D9" si="0">B2*$I$2+C2*$I$3</f>
        <v>34.957492560412646</v>
      </c>
      <c r="E2">
        <v>43</v>
      </c>
      <c r="F2">
        <f t="shared" ref="F2:F9" si="1">ABS(D2-E2)</f>
        <v>8.0425074395873537</v>
      </c>
      <c r="H2" t="s">
        <v>7</v>
      </c>
      <c r="I2">
        <v>0.3778433671819445</v>
      </c>
    </row>
    <row r="3" spans="1:9" x14ac:dyDescent="0.3">
      <c r="A3" t="s">
        <v>69</v>
      </c>
      <c r="B3">
        <v>20.763637425476475</v>
      </c>
      <c r="C3">
        <v>47.929404358905586</v>
      </c>
      <c r="D3">
        <f t="shared" si="0"/>
        <v>26.653564566589374</v>
      </c>
      <c r="E3">
        <v>51</v>
      </c>
      <c r="F3">
        <f t="shared" si="1"/>
        <v>24.346435433410626</v>
      </c>
      <c r="H3" t="s">
        <v>9</v>
      </c>
      <c r="I3">
        <v>0.39241384570446114</v>
      </c>
    </row>
    <row r="4" spans="1:9" x14ac:dyDescent="0.3">
      <c r="A4" t="s">
        <v>70</v>
      </c>
      <c r="B4">
        <v>48.287125140313798</v>
      </c>
      <c r="C4">
        <v>64.524166926968292</v>
      </c>
      <c r="D4">
        <f t="shared" si="0"/>
        <v>43.565146439240323</v>
      </c>
      <c r="E4">
        <v>35</v>
      </c>
      <c r="F4">
        <f t="shared" si="1"/>
        <v>8.5651464392403227</v>
      </c>
    </row>
    <row r="5" spans="1:9" x14ac:dyDescent="0.3">
      <c r="A5" t="s">
        <v>71</v>
      </c>
      <c r="B5">
        <v>44.588235221044641</v>
      </c>
      <c r="C5">
        <v>48.892207161795014</v>
      </c>
      <c r="D5">
        <f t="shared" si="0"/>
        <v>36.033347969959259</v>
      </c>
      <c r="E5">
        <v>31</v>
      </c>
      <c r="F5">
        <f t="shared" si="1"/>
        <v>5.0333479699592587</v>
      </c>
      <c r="H5" t="s">
        <v>12</v>
      </c>
      <c r="I5" cm="1">
        <f t="array" ref="I5">(SUM(TableLIV[PP]-TableLIV[AP]))^2</f>
        <v>0</v>
      </c>
    </row>
    <row r="6" spans="1:9" x14ac:dyDescent="0.3">
      <c r="A6" t="s">
        <v>72</v>
      </c>
      <c r="B6">
        <v>53.666666641894629</v>
      </c>
      <c r="C6">
        <v>55.587741994142235</v>
      </c>
      <c r="D6">
        <f t="shared" si="0"/>
        <v>42.09099363935313</v>
      </c>
      <c r="E6">
        <v>32</v>
      </c>
      <c r="F6">
        <f t="shared" si="1"/>
        <v>10.09099363935313</v>
      </c>
    </row>
    <row r="7" spans="1:9" x14ac:dyDescent="0.3">
      <c r="A7" t="s">
        <v>73</v>
      </c>
      <c r="B7">
        <v>58.566871347999481</v>
      </c>
      <c r="C7">
        <v>50.425462303790468</v>
      </c>
      <c r="D7">
        <f t="shared" si="0"/>
        <v>41.916753459495624</v>
      </c>
      <c r="E7">
        <v>30</v>
      </c>
      <c r="F7">
        <f t="shared" si="1"/>
        <v>11.916753459495624</v>
      </c>
      <c r="H7" t="s">
        <v>15</v>
      </c>
      <c r="I7">
        <f>AVERAGE(TableLIV[DIFF])/10</f>
        <v>1.3347759364528438</v>
      </c>
    </row>
    <row r="8" spans="1:9" x14ac:dyDescent="0.3">
      <c r="A8" t="s">
        <v>74</v>
      </c>
      <c r="B8">
        <v>68.065394675796028</v>
      </c>
      <c r="C8">
        <v>64.421395368022985</v>
      </c>
      <c r="D8">
        <f t="shared" si="0"/>
        <v>50.997905414884229</v>
      </c>
      <c r="E8">
        <v>72</v>
      </c>
      <c r="F8">
        <f t="shared" si="1"/>
        <v>21.002094585115771</v>
      </c>
    </row>
    <row r="9" spans="1:9" x14ac:dyDescent="0.3">
      <c r="A9" t="s">
        <v>75</v>
      </c>
      <c r="B9">
        <v>80.24561403278372</v>
      </c>
      <c r="C9">
        <v>49.60202896865939</v>
      </c>
      <c r="D9">
        <f t="shared" si="0"/>
        <v>49.784795950065416</v>
      </c>
      <c r="E9">
        <v>32</v>
      </c>
      <c r="F9">
        <f t="shared" si="1"/>
        <v>17.784795950065416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76</v>
      </c>
      <c r="B2">
        <v>28.348232178615735</v>
      </c>
      <c r="C2">
        <v>49.43012357181118</v>
      </c>
      <c r="D2">
        <f t="shared" ref="D2:D8" si="0">B2*$I$2+C2*$I$3</f>
        <v>31.478379127607248</v>
      </c>
      <c r="E2">
        <v>38</v>
      </c>
      <c r="F2">
        <f t="shared" ref="F2:F8" si="1">ABS(D2-E2)</f>
        <v>6.5216208723927522</v>
      </c>
      <c r="H2" t="s">
        <v>7</v>
      </c>
      <c r="I2">
        <v>0.44378000533187162</v>
      </c>
    </row>
    <row r="3" spans="1:9" x14ac:dyDescent="0.3">
      <c r="A3" t="s">
        <v>77</v>
      </c>
      <c r="B3">
        <v>22.913533654319274</v>
      </c>
      <c r="C3">
        <v>49.192509653275074</v>
      </c>
      <c r="D3">
        <f t="shared" si="0"/>
        <v>28.975724631911838</v>
      </c>
      <c r="E3">
        <v>36</v>
      </c>
      <c r="F3">
        <f t="shared" si="1"/>
        <v>7.024275368088162</v>
      </c>
      <c r="H3" t="s">
        <v>9</v>
      </c>
      <c r="I3">
        <v>0.38231748445413766</v>
      </c>
    </row>
    <row r="4" spans="1:9" x14ac:dyDescent="0.3">
      <c r="A4" t="s">
        <v>78</v>
      </c>
      <c r="B4">
        <v>77.222222214812803</v>
      </c>
      <c r="C4">
        <v>44.013815988269606</v>
      </c>
      <c r="D4">
        <f t="shared" si="0"/>
        <v>51.096929596091144</v>
      </c>
      <c r="E4">
        <v>38</v>
      </c>
      <c r="F4">
        <f t="shared" si="1"/>
        <v>13.096929596091144</v>
      </c>
    </row>
    <row r="5" spans="1:9" x14ac:dyDescent="0.3">
      <c r="A5" t="s">
        <v>79</v>
      </c>
      <c r="B5">
        <v>91.6601841108222</v>
      </c>
      <c r="C5">
        <v>45.584178853613409</v>
      </c>
      <c r="D5">
        <f t="shared" si="0"/>
        <v>58.104585583641985</v>
      </c>
      <c r="E5">
        <v>57</v>
      </c>
      <c r="F5">
        <f t="shared" si="1"/>
        <v>1.1045855836419847</v>
      </c>
      <c r="H5" t="s">
        <v>12</v>
      </c>
      <c r="I5" cm="1">
        <f t="array" ref="I5">(SUM(TableMCI[PP]-TableMCI[AP]))^2</f>
        <v>1.2621774483536189E-27</v>
      </c>
    </row>
    <row r="6" spans="1:9" x14ac:dyDescent="0.3">
      <c r="A6" t="s">
        <v>80</v>
      </c>
      <c r="B6">
        <v>84.999999993728864</v>
      </c>
      <c r="C6">
        <v>93.860449160342398</v>
      </c>
      <c r="D6">
        <f t="shared" si="0"/>
        <v>73.605791263143658</v>
      </c>
      <c r="E6">
        <v>80</v>
      </c>
      <c r="F6">
        <f t="shared" si="1"/>
        <v>6.3942087368563421</v>
      </c>
    </row>
    <row r="7" spans="1:9" x14ac:dyDescent="0.3">
      <c r="A7" t="s">
        <v>81</v>
      </c>
      <c r="B7">
        <v>30.266976293021933</v>
      </c>
      <c r="C7">
        <v>37.753516165705776</v>
      </c>
      <c r="D7">
        <f t="shared" si="0"/>
        <v>27.865708230468158</v>
      </c>
      <c r="E7">
        <v>34</v>
      </c>
      <c r="F7">
        <f t="shared" si="1"/>
        <v>6.134291769531842</v>
      </c>
      <c r="H7" t="s">
        <v>15</v>
      </c>
      <c r="I7">
        <f>AVERAGE(TableMCI[DIFF])/10</f>
        <v>0.74498276419625942</v>
      </c>
    </row>
    <row r="8" spans="1:9" x14ac:dyDescent="0.3">
      <c r="A8" t="s">
        <v>82</v>
      </c>
      <c r="B8">
        <v>78.481481481481495</v>
      </c>
      <c r="C8">
        <v>36.734833921820389</v>
      </c>
      <c r="D8">
        <f t="shared" si="0"/>
        <v>48.872881567135934</v>
      </c>
      <c r="E8">
        <v>37</v>
      </c>
      <c r="F8">
        <f t="shared" si="1"/>
        <v>11.872881567135934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83</v>
      </c>
      <c r="B2">
        <v>47.107745698105852</v>
      </c>
      <c r="C2">
        <v>48.584043038165234</v>
      </c>
      <c r="D2">
        <f t="shared" ref="D2:D8" si="0">B2*$I$2+C2*$I$3</f>
        <v>37.235205669542999</v>
      </c>
      <c r="E2">
        <v>22</v>
      </c>
      <c r="F2">
        <f t="shared" ref="F2:F8" si="1">ABS(D2-E2)</f>
        <v>15.235205669542999</v>
      </c>
      <c r="H2" t="s">
        <v>7</v>
      </c>
      <c r="I2">
        <v>0.35833931096731986</v>
      </c>
    </row>
    <row r="3" spans="1:9" x14ac:dyDescent="0.3">
      <c r="A3" t="s">
        <v>84</v>
      </c>
      <c r="B3">
        <v>43.94421051072618</v>
      </c>
      <c r="C3">
        <v>55.817187992963738</v>
      </c>
      <c r="D3">
        <f t="shared" si="0"/>
        <v>39.131966876989296</v>
      </c>
      <c r="E3">
        <v>30</v>
      </c>
      <c r="F3">
        <f t="shared" si="1"/>
        <v>9.1319668769892957</v>
      </c>
      <c r="H3" t="s">
        <v>9</v>
      </c>
      <c r="I3">
        <v>0.4189574860797487</v>
      </c>
    </row>
    <row r="4" spans="1:9" x14ac:dyDescent="0.3">
      <c r="A4" t="s">
        <v>85</v>
      </c>
      <c r="B4">
        <v>20.857142883196619</v>
      </c>
      <c r="C4">
        <v>62.648839555346541</v>
      </c>
      <c r="D4">
        <f t="shared" si="0"/>
        <v>33.721134535433123</v>
      </c>
      <c r="E4">
        <v>22</v>
      </c>
      <c r="F4">
        <f t="shared" si="1"/>
        <v>11.721134535433123</v>
      </c>
    </row>
    <row r="5" spans="1:9" x14ac:dyDescent="0.3">
      <c r="A5" t="s">
        <v>86</v>
      </c>
      <c r="B5">
        <v>30.84747289638641</v>
      </c>
      <c r="C5">
        <v>41.297466232287121</v>
      </c>
      <c r="D5">
        <f t="shared" si="0"/>
        <v>28.355744816916506</v>
      </c>
      <c r="E5">
        <v>41</v>
      </c>
      <c r="F5">
        <f t="shared" si="1"/>
        <v>12.644255183083494</v>
      </c>
      <c r="H5" t="s">
        <v>12</v>
      </c>
      <c r="I5" cm="1">
        <f t="array" ref="I5">(SUM(TableMUN[PP]-TableMUN[AP]))^2</f>
        <v>0</v>
      </c>
    </row>
    <row r="6" spans="1:9" x14ac:dyDescent="0.3">
      <c r="A6" t="s">
        <v>87</v>
      </c>
      <c r="B6">
        <v>70.947368368748471</v>
      </c>
      <c r="C6">
        <v>51.096531164388125</v>
      </c>
      <c r="D6">
        <f t="shared" si="0"/>
        <v>46.830505340229536</v>
      </c>
      <c r="E6">
        <v>57</v>
      </c>
      <c r="F6">
        <f t="shared" si="1"/>
        <v>10.169494659770464</v>
      </c>
    </row>
    <row r="7" spans="1:9" x14ac:dyDescent="0.3">
      <c r="A7" t="s">
        <v>88</v>
      </c>
      <c r="B7">
        <v>39.083483806741285</v>
      </c>
      <c r="C7">
        <v>41.089973590513857</v>
      </c>
      <c r="D7">
        <f t="shared" si="0"/>
        <v>31.220100696075029</v>
      </c>
      <c r="E7">
        <v>28</v>
      </c>
      <c r="F7">
        <f t="shared" si="1"/>
        <v>3.2201006960750291</v>
      </c>
      <c r="H7" t="s">
        <v>15</v>
      </c>
      <c r="I7">
        <f>AVERAGE(TableMUN[DIFF])/10</f>
        <v>1.1230973650868701</v>
      </c>
    </row>
    <row r="8" spans="1:9" x14ac:dyDescent="0.3">
      <c r="A8" t="s">
        <v>89</v>
      </c>
      <c r="B8">
        <v>32.532920262847199</v>
      </c>
      <c r="C8">
        <v>33.052322238333765</v>
      </c>
      <c r="D8">
        <f t="shared" si="0"/>
        <v>25.505342064813512</v>
      </c>
      <c r="E8">
        <v>42</v>
      </c>
      <c r="F8">
        <f t="shared" si="1"/>
        <v>16.494657935186488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90</v>
      </c>
      <c r="B2">
        <v>83.347826107413383</v>
      </c>
      <c r="C2">
        <v>57.140826387670153</v>
      </c>
      <c r="D2">
        <f t="shared" ref="D2:D10" si="0">B2*$I$2+C2*$I$3</f>
        <v>49.064159058264082</v>
      </c>
      <c r="E2">
        <v>30</v>
      </c>
      <c r="F2">
        <f t="shared" ref="F2:F10" si="1">ABS(D2-E2)</f>
        <v>19.064159058264082</v>
      </c>
      <c r="H2" t="s">
        <v>7</v>
      </c>
      <c r="I2">
        <v>0.36253086535305079</v>
      </c>
    </row>
    <row r="3" spans="1:9" x14ac:dyDescent="0.3">
      <c r="A3" t="s">
        <v>91</v>
      </c>
      <c r="B3">
        <v>34.253623093903585</v>
      </c>
      <c r="C3">
        <v>46.706189733552172</v>
      </c>
      <c r="D3">
        <f t="shared" si="0"/>
        <v>27.824112368639774</v>
      </c>
      <c r="E3">
        <v>23</v>
      </c>
      <c r="F3">
        <f t="shared" si="1"/>
        <v>4.8241123686397742</v>
      </c>
      <c r="H3" t="s">
        <v>9</v>
      </c>
      <c r="I3">
        <v>0.32985171419073012</v>
      </c>
    </row>
    <row r="4" spans="1:9" x14ac:dyDescent="0.3">
      <c r="A4" t="s">
        <v>92</v>
      </c>
      <c r="B4">
        <v>30.850965343875686</v>
      </c>
      <c r="C4">
        <v>38.236553236034204</v>
      </c>
      <c r="D4">
        <f t="shared" si="0"/>
        <v>23.796819792743221</v>
      </c>
      <c r="E4">
        <v>22</v>
      </c>
      <c r="F4">
        <f t="shared" si="1"/>
        <v>1.7968197927432215</v>
      </c>
    </row>
    <row r="5" spans="1:9" x14ac:dyDescent="0.3">
      <c r="A5" t="s">
        <v>93</v>
      </c>
      <c r="B5">
        <v>20.435480590962634</v>
      </c>
      <c r="C5">
        <v>64.579302763459268</v>
      </c>
      <c r="D5">
        <f t="shared" si="0"/>
        <v>28.710086180316353</v>
      </c>
      <c r="E5">
        <v>53</v>
      </c>
      <c r="F5">
        <f t="shared" si="1"/>
        <v>24.289913819683647</v>
      </c>
      <c r="H5" t="s">
        <v>12</v>
      </c>
      <c r="I5" cm="1">
        <f t="array" ref="I5">(SUM(TableNEW[PP]-TableNEW[AP]))^2</f>
        <v>0</v>
      </c>
    </row>
    <row r="6" spans="1:9" x14ac:dyDescent="0.3">
      <c r="A6" t="s">
        <v>94</v>
      </c>
      <c r="B6">
        <v>40.952380984299033</v>
      </c>
      <c r="C6">
        <v>41.279552924080036</v>
      </c>
      <c r="D6">
        <f t="shared" si="0"/>
        <v>28.462633409540516</v>
      </c>
      <c r="E6">
        <v>32</v>
      </c>
      <c r="F6">
        <f t="shared" si="1"/>
        <v>3.5373665904594844</v>
      </c>
    </row>
    <row r="7" spans="1:9" x14ac:dyDescent="0.3">
      <c r="A7" t="s">
        <v>95</v>
      </c>
      <c r="B7">
        <v>31.65176814982118</v>
      </c>
      <c r="C7">
        <v>41.408010831824924</v>
      </c>
      <c r="D7">
        <f t="shared" si="0"/>
        <v>25.133246251414576</v>
      </c>
      <c r="E7">
        <v>22</v>
      </c>
      <c r="F7">
        <f t="shared" si="1"/>
        <v>3.133246251414576</v>
      </c>
      <c r="H7" t="s">
        <v>15</v>
      </c>
      <c r="I7">
        <f>AVERAGE(TableNEW[DIFF])/10</f>
        <v>1.2133900193670173</v>
      </c>
    </row>
    <row r="8" spans="1:9" x14ac:dyDescent="0.3">
      <c r="A8" t="s">
        <v>96</v>
      </c>
      <c r="B8">
        <v>89.06451608757952</v>
      </c>
      <c r="C8">
        <v>59.104065470159341</v>
      </c>
      <c r="D8">
        <f t="shared" si="0"/>
        <v>51.784213400454121</v>
      </c>
      <c r="E8">
        <v>26</v>
      </c>
      <c r="F8">
        <f t="shared" si="1"/>
        <v>25.784213400454121</v>
      </c>
    </row>
    <row r="9" spans="1:9" x14ac:dyDescent="0.3">
      <c r="A9" t="s">
        <v>67</v>
      </c>
      <c r="B9">
        <v>81.844496189400616</v>
      </c>
      <c r="C9">
        <v>40.656134889843173</v>
      </c>
      <c r="D9">
        <f t="shared" si="0"/>
        <v>43.081651813712192</v>
      </c>
      <c r="E9">
        <v>68</v>
      </c>
      <c r="F9">
        <f t="shared" si="1"/>
        <v>24.918348186287808</v>
      </c>
    </row>
    <row r="10" spans="1:9" x14ac:dyDescent="0.3">
      <c r="A10" t="s">
        <v>97</v>
      </c>
      <c r="B10">
        <v>69</v>
      </c>
      <c r="C10">
        <v>48.896056384380984</v>
      </c>
      <c r="D10">
        <f t="shared" si="0"/>
        <v>41.143077724915166</v>
      </c>
      <c r="E10">
        <v>43</v>
      </c>
      <c r="F10">
        <f t="shared" si="1"/>
        <v>1.856922275084834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98</v>
      </c>
      <c r="B2">
        <v>41.171880190442508</v>
      </c>
      <c r="C2">
        <v>43.254849004621164</v>
      </c>
      <c r="D2">
        <f>B2*$I$2+C2*$I$3</f>
        <v>37.797702281333983</v>
      </c>
      <c r="E2">
        <v>21</v>
      </c>
      <c r="F2">
        <f>ABS(D2-E2)</f>
        <v>16.797702281333983</v>
      </c>
      <c r="H2" t="s">
        <v>7</v>
      </c>
      <c r="I2">
        <v>0.39910757392226881</v>
      </c>
    </row>
    <row r="3" spans="1:9" x14ac:dyDescent="0.3">
      <c r="A3" t="s">
        <v>99</v>
      </c>
      <c r="B3">
        <v>24.735286712892059</v>
      </c>
      <c r="C3">
        <v>51.269854279574702</v>
      </c>
      <c r="D3">
        <f>B3*$I$2+C3*$I$3</f>
        <v>35.196737852545432</v>
      </c>
      <c r="E3">
        <v>49</v>
      </c>
      <c r="F3">
        <f>ABS(D3-E3)</f>
        <v>13.803262147454568</v>
      </c>
      <c r="H3" t="s">
        <v>9</v>
      </c>
      <c r="I3">
        <v>0.4939490844697097</v>
      </c>
    </row>
    <row r="4" spans="1:9" x14ac:dyDescent="0.3">
      <c r="A4" t="s">
        <v>100</v>
      </c>
      <c r="B4">
        <v>32.071713884255971</v>
      </c>
      <c r="C4">
        <v>35.924805829634089</v>
      </c>
      <c r="D4">
        <f>B4*$I$2+C4*$I$3</f>
        <v>30.545088869174393</v>
      </c>
      <c r="E4">
        <v>47</v>
      </c>
      <c r="F4">
        <f>ABS(D4-E4)</f>
        <v>16.454911130825607</v>
      </c>
    </row>
    <row r="5" spans="1:9" x14ac:dyDescent="0.3">
      <c r="A5" t="s">
        <v>101</v>
      </c>
      <c r="B5">
        <v>41.18518518518519</v>
      </c>
      <c r="C5">
        <v>43.163698047713297</v>
      </c>
      <c r="D5">
        <f>B5*$I$2+C5*$I$3</f>
        <v>37.757988473793603</v>
      </c>
      <c r="E5">
        <v>21</v>
      </c>
      <c r="F5">
        <f>ABS(D5-E5)</f>
        <v>16.757988473793603</v>
      </c>
      <c r="H5" t="s">
        <v>12</v>
      </c>
      <c r="I5" cm="1">
        <f t="array" ref="I5">(SUM(TableNFO[PP]-TableNFO[AP]))^2</f>
        <v>5.0487097934144756E-29</v>
      </c>
    </row>
    <row r="6" spans="1:9" x14ac:dyDescent="0.3">
      <c r="A6" t="s">
        <v>102</v>
      </c>
      <c r="B6">
        <v>25.121476209003013</v>
      </c>
      <c r="C6">
        <v>29.712194154155547</v>
      </c>
      <c r="D6">
        <f>B6*$I$2+C6*$I$3</f>
        <v>24.702482523152582</v>
      </c>
      <c r="E6">
        <v>28</v>
      </c>
      <c r="F6">
        <f>ABS(D6-E6)</f>
        <v>3.2975174768474176</v>
      </c>
    </row>
    <row r="7" spans="1:9" x14ac:dyDescent="0.3">
      <c r="H7" t="s">
        <v>15</v>
      </c>
      <c r="I7">
        <f>AVERAGE(TableNFO[DIFF])/10</f>
        <v>1.3422276302051035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103</v>
      </c>
      <c r="B2">
        <v>48.193441121727801</v>
      </c>
      <c r="C2">
        <v>43.551961251525825</v>
      </c>
      <c r="D2">
        <f>B2*$I$2+C2*$I$3</f>
        <v>37.661665288110235</v>
      </c>
      <c r="E2">
        <v>47</v>
      </c>
      <c r="F2">
        <f>ABS(D2-E2)</f>
        <v>9.3383347118897646</v>
      </c>
      <c r="H2" t="s">
        <v>7</v>
      </c>
      <c r="I2">
        <v>0.4444764413911878</v>
      </c>
    </row>
    <row r="3" spans="1:9" x14ac:dyDescent="0.3">
      <c r="A3" t="s">
        <v>104</v>
      </c>
      <c r="B3">
        <v>59.215189829237502</v>
      </c>
      <c r="C3">
        <v>53.397064802095443</v>
      </c>
      <c r="D3">
        <f>B3*$I$2+C3*$I$3</f>
        <v>46.231877540048515</v>
      </c>
      <c r="E3">
        <v>41</v>
      </c>
      <c r="F3">
        <f>ABS(D3-E3)</f>
        <v>5.2318775400485151</v>
      </c>
      <c r="H3" t="s">
        <v>9</v>
      </c>
      <c r="I3">
        <v>0.37290665249569993</v>
      </c>
    </row>
    <row r="4" spans="1:9" x14ac:dyDescent="0.3">
      <c r="A4" t="s">
        <v>105</v>
      </c>
      <c r="B4">
        <v>34.053847949568144</v>
      </c>
      <c r="C4">
        <v>30.601799144925344</v>
      </c>
      <c r="D4">
        <f>B4*$I$2+C4*$I$3</f>
        <v>26.547747631780531</v>
      </c>
      <c r="E4">
        <v>27</v>
      </c>
      <c r="F4">
        <f>ABS(D4-E4)</f>
        <v>0.45225236821946879</v>
      </c>
    </row>
    <row r="5" spans="1:9" x14ac:dyDescent="0.3">
      <c r="A5" t="s">
        <v>106</v>
      </c>
      <c r="B5">
        <v>42.736842105263158</v>
      </c>
      <c r="C5">
        <v>35.868250177108102</v>
      </c>
      <c r="D5">
        <f>B5*$I$2+C5*$I$3</f>
        <v>32.371028599668122</v>
      </c>
      <c r="E5">
        <v>28</v>
      </c>
      <c r="F5">
        <f>ABS(D5-E5)</f>
        <v>4.3710285996681222</v>
      </c>
      <c r="H5" t="s">
        <v>12</v>
      </c>
      <c r="I5" cm="1">
        <f t="array" ref="I5">(SUM(TableTOT[PP]-TableTOT[AP]))^2</f>
        <v>5.0487097934144756E-29</v>
      </c>
    </row>
    <row r="6" spans="1:9" x14ac:dyDescent="0.3">
      <c r="A6" t="s">
        <v>107</v>
      </c>
      <c r="B6">
        <v>67.999999997138985</v>
      </c>
      <c r="C6">
        <v>48.17099080116467</v>
      </c>
      <c r="D6">
        <f>B6*$I$2+C6*$I$3</f>
        <v>48.187680940392589</v>
      </c>
      <c r="E6">
        <v>48</v>
      </c>
      <c r="F6">
        <f>ABS(D6-E6)</f>
        <v>0.18768094039258898</v>
      </c>
    </row>
    <row r="7" spans="1:9" x14ac:dyDescent="0.3">
      <c r="H7" t="s">
        <v>15</v>
      </c>
      <c r="I7">
        <f>AVERAGE(TableTOT[DIFF])/10</f>
        <v>0.39162348320436918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108</v>
      </c>
      <c r="B2">
        <v>20.511110854085075</v>
      </c>
      <c r="C2">
        <v>47.488999873322996</v>
      </c>
      <c r="D2">
        <f t="shared" ref="D2:D9" si="0">B2*$I$2+C2*$I$3</f>
        <v>23.585503361897331</v>
      </c>
      <c r="E2">
        <v>30</v>
      </c>
      <c r="F2">
        <f t="shared" ref="F2:F9" si="1">ABS(D2-E2)</f>
        <v>6.4144966381026691</v>
      </c>
      <c r="H2" t="s">
        <v>7</v>
      </c>
      <c r="I2">
        <v>0.40157498324978846</v>
      </c>
    </row>
    <row r="3" spans="1:9" x14ac:dyDescent="0.3">
      <c r="A3" t="s">
        <v>109</v>
      </c>
      <c r="B3">
        <v>34.951006540373015</v>
      </c>
      <c r="C3">
        <v>26.270878682167435</v>
      </c>
      <c r="D3">
        <f t="shared" si="0"/>
        <v>22.526369129438166</v>
      </c>
      <c r="E3">
        <v>36</v>
      </c>
      <c r="F3">
        <f t="shared" si="1"/>
        <v>13.473630870561834</v>
      </c>
      <c r="H3" t="s">
        <v>9</v>
      </c>
      <c r="I3">
        <v>0.32320651951349572</v>
      </c>
    </row>
    <row r="4" spans="1:9" x14ac:dyDescent="0.3">
      <c r="A4" t="s">
        <v>110</v>
      </c>
      <c r="B4">
        <v>51.548387098995036</v>
      </c>
      <c r="C4">
        <v>39.572245849963423</v>
      </c>
      <c r="D4">
        <f t="shared" si="0"/>
        <v>33.490550536331597</v>
      </c>
      <c r="E4">
        <v>27</v>
      </c>
      <c r="F4">
        <f t="shared" si="1"/>
        <v>6.4905505363315967</v>
      </c>
    </row>
    <row r="5" spans="1:9" x14ac:dyDescent="0.3">
      <c r="A5" t="s">
        <v>111</v>
      </c>
      <c r="B5">
        <v>55.519823732540409</v>
      </c>
      <c r="C5">
        <v>34.543356945581515</v>
      </c>
      <c r="D5">
        <f t="shared" si="0"/>
        <v>33.460010456119861</v>
      </c>
      <c r="E5">
        <v>32</v>
      </c>
      <c r="F5">
        <f t="shared" si="1"/>
        <v>1.4600104561198606</v>
      </c>
      <c r="H5" t="s">
        <v>12</v>
      </c>
      <c r="I5" cm="1">
        <f t="array" ref="I5">(SUM(TableWHU[PP]-TableWHU[AP]))^2</f>
        <v>1.2621774483536189E-29</v>
      </c>
    </row>
    <row r="6" spans="1:9" x14ac:dyDescent="0.3">
      <c r="A6" t="s">
        <v>112</v>
      </c>
      <c r="B6">
        <v>45.249339177956315</v>
      </c>
      <c r="C6">
        <v>41.68954569470602</v>
      </c>
      <c r="D6">
        <f t="shared" si="0"/>
        <v>31.645335586536579</v>
      </c>
      <c r="E6">
        <v>43</v>
      </c>
      <c r="F6">
        <f t="shared" si="1"/>
        <v>11.354664413463421</v>
      </c>
    </row>
    <row r="7" spans="1:9" x14ac:dyDescent="0.3">
      <c r="A7" t="s">
        <v>113</v>
      </c>
      <c r="B7">
        <v>62.613104430774406</v>
      </c>
      <c r="C7">
        <v>33.755243968703176</v>
      </c>
      <c r="D7">
        <f t="shared" si="0"/>
        <v>36.053771281458957</v>
      </c>
      <c r="E7">
        <v>20</v>
      </c>
      <c r="F7">
        <f t="shared" si="1"/>
        <v>16.053771281458957</v>
      </c>
      <c r="H7" t="s">
        <v>15</v>
      </c>
      <c r="I7">
        <f>AVERAGE(TableWHU[DIFF])/10</f>
        <v>1.0684383344248434</v>
      </c>
    </row>
    <row r="8" spans="1:9" x14ac:dyDescent="0.3">
      <c r="A8" t="s">
        <v>114</v>
      </c>
      <c r="B8">
        <v>33.780600025709944</v>
      </c>
      <c r="C8">
        <v>49.31773863854977</v>
      </c>
      <c r="D8">
        <f t="shared" si="0"/>
        <v>29.50525854513419</v>
      </c>
      <c r="E8">
        <v>41</v>
      </c>
      <c r="F8">
        <f t="shared" si="1"/>
        <v>11.49474145486581</v>
      </c>
    </row>
    <row r="9" spans="1:9" x14ac:dyDescent="0.3">
      <c r="A9" t="s">
        <v>115</v>
      </c>
      <c r="B9">
        <v>82.704918029728816</v>
      </c>
      <c r="C9">
        <v>38.7398591138166</v>
      </c>
      <c r="D9">
        <f t="shared" si="0"/>
        <v>45.733201103083317</v>
      </c>
      <c r="E9">
        <v>27</v>
      </c>
      <c r="F9">
        <f t="shared" si="1"/>
        <v>18.733201103083317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116</v>
      </c>
      <c r="B2">
        <v>16.413024986976644</v>
      </c>
      <c r="C2">
        <v>37.488451754694601</v>
      </c>
      <c r="D2">
        <f>B2*$I$2+C2*$I$3</f>
        <v>26.000000000000004</v>
      </c>
      <c r="E2">
        <v>26</v>
      </c>
      <c r="F2">
        <f>ABS(D2-E2)</f>
        <v>3.5527136788005009E-15</v>
      </c>
      <c r="H2" t="s">
        <v>7</v>
      </c>
      <c r="I2">
        <v>0.25480420756473565</v>
      </c>
    </row>
    <row r="3" spans="1:9" x14ac:dyDescent="0.3">
      <c r="H3" t="s">
        <v>9</v>
      </c>
      <c r="I3">
        <v>0.58198968357558278</v>
      </c>
    </row>
    <row r="5" spans="1:9" x14ac:dyDescent="0.3">
      <c r="H5" t="s">
        <v>12</v>
      </c>
      <c r="I5">
        <f>(SUM(TableWOL[PP]-TableWOL[AP]))^2</f>
        <v>1.2621774483536189E-29</v>
      </c>
    </row>
    <row r="7" spans="1:9" x14ac:dyDescent="0.3">
      <c r="H7" t="s">
        <v>15</v>
      </c>
      <c r="I7">
        <f>AVERAGE(TableWOL[DIFF])/10</f>
        <v>3.5527136788005011E-16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LIV</vt:lpstr>
      <vt:lpstr>MCI</vt:lpstr>
      <vt:lpstr>MUN</vt:lpstr>
      <vt:lpstr>NEW</vt:lpstr>
      <vt:lpstr>NFO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2023-08-25T03:51:15Z</dcterms:created>
  <dcterms:modified xsi:type="dcterms:W3CDTF">2023-08-25T04:03:03Z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6fb63b9b-fe41-4bdc-b6e5-fb6ef85d4574</vt:lpwstr>
  </property>
</Properties>
</file>