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C72B4B0F-5946-4D0D-9239-0F26B0B6320C}" xr6:coauthVersionLast="47" xr6:coauthVersionMax="47" xr10:uidLastSave="{00000000-0000-0000-0000-000000000000}"/>
  <bookViews>
    <workbookView xWindow="-108" yWindow="-108" windowWidth="23256" windowHeight="12576" firstSheet="3" activeTab="16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IV" sheetId="10" r:id="rId10"/>
    <sheet name="MCI" sheetId="11" r:id="rId11"/>
    <sheet name="MUN" sheetId="12" r:id="rId12"/>
    <sheet name="NEW" sheetId="13" r:id="rId13"/>
    <sheet name="NFO" sheetId="14" r:id="rId14"/>
    <sheet name="TOT" sheetId="15" r:id="rId15"/>
    <sheet name="WHU" sheetId="16" r:id="rId16"/>
    <sheet name="WOL" sheetId="17" r:id="rId17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LIV!$I$2:$I$3</definedName>
    <definedName name="solver_adj" localSheetId="10" hidden="1">MCI!$I$2:$I$3</definedName>
    <definedName name="solver_adj" localSheetId="11" hidden="1">MUN!$I$2:$I$3</definedName>
    <definedName name="solver_adj" localSheetId="12" hidden="1">NEW!$I$2:$I$3</definedName>
    <definedName name="solver_adj" localSheetId="13" hidden="1">NFO!$I$2:$I$3</definedName>
    <definedName name="solver_adj" localSheetId="14" hidden="1">TOT!$I$2:$I$3</definedName>
    <definedName name="solver_adj" localSheetId="15" hidden="1">WHU!$I$2:$I$3</definedName>
    <definedName name="solver_adj" localSheetId="16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LIV!$I$5</definedName>
    <definedName name="solver_opt" localSheetId="10" hidden="1">MCI!$I$5</definedName>
    <definedName name="solver_opt" localSheetId="11" hidden="1">MUN!$I$5</definedName>
    <definedName name="solver_opt" localSheetId="12" hidden="1">NEW!$I$5</definedName>
    <definedName name="solver_opt" localSheetId="13" hidden="1">NFO!$I$5</definedName>
    <definedName name="solver_opt" localSheetId="14" hidden="1">TOT!$I$5</definedName>
    <definedName name="solver_opt" localSheetId="15" hidden="1">WHU!$I$5</definedName>
    <definedName name="solver_opt" localSheetId="16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7" l="1"/>
  <c r="F8" i="17" s="1"/>
  <c r="D7" i="17"/>
  <c r="F7" i="17" s="1"/>
  <c r="D6" i="17"/>
  <c r="F6" i="17" s="1"/>
  <c r="D5" i="17"/>
  <c r="F5" i="17" s="1"/>
  <c r="D4" i="17"/>
  <c r="F4" i="17" s="1"/>
  <c r="D3" i="17"/>
  <c r="F3" i="17" s="1"/>
  <c r="D2" i="17"/>
  <c r="D7" i="16"/>
  <c r="F7" i="16" s="1"/>
  <c r="D6" i="16"/>
  <c r="F6" i="16" s="1"/>
  <c r="D5" i="16"/>
  <c r="F5" i="16" s="1"/>
  <c r="D4" i="16"/>
  <c r="F4" i="16" s="1"/>
  <c r="D3" i="16"/>
  <c r="F3" i="16" s="1"/>
  <c r="D2" i="16"/>
  <c r="D5" i="15"/>
  <c r="F5" i="15" s="1"/>
  <c r="D4" i="15"/>
  <c r="F4" i="15" s="1"/>
  <c r="D3" i="15"/>
  <c r="F3" i="15" s="1"/>
  <c r="D2" i="15"/>
  <c r="F2" i="15" s="1"/>
  <c r="D6" i="14"/>
  <c r="F6" i="14" s="1"/>
  <c r="D5" i="14"/>
  <c r="F5" i="14" s="1"/>
  <c r="D4" i="14"/>
  <c r="F4" i="14" s="1"/>
  <c r="D3" i="14"/>
  <c r="F3" i="14" s="1"/>
  <c r="D2" i="14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F2" i="12" s="1"/>
  <c r="D7" i="11"/>
  <c r="F7" i="11" s="1"/>
  <c r="D6" i="11"/>
  <c r="F6" i="11" s="1"/>
  <c r="D5" i="11"/>
  <c r="F5" i="11" s="1"/>
  <c r="D4" i="11"/>
  <c r="F4" i="11" s="1"/>
  <c r="D3" i="11"/>
  <c r="F3" i="11" s="1"/>
  <c r="D2" i="11"/>
  <c r="F2" i="11" s="1"/>
  <c r="D7" i="10"/>
  <c r="F7" i="10" s="1"/>
  <c r="D6" i="10"/>
  <c r="F6" i="10" s="1"/>
  <c r="D5" i="10"/>
  <c r="F5" i="10" s="1"/>
  <c r="D4" i="10"/>
  <c r="F4" i="10" s="1"/>
  <c r="D3" i="10"/>
  <c r="F3" i="10" s="1"/>
  <c r="D2" i="10"/>
  <c r="D8" i="9"/>
  <c r="F8" i="9" s="1"/>
  <c r="D7" i="9"/>
  <c r="F7" i="9" s="1"/>
  <c r="D6" i="9"/>
  <c r="F6" i="9" s="1"/>
  <c r="D5" i="9"/>
  <c r="F5" i="9" s="1"/>
  <c r="D4" i="9"/>
  <c r="D3" i="9"/>
  <c r="F3" i="9" s="1"/>
  <c r="D2" i="9"/>
  <c r="F2" i="9" s="1"/>
  <c r="I5" i="8"/>
  <c r="D2" i="8"/>
  <c r="F2" i="8" s="1"/>
  <c r="I7" i="8" s="1"/>
  <c r="D12" i="7"/>
  <c r="F12" i="7" s="1"/>
  <c r="D11" i="7"/>
  <c r="F11" i="7" s="1"/>
  <c r="D10" i="7"/>
  <c r="F10" i="7" s="1"/>
  <c r="D9" i="7"/>
  <c r="F9" i="7" s="1"/>
  <c r="D8" i="7"/>
  <c r="F8" i="7" s="1"/>
  <c r="D7" i="7"/>
  <c r="F7" i="7" s="1"/>
  <c r="D6" i="7"/>
  <c r="F6" i="7" s="1"/>
  <c r="D5" i="7"/>
  <c r="D4" i="7"/>
  <c r="F4" i="7" s="1"/>
  <c r="D3" i="7"/>
  <c r="F3" i="7" s="1"/>
  <c r="D2" i="7"/>
  <c r="F2" i="7" s="1"/>
  <c r="D7" i="6"/>
  <c r="F7" i="6" s="1"/>
  <c r="D6" i="6"/>
  <c r="F6" i="6" s="1"/>
  <c r="D5" i="6"/>
  <c r="F5" i="6" s="1"/>
  <c r="D4" i="6"/>
  <c r="F4" i="6" s="1"/>
  <c r="D3" i="6"/>
  <c r="F3" i="6" s="1"/>
  <c r="D2" i="6"/>
  <c r="F2" i="6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4" i="3"/>
  <c r="F4" i="3" s="1"/>
  <c r="D3" i="3"/>
  <c r="F3" i="3" s="1"/>
  <c r="D2" i="3"/>
  <c r="F2" i="3" s="1"/>
  <c r="D7" i="2"/>
  <c r="D6" i="2"/>
  <c r="F6" i="2" s="1"/>
  <c r="D5" i="2"/>
  <c r="F5" i="2" s="1"/>
  <c r="D4" i="2"/>
  <c r="F4" i="2" s="1"/>
  <c r="D3" i="2"/>
  <c r="F3" i="2" s="1"/>
  <c r="D2" i="2"/>
  <c r="F2" i="2" s="1"/>
  <c r="D9" i="1"/>
  <c r="F9" i="1" s="1"/>
  <c r="D8" i="1"/>
  <c r="F8" i="1" s="1"/>
  <c r="D7" i="1"/>
  <c r="F7" i="1" s="1"/>
  <c r="D6" i="1"/>
  <c r="F6" i="1" s="1"/>
  <c r="D5" i="1"/>
  <c r="D4" i="1"/>
  <c r="F4" i="1" s="1"/>
  <c r="D3" i="1"/>
  <c r="F3" i="1" s="1"/>
  <c r="D2" i="1"/>
  <c r="I5" i="17" l="1" a="1"/>
  <c r="I5" i="17" s="1"/>
  <c r="F2" i="17"/>
  <c r="I7" i="17" s="1"/>
  <c r="I5" i="16" a="1"/>
  <c r="I5" i="16" s="1"/>
  <c r="F2" i="16"/>
  <c r="I7" i="16" s="1"/>
  <c r="I5" i="15" a="1"/>
  <c r="I5" i="15" s="1"/>
  <c r="I7" i="15"/>
  <c r="I5" i="14" a="1"/>
  <c r="I5" i="14" s="1"/>
  <c r="F2" i="14"/>
  <c r="I7" i="14" s="1"/>
  <c r="I5" i="13" a="1"/>
  <c r="I5" i="13" s="1"/>
  <c r="F2" i="13"/>
  <c r="I7" i="13" s="1"/>
  <c r="I7" i="12"/>
  <c r="I5" i="12" a="1"/>
  <c r="I5" i="12" s="1"/>
  <c r="I5" i="11" a="1"/>
  <c r="I5" i="11" s="1"/>
  <c r="I7" i="11"/>
  <c r="I5" i="10" a="1"/>
  <c r="I5" i="10" s="1"/>
  <c r="F2" i="10"/>
  <c r="I7" i="10" s="1"/>
  <c r="I5" i="9" a="1"/>
  <c r="I5" i="9" s="1"/>
  <c r="F4" i="9"/>
  <c r="I7" i="9" s="1"/>
  <c r="I5" i="7" a="1"/>
  <c r="I5" i="7" s="1"/>
  <c r="F5" i="7"/>
  <c r="I7" i="7" s="1"/>
  <c r="I5" i="6" a="1"/>
  <c r="I5" i="6" s="1"/>
  <c r="I5" i="5" a="1"/>
  <c r="I5" i="5" s="1"/>
  <c r="F2" i="5"/>
  <c r="I7" i="5" s="1"/>
  <c r="I5" i="4" a="1"/>
  <c r="I5" i="4" s="1"/>
  <c r="I5" i="3" a="1"/>
  <c r="I5" i="3" s="1"/>
  <c r="I7" i="3"/>
  <c r="I5" i="2" a="1"/>
  <c r="I5" i="2" s="1"/>
  <c r="F7" i="2"/>
  <c r="I7" i="2" s="1"/>
  <c r="I5" i="1" a="1"/>
  <c r="I5" i="1" s="1"/>
  <c r="F2" i="1"/>
  <c r="I7" i="4"/>
  <c r="I7" i="6"/>
  <c r="F5" i="1"/>
  <c r="I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<sst xmlns="http://schemas.openxmlformats.org/spreadsheetml/2006/main" count="275" uniqueCount="113">
  <si>
    <t>Name</t>
  </si>
  <si>
    <t>ARIMAPP</t>
  </si>
  <si>
    <t>LSTMPP</t>
  </si>
  <si>
    <t>PP</t>
  </si>
  <si>
    <t>AP</t>
  </si>
  <si>
    <t>DIFF</t>
  </si>
  <si>
    <t>Martinelli</t>
  </si>
  <si>
    <t>ARIMA</t>
  </si>
  <si>
    <t>Nketiah</t>
  </si>
  <si>
    <t>LSTM</t>
  </si>
  <si>
    <t>Ødegaard</t>
  </si>
  <si>
    <t>Ramsdale</t>
  </si>
  <si>
    <t>OFF</t>
  </si>
  <si>
    <t>Saka</t>
  </si>
  <si>
    <t>Saliba</t>
  </si>
  <si>
    <t>AVG</t>
  </si>
  <si>
    <t>White</t>
  </si>
  <si>
    <t>Rice</t>
  </si>
  <si>
    <t>Cash</t>
  </si>
  <si>
    <t>Digne</t>
  </si>
  <si>
    <t>Douglas Luiz</t>
  </si>
  <si>
    <t>Konsa</t>
  </si>
  <si>
    <t>McGinn</t>
  </si>
  <si>
    <t>Watkins</t>
  </si>
  <si>
    <t>Billing</t>
  </si>
  <si>
    <t>Neto</t>
  </si>
  <si>
    <t>Solanke</t>
  </si>
  <si>
    <t>Henry</t>
  </si>
  <si>
    <t>Hickey</t>
  </si>
  <si>
    <t>Janelt</t>
  </si>
  <si>
    <t>Jensen</t>
  </si>
  <si>
    <t>Mbeumo</t>
  </si>
  <si>
    <t>Nørgaard</t>
  </si>
  <si>
    <t>Pinnock</t>
  </si>
  <si>
    <t>Wissa</t>
  </si>
  <si>
    <t>Estupiñan</t>
  </si>
  <si>
    <t>Ferguson</t>
  </si>
  <si>
    <t>Gross</t>
  </si>
  <si>
    <t>João Pedro</t>
  </si>
  <si>
    <t>March</t>
  </si>
  <si>
    <t>Mitoma</t>
  </si>
  <si>
    <t>Veltman</t>
  </si>
  <si>
    <t>Sanchez</t>
  </si>
  <si>
    <t>Chilwell</t>
  </si>
  <si>
    <t>Colwill</t>
  </si>
  <si>
    <t>Gallagher</t>
  </si>
  <si>
    <t>Sterling</t>
  </si>
  <si>
    <t>T.Silva</t>
  </si>
  <si>
    <t>Andersen</t>
  </si>
  <si>
    <t>J.Ayew</t>
  </si>
  <si>
    <t>C.Doucouré</t>
  </si>
  <si>
    <t>Edouard</t>
  </si>
  <si>
    <t>Eze</t>
  </si>
  <si>
    <t>Guéhi</t>
  </si>
  <si>
    <t>Johnstone</t>
  </si>
  <si>
    <t>Lerma</t>
  </si>
  <si>
    <t>Mitchell</t>
  </si>
  <si>
    <t>Schlupp</t>
  </si>
  <si>
    <t>Ward</t>
  </si>
  <si>
    <t>A.Doucoure</t>
  </si>
  <si>
    <t>Andreas</t>
  </si>
  <si>
    <t>Diop</t>
  </si>
  <si>
    <t>Leno</t>
  </si>
  <si>
    <t>Reed</t>
  </si>
  <si>
    <t>Robinson</t>
  </si>
  <si>
    <t>Tete</t>
  </si>
  <si>
    <t>Wilson</t>
  </si>
  <si>
    <t>A.Becker</t>
  </si>
  <si>
    <t>Darwin</t>
  </si>
  <si>
    <t>Diogo J.</t>
  </si>
  <si>
    <t>Luis Díaz</t>
  </si>
  <si>
    <t>Robertson</t>
  </si>
  <si>
    <t>Salah</t>
  </si>
  <si>
    <t>J.Alvarez</t>
  </si>
  <si>
    <t>Ederson M.</t>
  </si>
  <si>
    <t>Foden</t>
  </si>
  <si>
    <t>Haaland</t>
  </si>
  <si>
    <t>Rodrigo</t>
  </si>
  <si>
    <t>Walker</t>
  </si>
  <si>
    <t>Antony</t>
  </si>
  <si>
    <t>B.Fernandes</t>
  </si>
  <si>
    <t>Casemiro</t>
  </si>
  <si>
    <t>Eriksen</t>
  </si>
  <si>
    <t>R.Varane</t>
  </si>
  <si>
    <t>Rashford</t>
  </si>
  <si>
    <t>Wan-Bissaka</t>
  </si>
  <si>
    <t>Almirón</t>
  </si>
  <si>
    <t>Botman</t>
  </si>
  <si>
    <t>Gordon</t>
  </si>
  <si>
    <t>Isak</t>
  </si>
  <si>
    <t>Pope</t>
  </si>
  <si>
    <t>Barnes</t>
  </si>
  <si>
    <t>Awoniyi</t>
  </si>
  <si>
    <t>Boly</t>
  </si>
  <si>
    <t>Gibbs-White</t>
  </si>
  <si>
    <t>Johnson</t>
  </si>
  <si>
    <t>Wood</t>
  </si>
  <si>
    <t>Kulusevski</t>
  </si>
  <si>
    <t>Maddison</t>
  </si>
  <si>
    <t>Romero</t>
  </si>
  <si>
    <t>Son</t>
  </si>
  <si>
    <t>Antonio</t>
  </si>
  <si>
    <t>Areola</t>
  </si>
  <si>
    <t>Benrahma</t>
  </si>
  <si>
    <t>Bowen</t>
  </si>
  <si>
    <t>L.Paquetá</t>
  </si>
  <si>
    <t>Zouma</t>
  </si>
  <si>
    <t>Bueno</t>
  </si>
  <si>
    <t>Dawson</t>
  </si>
  <si>
    <t>Hee Chan</t>
  </si>
  <si>
    <t>Kilman</t>
  </si>
  <si>
    <t>José Sá</t>
  </si>
  <si>
    <t>N.Semedo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</si>
</sst>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9">
  <autoFilter ref="A1:F9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7">
  <autoFilter ref="A1:F7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4">
  <autoFilter ref="A1:F4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9">
  <autoFilter ref="A1:F9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8">
  <autoFilter ref="A1:F8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7">
  <autoFilter ref="A1:F7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2">
  <autoFilter ref="A1:F12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2">
  <autoFilter ref="A1:F2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8">
  <autoFilter ref="A1:F8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IV" displayName="TableLIV" ref="A1:F7">
  <autoFilter ref="A1:F7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MCI" displayName="TableMCI" ref="A1:F7">
  <autoFilter ref="A1:F7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UN" displayName="TableMUN" ref="A1:F8">
  <autoFilter ref="A1:F8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NEW" displayName="TableNEW" ref="A1:F8">
  <autoFilter ref="A1:F8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FO" displayName="TableNFO" ref="A1:F6">
  <autoFilter ref="A1:F6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TOT" displayName="TableTOT" ref="A1:F5">
  <autoFilter ref="A1:F5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WHU" displayName="TableWHU" ref="A1:F7">
  <autoFilter ref="A1:F7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WOL" displayName="TableWOL" ref="A1:F8">
  <autoFilter ref="A1:F8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50.572528326422059</v>
      </c>
      <c r="C2">
        <v>58.124677076689544</v>
      </c>
      <c r="D2">
        <f t="shared" ref="D2:D9" si="0">B2*$I$2+C2*$I$3</f>
        <v>44.537060186513003</v>
      </c>
      <c r="E2">
        <v>46</v>
      </c>
      <c r="F2">
        <f t="shared" ref="F2:F9" si="1">ABS(D2-E2)</f>
        <v>1.4629398134869973</v>
      </c>
      <c r="H2" t="s">
        <v>7</v>
      </c>
      <c r="I2">
        <v>0.38679402402356039</v>
      </c>
    </row>
    <row r="3" spans="1:9" x14ac:dyDescent="0.3">
      <c r="A3" t="s">
        <v>8</v>
      </c>
      <c r="B3">
        <v>20.764543258713601</v>
      </c>
      <c r="C3">
        <v>44.548518063539895</v>
      </c>
      <c r="D3">
        <f t="shared" si="0"/>
        <v>27.173896129819784</v>
      </c>
      <c r="E3">
        <v>28</v>
      </c>
      <c r="F3">
        <f t="shared" si="1"/>
        <v>0.82610387018021569</v>
      </c>
      <c r="H3" t="s">
        <v>9</v>
      </c>
      <c r="I3">
        <v>0.42969543584969211</v>
      </c>
    </row>
    <row r="4" spans="1:9" x14ac:dyDescent="0.3">
      <c r="A4" t="s">
        <v>10</v>
      </c>
      <c r="B4">
        <v>42.313781378846656</v>
      </c>
      <c r="C4">
        <v>52.296826874850261</v>
      </c>
      <c r="D4">
        <f t="shared" si="0"/>
        <v>38.838425588721975</v>
      </c>
      <c r="E4">
        <v>63</v>
      </c>
      <c r="F4">
        <f t="shared" si="1"/>
        <v>24.161574411278025</v>
      </c>
    </row>
    <row r="5" spans="1:9" x14ac:dyDescent="0.3">
      <c r="A5" t="s">
        <v>11</v>
      </c>
      <c r="B5">
        <v>55.096774232405494</v>
      </c>
      <c r="C5">
        <v>38.545037895834511</v>
      </c>
      <c r="D5">
        <f t="shared" si="0"/>
        <v>37.873729874563239</v>
      </c>
      <c r="E5">
        <v>29</v>
      </c>
      <c r="F5">
        <f t="shared" si="1"/>
        <v>8.8737298745632387</v>
      </c>
      <c r="H5" t="s">
        <v>12</v>
      </c>
      <c r="I5" cm="1">
        <f t="array" ref="I5">(SUM(TableARS[PP]-TableARS[AP]))^2</f>
        <v>6.1846694969327326E-28</v>
      </c>
    </row>
    <row r="6" spans="1:9" x14ac:dyDescent="0.3">
      <c r="A6" t="s">
        <v>13</v>
      </c>
      <c r="B6">
        <v>46.556717404585754</v>
      </c>
      <c r="C6">
        <v>58.838905908078758</v>
      </c>
      <c r="D6">
        <f t="shared" si="0"/>
        <v>43.290669389338376</v>
      </c>
      <c r="E6">
        <v>44</v>
      </c>
      <c r="F6">
        <f t="shared" si="1"/>
        <v>0.70933061066162395</v>
      </c>
    </row>
    <row r="7" spans="1:9" x14ac:dyDescent="0.3">
      <c r="A7" t="s">
        <v>14</v>
      </c>
      <c r="B7">
        <v>48.344415349514207</v>
      </c>
      <c r="C7">
        <v>53.030202522027622</v>
      </c>
      <c r="D7">
        <f t="shared" si="0"/>
        <v>41.486166938005084</v>
      </c>
      <c r="E7">
        <v>33</v>
      </c>
      <c r="F7">
        <f t="shared" si="1"/>
        <v>8.4861669380050841</v>
      </c>
      <c r="H7" t="s">
        <v>15</v>
      </c>
      <c r="I7">
        <f>AVERAGE(TableARS[DIFF])/10</f>
        <v>0.83384203486483133</v>
      </c>
    </row>
    <row r="8" spans="1:9" x14ac:dyDescent="0.3">
      <c r="A8" t="s">
        <v>16</v>
      </c>
      <c r="B8">
        <v>58.868252360797946</v>
      </c>
      <c r="C8">
        <v>49.392882943214587</v>
      </c>
      <c r="D8">
        <f t="shared" si="0"/>
        <v>43.993784582024915</v>
      </c>
      <c r="E8">
        <v>28</v>
      </c>
      <c r="F8">
        <f t="shared" si="1"/>
        <v>15.993784582024915</v>
      </c>
    </row>
    <row r="9" spans="1:9" x14ac:dyDescent="0.3">
      <c r="A9" t="s">
        <v>17</v>
      </c>
      <c r="B9">
        <v>23.488004981142261</v>
      </c>
      <c r="C9">
        <v>29.605265233773761</v>
      </c>
      <c r="D9">
        <f t="shared" si="0"/>
        <v>21.806267311013599</v>
      </c>
      <c r="E9">
        <v>28</v>
      </c>
      <c r="F9">
        <f t="shared" si="1"/>
        <v>6.1937326889864011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18</v>
      </c>
      <c r="B2">
        <v>13.972071778449671</v>
      </c>
      <c r="C2">
        <v>36.522951234589165</v>
      </c>
      <c r="D2">
        <f t="shared" ref="D2:D7" si="0">B2*$I$2+C2*$I$3</f>
        <v>30.606780513290126</v>
      </c>
      <c r="E2">
        <v>53</v>
      </c>
      <c r="F2">
        <f t="shared" ref="F2:F7" si="1">ABS(D2-E2)</f>
        <v>22.393219486709874</v>
      </c>
      <c r="H2" t="s">
        <v>7</v>
      </c>
      <c r="I2">
        <v>0.52261006115732755</v>
      </c>
    </row>
    <row r="3" spans="1:9" x14ac:dyDescent="0.3">
      <c r="A3" t="s">
        <v>19</v>
      </c>
      <c r="B3">
        <v>30.410448742490534</v>
      </c>
      <c r="C3">
        <v>29.103959416238791</v>
      </c>
      <c r="D3">
        <f t="shared" si="0"/>
        <v>34.463676456461428</v>
      </c>
      <c r="E3">
        <v>21</v>
      </c>
      <c r="F3">
        <f t="shared" si="1"/>
        <v>13.463676456461428</v>
      </c>
      <c r="H3" t="s">
        <v>9</v>
      </c>
      <c r="I3">
        <v>0.63808740638103378</v>
      </c>
    </row>
    <row r="4" spans="1:9" x14ac:dyDescent="0.3">
      <c r="A4" t="s">
        <v>20</v>
      </c>
      <c r="B4">
        <v>25.397477280752845</v>
      </c>
      <c r="C4">
        <v>34.935136231819833</v>
      </c>
      <c r="D4">
        <f t="shared" si="0"/>
        <v>35.56464762466608</v>
      </c>
      <c r="E4">
        <v>40</v>
      </c>
      <c r="F4">
        <f t="shared" si="1"/>
        <v>4.4353523753339203</v>
      </c>
    </row>
    <row r="5" spans="1:9" x14ac:dyDescent="0.3">
      <c r="A5" t="s">
        <v>21</v>
      </c>
      <c r="B5">
        <v>27.7089112771632</v>
      </c>
      <c r="C5">
        <v>31.315469616388398</v>
      </c>
      <c r="D5">
        <f t="shared" si="0"/>
        <v>34.46296260428656</v>
      </c>
      <c r="E5">
        <v>35</v>
      </c>
      <c r="F5">
        <f t="shared" si="1"/>
        <v>0.53703739571344045</v>
      </c>
      <c r="H5" t="s">
        <v>12</v>
      </c>
      <c r="I5" cm="1">
        <f t="array" ref="I5">(SUM(TableAVL[PP]-TableAVL[AP]))^2</f>
        <v>8.0779356694631609E-28</v>
      </c>
    </row>
    <row r="6" spans="1:9" x14ac:dyDescent="0.3">
      <c r="A6" t="s">
        <v>22</v>
      </c>
      <c r="B6">
        <v>30.056615193634212</v>
      </c>
      <c r="C6">
        <v>32.662242944934171</v>
      </c>
      <c r="D6">
        <f t="shared" si="0"/>
        <v>36.549255391847701</v>
      </c>
      <c r="E6">
        <v>33</v>
      </c>
      <c r="F6">
        <f t="shared" si="1"/>
        <v>3.5492553918477014</v>
      </c>
    </row>
    <row r="7" spans="1:9" x14ac:dyDescent="0.3">
      <c r="A7" t="s">
        <v>23</v>
      </c>
      <c r="B7">
        <v>49.915939481329985</v>
      </c>
      <c r="C7">
        <v>52.134088357982584</v>
      </c>
      <c r="D7">
        <f t="shared" si="0"/>
        <v>59.352677409448077</v>
      </c>
      <c r="E7">
        <v>49</v>
      </c>
      <c r="F7">
        <f t="shared" si="1"/>
        <v>10.352677409448077</v>
      </c>
      <c r="H7" t="s">
        <v>15</v>
      </c>
      <c r="I7">
        <f>AVERAGE(TableAVL[DIFF])/10</f>
        <v>0.91218697525857395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24</v>
      </c>
      <c r="B2">
        <v>35.356911329427241</v>
      </c>
      <c r="C2">
        <v>39.922855932016766</v>
      </c>
      <c r="D2">
        <f>B2*$I$2+C2*$I$3</f>
        <v>39.864747150030738</v>
      </c>
      <c r="E2">
        <v>32</v>
      </c>
      <c r="F2">
        <f>ABS(D2-E2)</f>
        <v>7.8647471500307375</v>
      </c>
      <c r="H2" t="s">
        <v>7</v>
      </c>
      <c r="I2">
        <v>0.48364733668063409</v>
      </c>
    </row>
    <row r="3" spans="1:9" x14ac:dyDescent="0.3">
      <c r="A3" t="s">
        <v>25</v>
      </c>
      <c r="B3">
        <v>34.900335480132242</v>
      </c>
      <c r="C3">
        <v>45.911711748208482</v>
      </c>
      <c r="D3">
        <f>B3*$I$2+C3*$I$3</f>
        <v>43.058839852809598</v>
      </c>
      <c r="E3">
        <v>40</v>
      </c>
      <c r="F3">
        <f>ABS(D3-E3)</f>
        <v>3.0588398528095979</v>
      </c>
      <c r="H3" t="s">
        <v>9</v>
      </c>
      <c r="I3">
        <v>0.570211489655568</v>
      </c>
    </row>
    <row r="4" spans="1:9" x14ac:dyDescent="0.3">
      <c r="A4" t="s">
        <v>26</v>
      </c>
      <c r="B4">
        <v>35.286710931852603</v>
      </c>
      <c r="C4">
        <v>38.599869757175128</v>
      </c>
      <c r="D4">
        <f>B4*$I$2+C4*$I$3</f>
        <v>39.076412997159665</v>
      </c>
      <c r="E4">
        <v>50</v>
      </c>
      <c r="F4">
        <f>ABS(D4-E4)</f>
        <v>10.923587002840335</v>
      </c>
    </row>
    <row r="5" spans="1:9" x14ac:dyDescent="0.3">
      <c r="H5" t="s">
        <v>12</v>
      </c>
      <c r="I5" cm="1">
        <f t="array" ref="I5">(SUM(TableBOU[PP]-TableBOU[AP]))^2</f>
        <v>0</v>
      </c>
    </row>
    <row r="7" spans="1:9" x14ac:dyDescent="0.3">
      <c r="H7" t="s">
        <v>15</v>
      </c>
      <c r="I7">
        <f>AVERAGE(TableBOU[DIFF])/10</f>
        <v>0.72823913352268899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27</v>
      </c>
      <c r="B2">
        <v>39.112842456117647</v>
      </c>
      <c r="C2">
        <v>33.888043494930372</v>
      </c>
      <c r="D2">
        <f t="shared" ref="D2:D9" si="0">B2*$I$2+C2*$I$3</f>
        <v>33.270663558788925</v>
      </c>
      <c r="E2">
        <v>31</v>
      </c>
      <c r="F2">
        <f t="shared" ref="F2:F9" si="1">ABS(D2-E2)</f>
        <v>2.2706635587889252</v>
      </c>
      <c r="H2" t="s">
        <v>7</v>
      </c>
      <c r="I2">
        <v>0.44050532723234453</v>
      </c>
    </row>
    <row r="3" spans="1:9" x14ac:dyDescent="0.3">
      <c r="A3" t="s">
        <v>28</v>
      </c>
      <c r="B3">
        <v>23.78730663921252</v>
      </c>
      <c r="C3">
        <v>49.513546654860825</v>
      </c>
      <c r="D3">
        <f t="shared" si="0"/>
        <v>33.916173328171645</v>
      </c>
      <c r="E3">
        <v>21</v>
      </c>
      <c r="F3">
        <f t="shared" si="1"/>
        <v>12.916173328171645</v>
      </c>
      <c r="H3" t="s">
        <v>9</v>
      </c>
      <c r="I3">
        <v>0.47336011286899593</v>
      </c>
    </row>
    <row r="4" spans="1:9" x14ac:dyDescent="0.3">
      <c r="A4" t="s">
        <v>29</v>
      </c>
      <c r="B4">
        <v>33.392191634615131</v>
      </c>
      <c r="C4">
        <v>29.357958486837067</v>
      </c>
      <c r="D4">
        <f t="shared" si="0"/>
        <v>28.606324845943789</v>
      </c>
      <c r="E4">
        <v>21</v>
      </c>
      <c r="F4">
        <f t="shared" si="1"/>
        <v>7.6063248459437887</v>
      </c>
    </row>
    <row r="5" spans="1:9" x14ac:dyDescent="0.3">
      <c r="A5" t="s">
        <v>30</v>
      </c>
      <c r="B5">
        <v>27.882821776726352</v>
      </c>
      <c r="C5">
        <v>37.157229151939134</v>
      </c>
      <c r="D5">
        <f t="shared" si="0"/>
        <v>29.871281716179041</v>
      </c>
      <c r="E5">
        <v>27</v>
      </c>
      <c r="F5">
        <f t="shared" si="1"/>
        <v>2.8712817161790412</v>
      </c>
      <c r="H5" t="s">
        <v>12</v>
      </c>
      <c r="I5" cm="1">
        <f t="array" ref="I5">(SUM(TableBRE[PP]-TableBRE[AP]))^2</f>
        <v>1.135959703518257E-28</v>
      </c>
    </row>
    <row r="6" spans="1:9" x14ac:dyDescent="0.3">
      <c r="A6" t="s">
        <v>31</v>
      </c>
      <c r="B6">
        <v>34.768605670597552</v>
      </c>
      <c r="C6">
        <v>35.80103504473189</v>
      </c>
      <c r="D6">
        <f t="shared" si="0"/>
        <v>32.262538007940094</v>
      </c>
      <c r="E6">
        <v>53</v>
      </c>
      <c r="F6">
        <f t="shared" si="1"/>
        <v>20.737461992059906</v>
      </c>
    </row>
    <row r="7" spans="1:9" x14ac:dyDescent="0.3">
      <c r="A7" t="s">
        <v>32</v>
      </c>
      <c r="B7">
        <v>31.583300246734456</v>
      </c>
      <c r="C7">
        <v>34.28902871033128</v>
      </c>
      <c r="D7">
        <f t="shared" si="0"/>
        <v>30.143670510755808</v>
      </c>
      <c r="E7">
        <v>31</v>
      </c>
      <c r="F7">
        <f t="shared" si="1"/>
        <v>0.85632948924419239</v>
      </c>
      <c r="H7" t="s">
        <v>15</v>
      </c>
      <c r="I7">
        <f>AVERAGE(TableBRE[DIFF])/10</f>
        <v>0.64161108622708518</v>
      </c>
    </row>
    <row r="8" spans="1:9" x14ac:dyDescent="0.3">
      <c r="A8" t="s">
        <v>33</v>
      </c>
      <c r="B8">
        <v>31.13252457672321</v>
      </c>
      <c r="C8">
        <v>34.073838882675261</v>
      </c>
      <c r="D8">
        <f t="shared" si="0"/>
        <v>29.84323914562161</v>
      </c>
      <c r="E8">
        <v>31</v>
      </c>
      <c r="F8">
        <f t="shared" si="1"/>
        <v>1.1567608543783905</v>
      </c>
    </row>
    <row r="9" spans="1:9" x14ac:dyDescent="0.3">
      <c r="A9" t="s">
        <v>34</v>
      </c>
      <c r="B9">
        <v>44.888888789594375</v>
      </c>
      <c r="C9">
        <v>32.348129521171181</v>
      </c>
      <c r="D9">
        <f t="shared" si="0"/>
        <v>35.086108886599078</v>
      </c>
      <c r="E9">
        <v>38</v>
      </c>
      <c r="F9">
        <f t="shared" si="1"/>
        <v>2.913891113400922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35</v>
      </c>
      <c r="B2">
        <v>34.584631588439478</v>
      </c>
      <c r="C2">
        <v>58.795432224787731</v>
      </c>
      <c r="D2">
        <f t="shared" ref="D2:D8" si="0">B2*$I$2+C2*$I$3</f>
        <v>37.390582441352478</v>
      </c>
      <c r="E2">
        <v>36</v>
      </c>
      <c r="F2">
        <f t="shared" ref="F2:F8" si="1">ABS(D2-E2)</f>
        <v>1.3905824413524783</v>
      </c>
      <c r="H2" t="s">
        <v>7</v>
      </c>
      <c r="I2">
        <v>0.34402432742874312</v>
      </c>
    </row>
    <row r="3" spans="1:9" x14ac:dyDescent="0.3">
      <c r="A3" t="s">
        <v>36</v>
      </c>
      <c r="B3">
        <v>53</v>
      </c>
      <c r="C3">
        <v>64.515779507208848</v>
      </c>
      <c r="D3">
        <f t="shared" si="0"/>
        <v>46.206155497330933</v>
      </c>
      <c r="E3">
        <v>22</v>
      </c>
      <c r="F3">
        <f t="shared" si="1"/>
        <v>24.206155497330933</v>
      </c>
      <c r="H3" t="s">
        <v>9</v>
      </c>
      <c r="I3">
        <v>0.43358177421512706</v>
      </c>
    </row>
    <row r="4" spans="1:9" x14ac:dyDescent="0.3">
      <c r="A4" t="s">
        <v>37</v>
      </c>
      <c r="B4">
        <v>48.692134572154217</v>
      </c>
      <c r="C4">
        <v>43.34531897020608</v>
      </c>
      <c r="D4">
        <f t="shared" si="0"/>
        <v>35.54501915027776</v>
      </c>
      <c r="E4">
        <v>42</v>
      </c>
      <c r="F4">
        <f t="shared" si="1"/>
        <v>6.4549808497222401</v>
      </c>
    </row>
    <row r="5" spans="1:9" x14ac:dyDescent="0.3">
      <c r="A5" t="s">
        <v>38</v>
      </c>
      <c r="B5">
        <v>22.500122796571805</v>
      </c>
      <c r="C5">
        <v>39.738500008863753</v>
      </c>
      <c r="D5">
        <f t="shared" si="0"/>
        <v>24.970478950645735</v>
      </c>
      <c r="E5">
        <v>25</v>
      </c>
      <c r="F5">
        <f t="shared" si="1"/>
        <v>2.9521049354265472E-2</v>
      </c>
      <c r="H5" t="s">
        <v>12</v>
      </c>
      <c r="I5" cm="1">
        <f t="array" ref="I5">(SUM(TableBHA[PP]-TableBHA[AP]))^2</f>
        <v>2.1330798877176159E-27</v>
      </c>
    </row>
    <row r="6" spans="1:9" x14ac:dyDescent="0.3">
      <c r="A6" t="s">
        <v>39</v>
      </c>
      <c r="B6">
        <v>64.956521739130437</v>
      </c>
      <c r="C6">
        <v>60.546843435263639</v>
      </c>
      <c r="D6">
        <f t="shared" si="0"/>
        <v>48.598631503202007</v>
      </c>
      <c r="E6">
        <v>57</v>
      </c>
      <c r="F6">
        <f t="shared" si="1"/>
        <v>8.4013684967979927</v>
      </c>
    </row>
    <row r="7" spans="1:9" x14ac:dyDescent="0.3">
      <c r="A7" t="s">
        <v>40</v>
      </c>
      <c r="B7">
        <v>37.753922174688476</v>
      </c>
      <c r="C7">
        <v>70.13110336787669</v>
      </c>
      <c r="D7">
        <f t="shared" si="0"/>
        <v>43.395835909852764</v>
      </c>
      <c r="E7">
        <v>41</v>
      </c>
      <c r="F7">
        <f t="shared" si="1"/>
        <v>2.3958359098527637</v>
      </c>
      <c r="H7" t="s">
        <v>15</v>
      </c>
      <c r="I7">
        <f>AVERAGE(TableBHA[DIFF])/10</f>
        <v>0.79978782424389139</v>
      </c>
    </row>
    <row r="8" spans="1:9" x14ac:dyDescent="0.3">
      <c r="A8" t="s">
        <v>41</v>
      </c>
      <c r="B8">
        <v>32.736842105136404</v>
      </c>
      <c r="C8">
        <v>33.744560611347097</v>
      </c>
      <c r="D8">
        <f t="shared" si="0"/>
        <v>25.893296547338277</v>
      </c>
      <c r="E8">
        <v>39</v>
      </c>
      <c r="F8">
        <f t="shared" si="1"/>
        <v>13.106703452661723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42</v>
      </c>
      <c r="B2">
        <v>52.419027030068818</v>
      </c>
      <c r="C2">
        <v>35.066781872729202</v>
      </c>
      <c r="D2">
        <f t="shared" ref="D2:D7" si="0">B2*$I$2+C2*$I$3</f>
        <v>32.178094585496289</v>
      </c>
      <c r="E2">
        <v>34</v>
      </c>
      <c r="F2">
        <f t="shared" ref="F2:F7" si="1">ABS(D2-E2)</f>
        <v>1.8219054145037106</v>
      </c>
      <c r="H2" t="s">
        <v>7</v>
      </c>
      <c r="I2">
        <v>0.40206952753641384</v>
      </c>
    </row>
    <row r="3" spans="1:9" x14ac:dyDescent="0.3">
      <c r="A3" t="s">
        <v>43</v>
      </c>
      <c r="B3">
        <v>37.089128809532724</v>
      </c>
      <c r="C3">
        <v>42.867414186320929</v>
      </c>
      <c r="D3">
        <f t="shared" si="0"/>
        <v>28.484058256082442</v>
      </c>
      <c r="E3">
        <v>29</v>
      </c>
      <c r="F3">
        <f t="shared" si="1"/>
        <v>0.51594174391755843</v>
      </c>
      <c r="H3" t="s">
        <v>9</v>
      </c>
      <c r="I3">
        <v>0.31659595094558241</v>
      </c>
    </row>
    <row r="4" spans="1:9" x14ac:dyDescent="0.3">
      <c r="A4" t="s">
        <v>44</v>
      </c>
      <c r="B4">
        <v>28.500104795711881</v>
      </c>
      <c r="C4">
        <v>52.293584769118226</v>
      </c>
      <c r="D4">
        <f t="shared" si="0"/>
        <v>28.014960868282564</v>
      </c>
      <c r="E4">
        <v>27</v>
      </c>
      <c r="F4">
        <f t="shared" si="1"/>
        <v>1.0149608682825644</v>
      </c>
    </row>
    <row r="5" spans="1:9" x14ac:dyDescent="0.3">
      <c r="A5" t="s">
        <v>45</v>
      </c>
      <c r="B5">
        <v>27.711165492420292</v>
      </c>
      <c r="C5">
        <v>23.748637532030365</v>
      </c>
      <c r="D5">
        <f t="shared" si="0"/>
        <v>18.660537700135905</v>
      </c>
      <c r="E5">
        <v>29</v>
      </c>
      <c r="F5">
        <f t="shared" si="1"/>
        <v>10.339462299864095</v>
      </c>
      <c r="H5" t="s">
        <v>12</v>
      </c>
      <c r="I5" cm="1">
        <f t="array" ref="I5">(SUM(TableCHE[PP]-TableCHE[AP]))^2</f>
        <v>1.8175355256292112E-27</v>
      </c>
    </row>
    <row r="6" spans="1:9" x14ac:dyDescent="0.3">
      <c r="A6" t="s">
        <v>46</v>
      </c>
      <c r="B6">
        <v>80.133333332866471</v>
      </c>
      <c r="C6">
        <v>39.260643121070437</v>
      </c>
      <c r="D6">
        <f t="shared" si="0"/>
        <v>44.648932116714015</v>
      </c>
      <c r="E6">
        <v>49</v>
      </c>
      <c r="F6">
        <f t="shared" si="1"/>
        <v>4.3510678832859853</v>
      </c>
    </row>
    <row r="7" spans="1:9" x14ac:dyDescent="0.3">
      <c r="A7" t="s">
        <v>47</v>
      </c>
      <c r="B7">
        <v>65.84362974137629</v>
      </c>
      <c r="C7">
        <v>36.449295505596965</v>
      </c>
      <c r="D7">
        <f t="shared" si="0"/>
        <v>38.013416473288743</v>
      </c>
      <c r="E7">
        <v>22</v>
      </c>
      <c r="F7">
        <f t="shared" si="1"/>
        <v>16.013416473288743</v>
      </c>
      <c r="H7" t="s">
        <v>15</v>
      </c>
      <c r="I7">
        <f>AVERAGE(TableCHE[DIFF])/10</f>
        <v>0.56761257805237764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48</v>
      </c>
      <c r="B2">
        <v>49.712344472240318</v>
      </c>
      <c r="C2">
        <v>29.076857722141657</v>
      </c>
      <c r="D2">
        <f t="shared" ref="D2:D12" si="0">B2*$I$2+C2*$I$3</f>
        <v>47.444407713990081</v>
      </c>
      <c r="E2">
        <v>42</v>
      </c>
      <c r="F2">
        <f t="shared" ref="F2:F12" si="1">ABS(D2-E2)</f>
        <v>5.4444077139900813</v>
      </c>
      <c r="H2" t="s">
        <v>7</v>
      </c>
      <c r="I2">
        <v>0.65192570221595525</v>
      </c>
    </row>
    <row r="3" spans="1:9" x14ac:dyDescent="0.3">
      <c r="A3" t="s">
        <v>49</v>
      </c>
      <c r="B3">
        <v>23.218390804597707</v>
      </c>
      <c r="C3">
        <v>23.817799420736961</v>
      </c>
      <c r="D3">
        <f t="shared" si="0"/>
        <v>27.452857597570876</v>
      </c>
      <c r="E3">
        <v>47</v>
      </c>
      <c r="F3">
        <f t="shared" si="1"/>
        <v>19.547142402429124</v>
      </c>
      <c r="H3" t="s">
        <v>9</v>
      </c>
      <c r="I3">
        <v>0.51710032696118646</v>
      </c>
    </row>
    <row r="4" spans="1:9" x14ac:dyDescent="0.3">
      <c r="A4" t="s">
        <v>50</v>
      </c>
      <c r="B4">
        <v>20.677017469744339</v>
      </c>
      <c r="C4">
        <v>30.268280196554933</v>
      </c>
      <c r="D4">
        <f t="shared" si="0"/>
        <v>29.131616719886011</v>
      </c>
      <c r="E4">
        <v>26</v>
      </c>
      <c r="F4">
        <f t="shared" si="1"/>
        <v>3.1316167198860114</v>
      </c>
    </row>
    <row r="5" spans="1:9" x14ac:dyDescent="0.3">
      <c r="A5" t="s">
        <v>51</v>
      </c>
      <c r="B5">
        <v>27.907939948074773</v>
      </c>
      <c r="C5">
        <v>25.235001485567185</v>
      </c>
      <c r="D5">
        <f t="shared" si="0"/>
        <v>31.242930867102174</v>
      </c>
      <c r="E5">
        <v>25</v>
      </c>
      <c r="F5">
        <f t="shared" si="1"/>
        <v>6.2429308671021744</v>
      </c>
      <c r="H5" t="s">
        <v>12</v>
      </c>
      <c r="I5" cm="1">
        <f t="array" ref="I5">(SUM(TableCRY[PP]-TableCRY[AP]))^2</f>
        <v>5.0487097934144756E-29</v>
      </c>
    </row>
    <row r="6" spans="1:9" x14ac:dyDescent="0.3">
      <c r="A6" t="s">
        <v>52</v>
      </c>
      <c r="B6">
        <v>62.857142857142854</v>
      </c>
      <c r="C6">
        <v>32.244885372077931</v>
      </c>
      <c r="D6">
        <f t="shared" si="0"/>
        <v>57.652027765158948</v>
      </c>
      <c r="E6">
        <v>63</v>
      </c>
      <c r="F6">
        <f t="shared" si="1"/>
        <v>5.3479722348410519</v>
      </c>
    </row>
    <row r="7" spans="1:9" x14ac:dyDescent="0.3">
      <c r="A7" t="s">
        <v>53</v>
      </c>
      <c r="B7">
        <v>28.909597526570401</v>
      </c>
      <c r="C7">
        <v>26.586315410830153</v>
      </c>
      <c r="D7">
        <f t="shared" si="0"/>
        <v>32.594702059923556</v>
      </c>
      <c r="E7">
        <v>41</v>
      </c>
      <c r="F7">
        <f t="shared" si="1"/>
        <v>8.4052979400764443</v>
      </c>
      <c r="H7" t="s">
        <v>15</v>
      </c>
      <c r="I7">
        <f>AVERAGE(TableCRY[DIFF])/10</f>
        <v>0.87461385612935472</v>
      </c>
    </row>
    <row r="8" spans="1:9" x14ac:dyDescent="0.3">
      <c r="A8" t="s">
        <v>54</v>
      </c>
      <c r="B8">
        <v>72.111111107529297</v>
      </c>
      <c r="C8">
        <v>40.87302275744198</v>
      </c>
      <c r="D8">
        <f t="shared" si="0"/>
        <v>68.146540178114066</v>
      </c>
      <c r="E8">
        <v>42</v>
      </c>
      <c r="F8">
        <f t="shared" si="1"/>
        <v>26.146540178114066</v>
      </c>
    </row>
    <row r="9" spans="1:9" x14ac:dyDescent="0.3">
      <c r="A9" t="s">
        <v>55</v>
      </c>
      <c r="B9">
        <v>23.702595093551107</v>
      </c>
      <c r="C9">
        <v>29.605069271157525</v>
      </c>
      <c r="D9">
        <f t="shared" si="0"/>
        <v>30.761121950527894</v>
      </c>
      <c r="E9">
        <v>34</v>
      </c>
      <c r="F9">
        <f t="shared" si="1"/>
        <v>3.2388780494721061</v>
      </c>
    </row>
    <row r="10" spans="1:9" x14ac:dyDescent="0.3">
      <c r="A10" t="s">
        <v>56</v>
      </c>
      <c r="B10">
        <v>28.133333383819625</v>
      </c>
      <c r="C10">
        <v>26.319562090928915</v>
      </c>
      <c r="D10">
        <f t="shared" si="0"/>
        <v>31.95069728461678</v>
      </c>
      <c r="E10">
        <v>37</v>
      </c>
      <c r="F10">
        <f t="shared" si="1"/>
        <v>5.0493027153832202</v>
      </c>
    </row>
    <row r="11" spans="1:9" x14ac:dyDescent="0.3">
      <c r="A11" t="s">
        <v>57</v>
      </c>
      <c r="B11">
        <v>35.332891453835231</v>
      </c>
      <c r="C11">
        <v>25.341013827369117</v>
      </c>
      <c r="D11">
        <f t="shared" si="0"/>
        <v>36.138266608022171</v>
      </c>
      <c r="E11">
        <v>29</v>
      </c>
      <c r="F11">
        <f t="shared" si="1"/>
        <v>7.1382666080221711</v>
      </c>
    </row>
    <row r="12" spans="1:9" x14ac:dyDescent="0.3">
      <c r="A12" t="s">
        <v>58</v>
      </c>
      <c r="B12">
        <v>22.886592104909919</v>
      </c>
      <c r="C12">
        <v>24.297941754554309</v>
      </c>
      <c r="D12">
        <f t="shared" si="0"/>
        <v>27.484831255087435</v>
      </c>
      <c r="E12">
        <v>34</v>
      </c>
      <c r="F12">
        <f t="shared" si="1"/>
        <v>6.5151687449125646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59</v>
      </c>
      <c r="B2">
        <v>33.162096643240965</v>
      </c>
      <c r="C2">
        <v>25.595127132466171</v>
      </c>
      <c r="D2">
        <f>B2*$I$2+C2*$I$3</f>
        <v>41</v>
      </c>
      <c r="E2">
        <v>41</v>
      </c>
      <c r="F2">
        <f>ABS(D2-E2)</f>
        <v>0</v>
      </c>
      <c r="H2" t="s">
        <v>7</v>
      </c>
      <c r="I2">
        <v>0.77479976374242943</v>
      </c>
    </row>
    <row r="3" spans="1:9" x14ac:dyDescent="0.3">
      <c r="H3" t="s">
        <v>9</v>
      </c>
      <c r="I3">
        <v>0.5980050529304991</v>
      </c>
    </row>
    <row r="5" spans="1:9" x14ac:dyDescent="0.3">
      <c r="H5" t="s">
        <v>12</v>
      </c>
      <c r="I5">
        <f>(SUM(TableEVE[PP]-TableEVE[AP]))^2</f>
        <v>0</v>
      </c>
    </row>
    <row r="7" spans="1:9" x14ac:dyDescent="0.3">
      <c r="H7" t="s">
        <v>15</v>
      </c>
      <c r="I7">
        <f>AVERAGE(TableEVE[DIFF])/10</f>
        <v>0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60</v>
      </c>
      <c r="B2">
        <v>60.799999923189887</v>
      </c>
      <c r="C2">
        <v>43.728559077152219</v>
      </c>
      <c r="D2">
        <f t="shared" ref="D2:D8" si="0">B2*$I$2+C2*$I$3</f>
        <v>54.377518930735178</v>
      </c>
      <c r="E2">
        <v>39</v>
      </c>
      <c r="F2">
        <f t="shared" ref="F2:F8" si="1">ABS(D2-E2)</f>
        <v>15.377518930735178</v>
      </c>
      <c r="H2" t="s">
        <v>7</v>
      </c>
      <c r="I2">
        <v>0.51097229262797617</v>
      </c>
    </row>
    <row r="3" spans="1:9" x14ac:dyDescent="0.3">
      <c r="A3" t="s">
        <v>61</v>
      </c>
      <c r="B3">
        <v>20.614437691268392</v>
      </c>
      <c r="C3">
        <v>34.48245052512906</v>
      </c>
      <c r="D3">
        <f t="shared" si="0"/>
        <v>28.914982626902866</v>
      </c>
      <c r="E3">
        <v>32</v>
      </c>
      <c r="F3">
        <f t="shared" si="1"/>
        <v>3.0850173730971342</v>
      </c>
      <c r="H3" t="s">
        <v>9</v>
      </c>
      <c r="I3">
        <v>0.53307047088092918</v>
      </c>
    </row>
    <row r="4" spans="1:9" x14ac:dyDescent="0.3">
      <c r="A4" t="s">
        <v>62</v>
      </c>
      <c r="B4">
        <v>36.72470858812634</v>
      </c>
      <c r="C4">
        <v>38.650106064561413</v>
      </c>
      <c r="D4">
        <f t="shared" si="0"/>
        <v>39.368538782802851</v>
      </c>
      <c r="E4">
        <v>48</v>
      </c>
      <c r="F4">
        <f t="shared" si="1"/>
        <v>8.631461217197149</v>
      </c>
    </row>
    <row r="5" spans="1:9" x14ac:dyDescent="0.3">
      <c r="A5" t="s">
        <v>63</v>
      </c>
      <c r="B5">
        <v>24.245997846394744</v>
      </c>
      <c r="C5">
        <v>28.57023033824165</v>
      </c>
      <c r="D5">
        <f t="shared" si="0"/>
        <v>27.618979246208379</v>
      </c>
      <c r="E5">
        <v>31</v>
      </c>
      <c r="F5">
        <f t="shared" si="1"/>
        <v>3.3810207537916206</v>
      </c>
      <c r="H5" t="s">
        <v>12</v>
      </c>
      <c r="I5" cm="1">
        <f t="array" ref="I5">(SUM(TableFUL[PP]-TableFUL[AP]))^2</f>
        <v>5.0487097934144756E-29</v>
      </c>
    </row>
    <row r="6" spans="1:9" x14ac:dyDescent="0.3">
      <c r="A6" t="s">
        <v>64</v>
      </c>
      <c r="B6">
        <v>42.725490187845814</v>
      </c>
      <c r="C6">
        <v>27.396331228482492</v>
      </c>
      <c r="D6">
        <f t="shared" si="0"/>
        <v>36.435716863314738</v>
      </c>
      <c r="E6">
        <v>28</v>
      </c>
      <c r="F6">
        <f t="shared" si="1"/>
        <v>8.4357168633147381</v>
      </c>
    </row>
    <row r="7" spans="1:9" x14ac:dyDescent="0.3">
      <c r="A7" t="s">
        <v>65</v>
      </c>
      <c r="B7">
        <v>24.532098117476604</v>
      </c>
      <c r="C7">
        <v>27.7254830271491</v>
      </c>
      <c r="D7">
        <f t="shared" si="0"/>
        <v>27.314858710745057</v>
      </c>
      <c r="E7">
        <v>23</v>
      </c>
      <c r="F7">
        <f t="shared" si="1"/>
        <v>4.3148587107450567</v>
      </c>
      <c r="H7" t="s">
        <v>15</v>
      </c>
      <c r="I7">
        <f>AVERAGE(TableFUL[DIFF])/10</f>
        <v>0.80365984299414228</v>
      </c>
    </row>
    <row r="8" spans="1:9" x14ac:dyDescent="0.3">
      <c r="A8" t="s">
        <v>66</v>
      </c>
      <c r="B8">
        <v>14.329488370958773</v>
      </c>
      <c r="C8">
        <v>33.105253954571545</v>
      </c>
      <c r="D8">
        <f t="shared" si="0"/>
        <v>24.969404839290924</v>
      </c>
      <c r="E8">
        <v>38</v>
      </c>
      <c r="F8">
        <f t="shared" si="1"/>
        <v>13.030595160709076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67</v>
      </c>
      <c r="B2">
        <v>41.156948840534959</v>
      </c>
      <c r="C2">
        <v>49.462100529907687</v>
      </c>
      <c r="D2">
        <f t="shared" ref="D2:D7" si="0">B2*$I$2+C2*$I$3</f>
        <v>38.778182484321349</v>
      </c>
      <c r="E2">
        <v>42</v>
      </c>
      <c r="F2">
        <f t="shared" ref="F2:F7" si="1">ABS(D2-E2)</f>
        <v>3.2218175156786515</v>
      </c>
      <c r="H2" t="s">
        <v>7</v>
      </c>
      <c r="I2">
        <v>0.39583759014019482</v>
      </c>
    </row>
    <row r="3" spans="1:9" x14ac:dyDescent="0.3">
      <c r="A3" t="s">
        <v>68</v>
      </c>
      <c r="B3">
        <v>41.105939152348853</v>
      </c>
      <c r="C3">
        <v>51.776833002324395</v>
      </c>
      <c r="D3">
        <f t="shared" si="0"/>
        <v>39.810326537481657</v>
      </c>
      <c r="E3">
        <v>30</v>
      </c>
      <c r="F3">
        <f t="shared" si="1"/>
        <v>9.8103265374816573</v>
      </c>
      <c r="H3" t="s">
        <v>9</v>
      </c>
      <c r="I3">
        <v>0.45462515333662218</v>
      </c>
    </row>
    <row r="4" spans="1:9" x14ac:dyDescent="0.3">
      <c r="A4" t="s">
        <v>69</v>
      </c>
      <c r="B4">
        <v>20.318181986464509</v>
      </c>
      <c r="C4">
        <v>46.424079019905477</v>
      </c>
      <c r="D4">
        <f t="shared" si="0"/>
        <v>29.148254236488022</v>
      </c>
      <c r="E4">
        <v>53</v>
      </c>
      <c r="F4">
        <f t="shared" si="1"/>
        <v>23.851745763511978</v>
      </c>
    </row>
    <row r="5" spans="1:9" x14ac:dyDescent="0.3">
      <c r="A5" t="s">
        <v>70</v>
      </c>
      <c r="B5">
        <v>57.375</v>
      </c>
      <c r="C5">
        <v>53.189249665352982</v>
      </c>
      <c r="D5">
        <f t="shared" si="0"/>
        <v>46.892352519264662</v>
      </c>
      <c r="E5">
        <v>29</v>
      </c>
      <c r="F5">
        <f t="shared" si="1"/>
        <v>17.892352519264662</v>
      </c>
      <c r="H5" t="s">
        <v>12</v>
      </c>
      <c r="I5" cm="1">
        <f t="array" ref="I5">(SUM(TableLIV[PP]-TableLIV[AP]))^2</f>
        <v>5.0487097934144756E-29</v>
      </c>
    </row>
    <row r="6" spans="1:9" x14ac:dyDescent="0.3">
      <c r="A6" t="s">
        <v>71</v>
      </c>
      <c r="B6">
        <v>57.093023255813968</v>
      </c>
      <c r="C6">
        <v>47.073557009568816</v>
      </c>
      <c r="D6">
        <f t="shared" si="0"/>
        <v>44.000387812974949</v>
      </c>
      <c r="E6">
        <v>31</v>
      </c>
      <c r="F6">
        <f t="shared" si="1"/>
        <v>13.000387812974949</v>
      </c>
    </row>
    <row r="7" spans="1:9" x14ac:dyDescent="0.3">
      <c r="A7" t="s">
        <v>72</v>
      </c>
      <c r="B7">
        <v>67.270470697992792</v>
      </c>
      <c r="C7">
        <v>78.619308981160373</v>
      </c>
      <c r="D7">
        <f t="shared" si="0"/>
        <v>62.370496409469368</v>
      </c>
      <c r="E7">
        <v>76</v>
      </c>
      <c r="F7">
        <f t="shared" si="1"/>
        <v>13.629503590530632</v>
      </c>
      <c r="H7" t="s">
        <v>15</v>
      </c>
      <c r="I7">
        <f>AVERAGE(TableLIV[DIFF])/10</f>
        <v>1.3567688956573754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73</v>
      </c>
      <c r="B2">
        <v>25.736118661441779</v>
      </c>
      <c r="C2">
        <v>46.51629499049924</v>
      </c>
      <c r="D2">
        <f t="shared" ref="D2:D7" si="0">B2*$I$2+C2*$I$3</f>
        <v>30.66849832167733</v>
      </c>
      <c r="E2">
        <v>37</v>
      </c>
      <c r="F2">
        <f t="shared" ref="F2:F7" si="1">ABS(D2-E2)</f>
        <v>6.3315016783226703</v>
      </c>
      <c r="H2" t="s">
        <v>7</v>
      </c>
      <c r="I2">
        <v>0.44358142810950174</v>
      </c>
    </row>
    <row r="3" spans="1:9" x14ac:dyDescent="0.3">
      <c r="A3" t="s">
        <v>74</v>
      </c>
      <c r="B3">
        <v>55.078534786083686</v>
      </c>
      <c r="C3">
        <v>44.903868327678047</v>
      </c>
      <c r="D3">
        <f t="shared" si="0"/>
        <v>43.016888668142201</v>
      </c>
      <c r="E3">
        <v>34</v>
      </c>
      <c r="F3">
        <f t="shared" si="1"/>
        <v>9.0168886681422009</v>
      </c>
      <c r="H3" t="s">
        <v>9</v>
      </c>
      <c r="I3">
        <v>0.41388580186301632</v>
      </c>
    </row>
    <row r="4" spans="1:9" x14ac:dyDescent="0.3">
      <c r="A4" t="s">
        <v>75</v>
      </c>
      <c r="B4">
        <v>68.242096529476996</v>
      </c>
      <c r="C4">
        <v>45.513005692872255</v>
      </c>
      <c r="D4">
        <f t="shared" si="0"/>
        <v>49.108113492122342</v>
      </c>
      <c r="E4">
        <v>59</v>
      </c>
      <c r="F4">
        <f t="shared" si="1"/>
        <v>9.8918865078776577</v>
      </c>
    </row>
    <row r="5" spans="1:9" x14ac:dyDescent="0.3">
      <c r="A5" t="s">
        <v>76</v>
      </c>
      <c r="B5">
        <v>83.873548970408564</v>
      </c>
      <c r="C5">
        <v>107.48069351047951</v>
      </c>
      <c r="D5">
        <f t="shared" si="0"/>
        <v>81.68948165128397</v>
      </c>
      <c r="E5">
        <v>80</v>
      </c>
      <c r="F5">
        <f t="shared" si="1"/>
        <v>1.6894816512839697</v>
      </c>
      <c r="H5" t="s">
        <v>12</v>
      </c>
      <c r="I5" cm="1">
        <f t="array" ref="I5">(SUM(TableMCI[PP]-TableMCI[AP]))^2</f>
        <v>1.135959703518257E-28</v>
      </c>
    </row>
    <row r="6" spans="1:9" x14ac:dyDescent="0.3">
      <c r="A6" t="s">
        <v>77</v>
      </c>
      <c r="B6">
        <v>30.428441958566918</v>
      </c>
      <c r="C6">
        <v>36.786531948329305</v>
      </c>
      <c r="D6">
        <f t="shared" si="0"/>
        <v>28.722915012321941</v>
      </c>
      <c r="E6">
        <v>41</v>
      </c>
      <c r="F6">
        <f t="shared" si="1"/>
        <v>12.277084987678059</v>
      </c>
    </row>
    <row r="7" spans="1:9" x14ac:dyDescent="0.3">
      <c r="A7" t="s">
        <v>78</v>
      </c>
      <c r="B7">
        <v>78.909090909090907</v>
      </c>
      <c r="C7">
        <v>38.154233721217786</v>
      </c>
      <c r="D7">
        <f t="shared" si="0"/>
        <v>50.794102854452206</v>
      </c>
      <c r="E7">
        <v>33</v>
      </c>
      <c r="F7">
        <f t="shared" si="1"/>
        <v>17.794102854452206</v>
      </c>
      <c r="H7" t="s">
        <v>15</v>
      </c>
      <c r="I7">
        <f>AVERAGE(TableMCI[DIFF])/10</f>
        <v>0.95001577246261282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79</v>
      </c>
      <c r="B2">
        <v>31.614439448714307</v>
      </c>
      <c r="C2">
        <v>54.483306334020597</v>
      </c>
      <c r="D2">
        <f t="shared" ref="D2:D8" si="0">B2*$I$2+C2*$I$3</f>
        <v>34.501585791566818</v>
      </c>
      <c r="E2">
        <v>36</v>
      </c>
      <c r="F2">
        <f t="shared" ref="F2:F8" si="1">ABS(D2-E2)</f>
        <v>1.4984142084331822</v>
      </c>
      <c r="H2" t="s">
        <v>7</v>
      </c>
      <c r="I2">
        <v>0.36319055169078474</v>
      </c>
    </row>
    <row r="3" spans="1:9" x14ac:dyDescent="0.3">
      <c r="A3" t="s">
        <v>80</v>
      </c>
      <c r="B3">
        <v>45.249641437550892</v>
      </c>
      <c r="C3">
        <v>53.534066495585662</v>
      </c>
      <c r="D3">
        <f t="shared" si="0"/>
        <v>39.052702862275837</v>
      </c>
      <c r="E3">
        <v>39</v>
      </c>
      <c r="F3">
        <f t="shared" si="1"/>
        <v>5.2702862275836537E-2</v>
      </c>
      <c r="H3" t="s">
        <v>9</v>
      </c>
      <c r="I3">
        <v>0.42250593137038484</v>
      </c>
    </row>
    <row r="4" spans="1:9" x14ac:dyDescent="0.3">
      <c r="A4" t="s">
        <v>81</v>
      </c>
      <c r="B4">
        <v>33.367768586201365</v>
      </c>
      <c r="C4">
        <v>52.695579391761626</v>
      </c>
      <c r="D4">
        <f t="shared" si="0"/>
        <v>34.383053131531213</v>
      </c>
      <c r="E4">
        <v>22</v>
      </c>
      <c r="F4">
        <f t="shared" si="1"/>
        <v>12.383053131531213</v>
      </c>
    </row>
    <row r="5" spans="1:9" x14ac:dyDescent="0.3">
      <c r="A5" t="s">
        <v>82</v>
      </c>
      <c r="B5">
        <v>74.481481445903668</v>
      </c>
      <c r="C5">
        <v>47.985281132325028</v>
      </c>
      <c r="D5">
        <f t="shared" si="0"/>
        <v>47.325036233967438</v>
      </c>
      <c r="E5">
        <v>27</v>
      </c>
      <c r="F5">
        <f t="shared" si="1"/>
        <v>20.325036233967438</v>
      </c>
      <c r="H5" t="s">
        <v>12</v>
      </c>
      <c r="I5" cm="1">
        <f t="array" ref="I5">(SUM(TableMUN[PP]-TableMUN[AP]))^2</f>
        <v>5.0487097934144756E-29</v>
      </c>
    </row>
    <row r="6" spans="1:9" x14ac:dyDescent="0.3">
      <c r="A6" t="s">
        <v>83</v>
      </c>
      <c r="B6">
        <v>28.978654216006234</v>
      </c>
      <c r="C6">
        <v>42.372927274767818</v>
      </c>
      <c r="D6">
        <f t="shared" si="0"/>
        <v>28.427586515083149</v>
      </c>
      <c r="E6">
        <v>35</v>
      </c>
      <c r="F6">
        <f t="shared" si="1"/>
        <v>6.5724134849168507</v>
      </c>
    </row>
    <row r="7" spans="1:9" x14ac:dyDescent="0.3">
      <c r="A7" t="s">
        <v>84</v>
      </c>
      <c r="B7">
        <v>45.385141757945824</v>
      </c>
      <c r="C7">
        <v>55.777047151823801</v>
      </c>
      <c r="D7">
        <f t="shared" si="0"/>
        <v>40.049587929604002</v>
      </c>
      <c r="E7">
        <v>49</v>
      </c>
      <c r="F7">
        <f t="shared" si="1"/>
        <v>8.9504120703959984</v>
      </c>
      <c r="H7" t="s">
        <v>15</v>
      </c>
      <c r="I7">
        <f>AVERAGE(TableMUN[DIFF])/10</f>
        <v>0.93602263507927108</v>
      </c>
    </row>
    <row r="8" spans="1:9" x14ac:dyDescent="0.3">
      <c r="A8" t="s">
        <v>85</v>
      </c>
      <c r="B8">
        <v>32.253447716804672</v>
      </c>
      <c r="C8">
        <v>32.061798568929859</v>
      </c>
      <c r="D8">
        <f t="shared" si="0"/>
        <v>25.260447535971551</v>
      </c>
      <c r="E8">
        <v>41</v>
      </c>
      <c r="F8">
        <f t="shared" si="1"/>
        <v>15.739552464028449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86</v>
      </c>
      <c r="B2">
        <v>67.916666624498063</v>
      </c>
      <c r="C2">
        <v>55.215359029346438</v>
      </c>
      <c r="D2">
        <f t="shared" ref="D2:D8" si="0">B2*$I$2+C2*$I$3</f>
        <v>48.240699264383096</v>
      </c>
      <c r="E2">
        <v>30</v>
      </c>
      <c r="F2">
        <f t="shared" ref="F2:F8" si="1">ABS(D2-E2)</f>
        <v>18.240699264383096</v>
      </c>
      <c r="H2" t="s">
        <v>7</v>
      </c>
      <c r="I2">
        <v>0.38756407196351617</v>
      </c>
    </row>
    <row r="3" spans="1:9" x14ac:dyDescent="0.3">
      <c r="A3" t="s">
        <v>87</v>
      </c>
      <c r="B3">
        <v>69.399999980597443</v>
      </c>
      <c r="C3">
        <v>44.32607275549303</v>
      </c>
      <c r="D3">
        <f t="shared" si="0"/>
        <v>44.492905782235859</v>
      </c>
      <c r="E3">
        <v>23</v>
      </c>
      <c r="F3">
        <f t="shared" si="1"/>
        <v>21.492905782235859</v>
      </c>
      <c r="H3" t="s">
        <v>9</v>
      </c>
      <c r="I3">
        <v>0.39696634738088815</v>
      </c>
    </row>
    <row r="4" spans="1:9" x14ac:dyDescent="0.3">
      <c r="A4" t="s">
        <v>88</v>
      </c>
      <c r="B4">
        <v>28.734497460106866</v>
      </c>
      <c r="C4">
        <v>27.041024764864876</v>
      </c>
      <c r="D4">
        <f t="shared" si="0"/>
        <v>21.87083567180888</v>
      </c>
      <c r="E4">
        <v>21</v>
      </c>
      <c r="F4">
        <f t="shared" si="1"/>
        <v>0.87083567180888011</v>
      </c>
    </row>
    <row r="5" spans="1:9" x14ac:dyDescent="0.3">
      <c r="A5" t="s">
        <v>89</v>
      </c>
      <c r="B5">
        <v>-0.92619334614664106</v>
      </c>
      <c r="C5">
        <v>67.509802803072589</v>
      </c>
      <c r="D5">
        <f t="shared" si="0"/>
        <v>26.440160566481662</v>
      </c>
      <c r="E5">
        <v>49</v>
      </c>
      <c r="F5">
        <f t="shared" si="1"/>
        <v>22.559839433518338</v>
      </c>
      <c r="H5" t="s">
        <v>12</v>
      </c>
      <c r="I5" cm="1">
        <f t="array" ref="I5">(SUM(TableNEW[PP]-TableNEW[AP]))^2</f>
        <v>5.0487097934144756E-29</v>
      </c>
    </row>
    <row r="6" spans="1:9" x14ac:dyDescent="0.3">
      <c r="A6" t="s">
        <v>90</v>
      </c>
      <c r="B6">
        <v>40.705414540076944</v>
      </c>
      <c r="C6">
        <v>39.969558338157384</v>
      </c>
      <c r="D6">
        <f t="shared" si="0"/>
        <v>31.642525790040796</v>
      </c>
      <c r="E6">
        <v>31</v>
      </c>
      <c r="F6">
        <f t="shared" si="1"/>
        <v>0.64252579004079635</v>
      </c>
    </row>
    <row r="7" spans="1:9" x14ac:dyDescent="0.3">
      <c r="A7" t="s">
        <v>66</v>
      </c>
      <c r="B7">
        <v>43.041264140800294</v>
      </c>
      <c r="C7">
        <v>44.223523314560076</v>
      </c>
      <c r="D7">
        <f t="shared" si="0"/>
        <v>34.236498111360291</v>
      </c>
      <c r="E7">
        <v>56</v>
      </c>
      <c r="F7">
        <f t="shared" si="1"/>
        <v>21.763501888639709</v>
      </c>
      <c r="H7" t="s">
        <v>15</v>
      </c>
      <c r="I7">
        <f>AVERAGE(TableNEW[DIFF])/10</f>
        <v>1.2663811806330869</v>
      </c>
    </row>
    <row r="8" spans="1:9" x14ac:dyDescent="0.3">
      <c r="A8" t="s">
        <v>91</v>
      </c>
      <c r="B8">
        <v>68.444444444167146</v>
      </c>
      <c r="C8">
        <v>46.728815538181841</v>
      </c>
      <c r="D8">
        <f t="shared" si="0"/>
        <v>45.076374813689419</v>
      </c>
      <c r="E8">
        <v>42</v>
      </c>
      <c r="F8">
        <f t="shared" si="1"/>
        <v>3.0763748136894193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92</v>
      </c>
      <c r="B2">
        <v>27.434468263587487</v>
      </c>
      <c r="C2">
        <v>46.564685691401294</v>
      </c>
      <c r="D2">
        <f>B2*$I$2+C2*$I$3</f>
        <v>35.333822390875277</v>
      </c>
      <c r="E2">
        <v>54</v>
      </c>
      <c r="F2">
        <f>ABS(D2-E2)</f>
        <v>18.666177609124723</v>
      </c>
      <c r="H2" t="s">
        <v>7</v>
      </c>
      <c r="I2">
        <v>0.51885465318553869</v>
      </c>
    </row>
    <row r="3" spans="1:9" x14ac:dyDescent="0.3">
      <c r="A3" t="s">
        <v>93</v>
      </c>
      <c r="B3">
        <v>53.354838756433978</v>
      </c>
      <c r="C3">
        <v>32.640373568327746</v>
      </c>
      <c r="D3">
        <f>B3*$I$2+C3*$I$3</f>
        <v>42.473363708618507</v>
      </c>
      <c r="E3">
        <v>35</v>
      </c>
      <c r="F3">
        <f>ABS(D3-E3)</f>
        <v>7.473363708618507</v>
      </c>
      <c r="H3" t="s">
        <v>9</v>
      </c>
      <c r="I3">
        <v>0.45311850732706982</v>
      </c>
    </row>
    <row r="4" spans="1:9" x14ac:dyDescent="0.3">
      <c r="A4" t="s">
        <v>94</v>
      </c>
      <c r="B4">
        <v>47.743589789075457</v>
      </c>
      <c r="C4">
        <v>34.644745520078288</v>
      </c>
      <c r="D4">
        <f>B4*$I$2+C4*$I$3</f>
        <v>40.470159098627434</v>
      </c>
      <c r="E4">
        <v>53</v>
      </c>
      <c r="F4">
        <f>ABS(D4-E4)</f>
        <v>12.529840901372566</v>
      </c>
    </row>
    <row r="5" spans="1:9" x14ac:dyDescent="0.3">
      <c r="A5" t="s">
        <v>95</v>
      </c>
      <c r="B5">
        <v>49.285714282140916</v>
      </c>
      <c r="C5">
        <v>40.725892639984806</v>
      </c>
      <c r="D5">
        <f>B5*$I$2+C5*$I$3</f>
        <v>44.025777873454189</v>
      </c>
      <c r="E5">
        <v>22</v>
      </c>
      <c r="F5">
        <f>ABS(D5-E5)</f>
        <v>22.025777873454189</v>
      </c>
      <c r="H5" t="s">
        <v>12</v>
      </c>
      <c r="I5" cm="1">
        <f t="array" ref="I5">(SUM(TableNFO[PP]-TableNFO[AP]))^2</f>
        <v>0</v>
      </c>
    </row>
    <row r="6" spans="1:9" x14ac:dyDescent="0.3">
      <c r="A6" t="s">
        <v>96</v>
      </c>
      <c r="B6">
        <v>32.117168773030087</v>
      </c>
      <c r="C6">
        <v>28.762308872070353</v>
      </c>
      <c r="D6">
        <f>B6*$I$2+C6*$I$3</f>
        <v>29.696876928424594</v>
      </c>
      <c r="E6">
        <v>28</v>
      </c>
      <c r="F6">
        <f>ABS(D6-E6)</f>
        <v>1.6968769284245937</v>
      </c>
    </row>
    <row r="7" spans="1:9" x14ac:dyDescent="0.3">
      <c r="H7" t="s">
        <v>15</v>
      </c>
      <c r="I7">
        <f>AVERAGE(TableNFO[DIFF])/10</f>
        <v>1.2478407404198915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97</v>
      </c>
      <c r="B2">
        <v>73.470588141933206</v>
      </c>
      <c r="C2">
        <v>42.852078733641612</v>
      </c>
      <c r="D2">
        <f>B2*$I$2+C2*$I$3</f>
        <v>41.122997461022038</v>
      </c>
      <c r="E2">
        <v>23</v>
      </c>
      <c r="F2">
        <f>ABS(D2-E2)</f>
        <v>18.122997461022038</v>
      </c>
      <c r="H2" t="s">
        <v>7</v>
      </c>
      <c r="I2">
        <v>0.3949394466700048</v>
      </c>
    </row>
    <row r="3" spans="1:9" x14ac:dyDescent="0.3">
      <c r="A3" t="s">
        <v>98</v>
      </c>
      <c r="B3">
        <v>47.124999999999993</v>
      </c>
      <c r="C3">
        <v>52.891128748594568</v>
      </c>
      <c r="D3">
        <f>B3*$I$2+C3*$I$3</f>
        <v>33.554316638322916</v>
      </c>
      <c r="E3">
        <v>47</v>
      </c>
      <c r="F3">
        <f>ABS(D3-E3)</f>
        <v>13.445683361677084</v>
      </c>
      <c r="H3" t="s">
        <v>9</v>
      </c>
      <c r="I3">
        <v>0.28251987748315927</v>
      </c>
    </row>
    <row r="4" spans="1:9" x14ac:dyDescent="0.3">
      <c r="A4" t="s">
        <v>99</v>
      </c>
      <c r="B4">
        <v>52.353567440866875</v>
      </c>
      <c r="C4">
        <v>36.019275642630475</v>
      </c>
      <c r="D4">
        <f>B4*$I$2+C4*$I$3</f>
        <v>30.85265029788485</v>
      </c>
      <c r="E4">
        <v>31</v>
      </c>
      <c r="F4">
        <f>ABS(D4-E4)</f>
        <v>0.14734970211515019</v>
      </c>
    </row>
    <row r="5" spans="1:9" x14ac:dyDescent="0.3">
      <c r="A5" t="s">
        <v>100</v>
      </c>
      <c r="B5">
        <v>76.615384615384613</v>
      </c>
      <c r="C5">
        <v>46.763428166742443</v>
      </c>
      <c r="D5">
        <f>B5*$I$2+C5*$I$3</f>
        <v>43.470035602770189</v>
      </c>
      <c r="E5">
        <v>48</v>
      </c>
      <c r="F5">
        <f>ABS(D5-E5)</f>
        <v>4.5299643972298114</v>
      </c>
      <c r="H5" t="s">
        <v>12</v>
      </c>
      <c r="I5" cm="1">
        <f t="array" ref="I5">(SUM(TableTOT[PP]-TableTOT[AP]))^2</f>
        <v>5.0487097934144756E-29</v>
      </c>
    </row>
    <row r="7" spans="1:9" x14ac:dyDescent="0.3">
      <c r="H7" t="s">
        <v>15</v>
      </c>
      <c r="I7">
        <f>AVERAGE(TableTOT[DIFF])/10</f>
        <v>0.90614987305110206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101</v>
      </c>
      <c r="B2">
        <v>35.153918632572335</v>
      </c>
      <c r="C2">
        <v>26.715319462213525</v>
      </c>
      <c r="D2">
        <f t="shared" ref="D2:D7" si="0">B2*$I$2+C2*$I$3</f>
        <v>26.429917728560518</v>
      </c>
      <c r="E2">
        <v>38</v>
      </c>
      <c r="F2">
        <f t="shared" ref="F2:F7" si="1">ABS(D2-E2)</f>
        <v>11.570082271439482</v>
      </c>
      <c r="H2" t="s">
        <v>7</v>
      </c>
      <c r="I2">
        <v>0.47244081136732052</v>
      </c>
    </row>
    <row r="3" spans="1:9" x14ac:dyDescent="0.3">
      <c r="A3" t="s">
        <v>102</v>
      </c>
      <c r="B3">
        <v>38.125</v>
      </c>
      <c r="C3">
        <v>37.93861192645867</v>
      </c>
      <c r="D3">
        <f t="shared" si="0"/>
        <v>31.959772851009738</v>
      </c>
      <c r="E3">
        <v>30</v>
      </c>
      <c r="F3">
        <f t="shared" si="1"/>
        <v>1.9597728510097383</v>
      </c>
      <c r="H3" t="s">
        <v>9</v>
      </c>
      <c r="I3">
        <v>0.36764568362880007</v>
      </c>
    </row>
    <row r="4" spans="1:9" x14ac:dyDescent="0.3">
      <c r="A4" t="s">
        <v>103</v>
      </c>
      <c r="B4">
        <v>55.264587884377008</v>
      </c>
      <c r="C4">
        <v>35.053647966016655</v>
      </c>
      <c r="D4">
        <f t="shared" si="0"/>
        <v>38.996569110125151</v>
      </c>
      <c r="E4">
        <v>34</v>
      </c>
      <c r="F4">
        <f t="shared" si="1"/>
        <v>4.9965691101251508</v>
      </c>
    </row>
    <row r="5" spans="1:9" x14ac:dyDescent="0.3">
      <c r="A5" t="s">
        <v>104</v>
      </c>
      <c r="B5">
        <v>46.986819890745537</v>
      </c>
      <c r="C5">
        <v>42.941307772240933</v>
      </c>
      <c r="D5">
        <f t="shared" si="0"/>
        <v>37.9856777645942</v>
      </c>
      <c r="E5">
        <v>50</v>
      </c>
      <c r="F5">
        <f t="shared" si="1"/>
        <v>12.0143222354058</v>
      </c>
      <c r="H5" t="s">
        <v>12</v>
      </c>
      <c r="I5" cm="1">
        <f t="array" ref="I5">(SUM(TableWHU[PP]-TableWHU[AP]))^2</f>
        <v>2.0194839173657902E-28</v>
      </c>
    </row>
    <row r="6" spans="1:9" x14ac:dyDescent="0.3">
      <c r="A6" t="s">
        <v>105</v>
      </c>
      <c r="B6">
        <v>35.04170687564406</v>
      </c>
      <c r="C6">
        <v>48.612861922469428</v>
      </c>
      <c r="D6">
        <f t="shared" si="0"/>
        <v>34.427441282663828</v>
      </c>
      <c r="E6">
        <v>41</v>
      </c>
      <c r="F6">
        <f t="shared" si="1"/>
        <v>6.5725587173361717</v>
      </c>
    </row>
    <row r="7" spans="1:9" x14ac:dyDescent="0.3">
      <c r="A7" t="s">
        <v>106</v>
      </c>
      <c r="B7">
        <v>82.096774224619821</v>
      </c>
      <c r="C7">
        <v>36.488269100071577</v>
      </c>
      <c r="D7">
        <f t="shared" si="0"/>
        <v>52.20062126304655</v>
      </c>
      <c r="E7">
        <v>29</v>
      </c>
      <c r="F7">
        <f t="shared" si="1"/>
        <v>23.20062126304655</v>
      </c>
      <c r="H7" t="s">
        <v>15</v>
      </c>
      <c r="I7">
        <f>AVERAGE(TableWHU[DIFF])/10</f>
        <v>1.0052321074727149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107</v>
      </c>
      <c r="B2">
        <v>23.5</v>
      </c>
      <c r="C2">
        <v>42.534853290901502</v>
      </c>
      <c r="D2">
        <f t="shared" ref="D2:D8" si="0">B2*$I$2+C2*$I$3</f>
        <v>30.958935984438714</v>
      </c>
      <c r="E2">
        <v>20</v>
      </c>
      <c r="F2">
        <f t="shared" ref="F2:F8" si="1">ABS(D2-E2)</f>
        <v>10.958935984438714</v>
      </c>
      <c r="H2" t="s">
        <v>7</v>
      </c>
      <c r="I2">
        <v>0.46559484666377521</v>
      </c>
    </row>
    <row r="3" spans="1:9" x14ac:dyDescent="0.3">
      <c r="A3" t="s">
        <v>108</v>
      </c>
      <c r="B3">
        <v>50.411487839066403</v>
      </c>
      <c r="C3">
        <v>29.643687069365981</v>
      </c>
      <c r="D3">
        <f t="shared" si="0"/>
        <v>37.422034969845669</v>
      </c>
      <c r="E3">
        <v>33</v>
      </c>
      <c r="F3">
        <f t="shared" si="1"/>
        <v>4.4220349698456687</v>
      </c>
      <c r="H3" t="s">
        <v>9</v>
      </c>
      <c r="I3">
        <v>0.47061305115919766</v>
      </c>
    </row>
    <row r="4" spans="1:9" x14ac:dyDescent="0.3">
      <c r="A4" t="s">
        <v>109</v>
      </c>
      <c r="B4">
        <v>32.725771816694063</v>
      </c>
      <c r="C4">
        <v>38.106345747179475</v>
      </c>
      <c r="D4">
        <f t="shared" si="0"/>
        <v>33.170294351554816</v>
      </c>
      <c r="E4">
        <v>21</v>
      </c>
      <c r="F4">
        <f t="shared" si="1"/>
        <v>12.170294351554816</v>
      </c>
    </row>
    <row r="5" spans="1:9" x14ac:dyDescent="0.3">
      <c r="A5" t="s">
        <v>110</v>
      </c>
      <c r="B5">
        <v>32.067986321615692</v>
      </c>
      <c r="C5">
        <v>31.844639475060859</v>
      </c>
      <c r="D5">
        <f t="shared" si="0"/>
        <v>29.91719212065172</v>
      </c>
      <c r="E5">
        <v>36</v>
      </c>
      <c r="F5">
        <f t="shared" si="1"/>
        <v>6.0828078793482803</v>
      </c>
      <c r="H5" t="s">
        <v>12</v>
      </c>
      <c r="I5" cm="1">
        <f t="array" ref="I5">(SUM(TableWOL[PP]-TableWOL[AP]))^2</f>
        <v>1.2621774483536189E-29</v>
      </c>
    </row>
    <row r="6" spans="1:9" x14ac:dyDescent="0.3">
      <c r="A6" t="s">
        <v>25</v>
      </c>
      <c r="B6">
        <v>28.732216076034057</v>
      </c>
      <c r="C6">
        <v>26.687917919236444</v>
      </c>
      <c r="D6">
        <f t="shared" si="0"/>
        <v>25.93725421928962</v>
      </c>
      <c r="E6">
        <v>26</v>
      </c>
      <c r="F6">
        <f t="shared" si="1"/>
        <v>6.2745780710379506E-2</v>
      </c>
    </row>
    <row r="7" spans="1:9" x14ac:dyDescent="0.3">
      <c r="A7" t="s">
        <v>111</v>
      </c>
      <c r="B7">
        <v>42.115542195948194</v>
      </c>
      <c r="C7">
        <v>40.834269676696266</v>
      </c>
      <c r="D7">
        <f t="shared" si="0"/>
        <v>38.825919655291784</v>
      </c>
      <c r="E7">
        <v>50</v>
      </c>
      <c r="F7">
        <f t="shared" si="1"/>
        <v>11.174080344708216</v>
      </c>
      <c r="H7" t="s">
        <v>15</v>
      </c>
      <c r="I7">
        <f>AVERAGE(TableWOL[DIFF])/10</f>
        <v>0.78717900873826274</v>
      </c>
    </row>
    <row r="8" spans="1:9" x14ac:dyDescent="0.3">
      <c r="A8" t="s">
        <v>112</v>
      </c>
      <c r="B8">
        <v>24.171234421598044</v>
      </c>
      <c r="C8">
        <v>26.591626568588822</v>
      </c>
      <c r="D8">
        <f t="shared" si="0"/>
        <v>23.768368698927681</v>
      </c>
      <c r="E8">
        <v>34</v>
      </c>
      <c r="F8">
        <f t="shared" si="1"/>
        <v>10.231631301072319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2023-08-31T18:09:13Z</dcterms:created>
  <dcterms:modified xsi:type="dcterms:W3CDTF">2023-08-31T18:19:43Z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3067f4db-21ae-40af-b130-1ad3cd67240c</vt:lpwstr>
  </property>
</Properties>
</file>