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F2393661-7DEA-44F5-9A62-2527DB22D2B2}" xr6:coauthVersionLast="47" xr6:coauthVersionMax="47" xr10:uidLastSave="{00000000-0000-0000-0000-000000000000}"/>
  <bookViews>
    <workbookView xWindow="-108" yWindow="-108" windowWidth="23256" windowHeight="12576" firstSheet="3" activeTab="16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TOT" sheetId="15" r:id="rId15"/>
    <sheet name="WHU" sheetId="16" r:id="rId16"/>
    <sheet name="WOL" sheetId="17" r:id="rId17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TOT!$I$2:$I$3</definedName>
    <definedName name="solver_adj" localSheetId="15" hidden="1">WHU!$I$2:$I$3</definedName>
    <definedName name="solver_adj" localSheetId="16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TOT!$I$5</definedName>
    <definedName name="solver_opt" localSheetId="15" hidden="1">WHU!$I$5</definedName>
    <definedName name="solver_opt" localSheetId="16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7" l="1"/>
  <c r="F8" i="17" s="1"/>
  <c r="D7" i="17"/>
  <c r="F7" i="17" s="1"/>
  <c r="D6" i="17"/>
  <c r="F6" i="17" s="1"/>
  <c r="D5" i="17"/>
  <c r="F5" i="17" s="1"/>
  <c r="D4" i="17"/>
  <c r="F4" i="17" s="1"/>
  <c r="D3" i="17"/>
  <c r="F3" i="17" s="1"/>
  <c r="D2" i="17"/>
  <c r="F2" i="17" s="1"/>
  <c r="D7" i="16"/>
  <c r="F7" i="16" s="1"/>
  <c r="D6" i="16"/>
  <c r="F6" i="16" s="1"/>
  <c r="D5" i="16"/>
  <c r="F5" i="16" s="1"/>
  <c r="D4" i="16"/>
  <c r="F4" i="16" s="1"/>
  <c r="D3" i="16"/>
  <c r="F3" i="16" s="1"/>
  <c r="D2" i="16"/>
  <c r="D5" i="15"/>
  <c r="F5" i="15" s="1"/>
  <c r="D4" i="15"/>
  <c r="F4" i="15" s="1"/>
  <c r="D3" i="15"/>
  <c r="F3" i="15" s="1"/>
  <c r="D2" i="15"/>
  <c r="F2" i="15" s="1"/>
  <c r="D6" i="14"/>
  <c r="F6" i="14" s="1"/>
  <c r="D5" i="14"/>
  <c r="F5" i="14" s="1"/>
  <c r="D4" i="14"/>
  <c r="F4" i="14" s="1"/>
  <c r="D3" i="14"/>
  <c r="F3" i="14" s="1"/>
  <c r="D2" i="14"/>
  <c r="F2" i="14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7" i="11"/>
  <c r="F7" i="11" s="1"/>
  <c r="D6" i="11"/>
  <c r="F6" i="11" s="1"/>
  <c r="D5" i="11"/>
  <c r="D4" i="11"/>
  <c r="F4" i="11" s="1"/>
  <c r="D3" i="11"/>
  <c r="F3" i="11" s="1"/>
  <c r="D2" i="11"/>
  <c r="F2" i="11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F2" i="9" s="1"/>
  <c r="D2" i="8"/>
  <c r="I5" i="8" s="1"/>
  <c r="D12" i="7"/>
  <c r="F12" i="7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7" i="6"/>
  <c r="F7" i="6" s="1"/>
  <c r="D6" i="6"/>
  <c r="F6" i="6" s="1"/>
  <c r="D5" i="6"/>
  <c r="D4" i="6"/>
  <c r="F4" i="6" s="1"/>
  <c r="D3" i="6"/>
  <c r="F3" i="6" s="1"/>
  <c r="D2" i="6"/>
  <c r="F2" i="6" s="1"/>
  <c r="D8" i="5"/>
  <c r="F8" i="5" s="1"/>
  <c r="D7" i="5"/>
  <c r="F7" i="5" s="1"/>
  <c r="D6" i="5"/>
  <c r="F6" i="5" s="1"/>
  <c r="D5" i="5"/>
  <c r="D4" i="5"/>
  <c r="F4" i="5" s="1"/>
  <c r="D3" i="5"/>
  <c r="F3" i="5" s="1"/>
  <c r="D2" i="5"/>
  <c r="F2" i="5" s="1"/>
  <c r="D10" i="4"/>
  <c r="F10" i="4" s="1"/>
  <c r="D9" i="4"/>
  <c r="F9" i="4" s="1"/>
  <c r="D8" i="4"/>
  <c r="F8" i="4" s="1"/>
  <c r="D7" i="4"/>
  <c r="F7" i="4" s="1"/>
  <c r="D6" i="4"/>
  <c r="F6" i="4" s="1"/>
  <c r="D5" i="4"/>
  <c r="D4" i="4"/>
  <c r="F4" i="4" s="1"/>
  <c r="D3" i="4"/>
  <c r="F3" i="4" s="1"/>
  <c r="D2" i="4"/>
  <c r="F2" i="4" s="1"/>
  <c r="D4" i="3"/>
  <c r="F4" i="3" s="1"/>
  <c r="D3" i="3"/>
  <c r="F3" i="3" s="1"/>
  <c r="D2" i="3"/>
  <c r="F2" i="3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I7" i="17" l="1"/>
  <c r="I5" i="17" a="1"/>
  <c r="I5" i="17" s="1"/>
  <c r="I5" i="16" a="1"/>
  <c r="I5" i="16" s="1"/>
  <c r="F2" i="16"/>
  <c r="I7" i="16" s="1"/>
  <c r="I5" i="15" a="1"/>
  <c r="I5" i="15" s="1"/>
  <c r="I7" i="14"/>
  <c r="I5" i="14" a="1"/>
  <c r="I5" i="14" s="1"/>
  <c r="I7" i="13"/>
  <c r="I5" i="13" a="1"/>
  <c r="I5" i="13" s="1"/>
  <c r="I5" i="12" a="1"/>
  <c r="I5" i="12" s="1"/>
  <c r="I5" i="11" a="1"/>
  <c r="I5" i="11" s="1"/>
  <c r="I7" i="10"/>
  <c r="I5" i="10" a="1"/>
  <c r="I5" i="10" s="1"/>
  <c r="I7" i="9"/>
  <c r="I5" i="9" a="1"/>
  <c r="I5" i="9" s="1"/>
  <c r="I5" i="7" a="1"/>
  <c r="I5" i="7" s="1"/>
  <c r="I7" i="7"/>
  <c r="I5" i="6" a="1"/>
  <c r="I5" i="6" s="1"/>
  <c r="I5" i="5" a="1"/>
  <c r="I5" i="5" s="1"/>
  <c r="I5" i="4" a="1"/>
  <c r="I5" i="4" s="1"/>
  <c r="I7" i="3"/>
  <c r="I5" i="3" a="1"/>
  <c r="I5" i="3" s="1"/>
  <c r="I7" i="2"/>
  <c r="I5" i="2" a="1"/>
  <c r="I5" i="2" s="1"/>
  <c r="I5" i="1" a="1"/>
  <c r="I5" i="1" s="1"/>
  <c r="F2" i="1"/>
  <c r="I7" i="1" s="1"/>
  <c r="I7" i="12"/>
  <c r="I7" i="15"/>
  <c r="F5" i="5"/>
  <c r="I7" i="5" s="1"/>
  <c r="F2" i="8"/>
  <c r="I7" i="8" s="1"/>
  <c r="F5" i="4"/>
  <c r="I7" i="4" s="1"/>
  <c r="F5" i="6"/>
  <c r="I7" i="6" s="1"/>
  <c r="F5" i="11"/>
  <c r="I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<sst xmlns="http://schemas.openxmlformats.org/spreadsheetml/2006/main" count="276" uniqueCount="114">
  <si>
    <t>Name</t>
  </si>
  <si>
    <t>ARIMAPP</t>
  </si>
  <si>
    <t>LSTMPP</t>
  </si>
  <si>
    <t>PP</t>
  </si>
  <si>
    <t>AP</t>
  </si>
  <si>
    <t>DIFF</t>
  </si>
  <si>
    <t>Martinelli</t>
  </si>
  <si>
    <t>ARIMA</t>
  </si>
  <si>
    <t>Nketiah</t>
  </si>
  <si>
    <t>LSTM</t>
  </si>
  <si>
    <t>Ødegaard</t>
  </si>
  <si>
    <t>Ramsdale</t>
  </si>
  <si>
    <t>OFF</t>
  </si>
  <si>
    <t>Saka</t>
  </si>
  <si>
    <t>Saliba</t>
  </si>
  <si>
    <t>AVG</t>
  </si>
  <si>
    <t>White</t>
  </si>
  <si>
    <t>Rice</t>
  </si>
  <si>
    <t>Cash</t>
  </si>
  <si>
    <t>Digne</t>
  </si>
  <si>
    <t>Douglas Luiz</t>
  </si>
  <si>
    <t>Konsa</t>
  </si>
  <si>
    <t>McGinn</t>
  </si>
  <si>
    <t>Watkins</t>
  </si>
  <si>
    <t>Billing</t>
  </si>
  <si>
    <t>Neto</t>
  </si>
  <si>
    <t>Solanke</t>
  </si>
  <si>
    <t>Henry</t>
  </si>
  <si>
    <t>Hickey</t>
  </si>
  <si>
    <t>Janelt</t>
  </si>
  <si>
    <t>Jensen</t>
  </si>
  <si>
    <t>Mbeumo</t>
  </si>
  <si>
    <t>Nørgaard</t>
  </si>
  <si>
    <t>Pinnock</t>
  </si>
  <si>
    <t>Schade</t>
  </si>
  <si>
    <t>Wissa</t>
  </si>
  <si>
    <t>Estupiñan</t>
  </si>
  <si>
    <t>Ferguson</t>
  </si>
  <si>
    <t>Gross</t>
  </si>
  <si>
    <t>João Pedro</t>
  </si>
  <si>
    <t>March</t>
  </si>
  <si>
    <t>Mitoma</t>
  </si>
  <si>
    <t>Veltman</t>
  </si>
  <si>
    <t>Sanchez</t>
  </si>
  <si>
    <t>Chilwell</t>
  </si>
  <si>
    <t>Colwill</t>
  </si>
  <si>
    <t>Gallagher</t>
  </si>
  <si>
    <t>Sterling</t>
  </si>
  <si>
    <t>T.Silva</t>
  </si>
  <si>
    <t>Andersen</t>
  </si>
  <si>
    <t>J.Ayew</t>
  </si>
  <si>
    <t>C.Doucouré</t>
  </si>
  <si>
    <t>Edouard</t>
  </si>
  <si>
    <t>Eze</t>
  </si>
  <si>
    <t>Guéhi</t>
  </si>
  <si>
    <t>Johnstone</t>
  </si>
  <si>
    <t>Lerma</t>
  </si>
  <si>
    <t>Mitchell</t>
  </si>
  <si>
    <t>Schlupp</t>
  </si>
  <si>
    <t>Ward</t>
  </si>
  <si>
    <t>A.Doucoure</t>
  </si>
  <si>
    <t>Andreas</t>
  </si>
  <si>
    <t>Diop</t>
  </si>
  <si>
    <t>Leno</t>
  </si>
  <si>
    <t>Reed</t>
  </si>
  <si>
    <t>Robinson</t>
  </si>
  <si>
    <t>Tete</t>
  </si>
  <si>
    <t>Wilson</t>
  </si>
  <si>
    <t>A.Becker</t>
  </si>
  <si>
    <t>Darwin</t>
  </si>
  <si>
    <t>Diogo J.</t>
  </si>
  <si>
    <t>Luis Díaz</t>
  </si>
  <si>
    <t>Robertson</t>
  </si>
  <si>
    <t>Salah</t>
  </si>
  <si>
    <t>J.Alvarez</t>
  </si>
  <si>
    <t>Ederson M.</t>
  </si>
  <si>
    <t>Foden</t>
  </si>
  <si>
    <t>Haaland</t>
  </si>
  <si>
    <t>Rodrigo</t>
  </si>
  <si>
    <t>Walker</t>
  </si>
  <si>
    <t>Antony</t>
  </si>
  <si>
    <t>B.Fernandes</t>
  </si>
  <si>
    <t>Casemiro</t>
  </si>
  <si>
    <t>Eriksen</t>
  </si>
  <si>
    <t>R.Varane</t>
  </si>
  <si>
    <t>Rashford</t>
  </si>
  <si>
    <t>Wan-Bissaka</t>
  </si>
  <si>
    <t>Almirón</t>
  </si>
  <si>
    <t>Botman</t>
  </si>
  <si>
    <t>Gordon</t>
  </si>
  <si>
    <t>Isak</t>
  </si>
  <si>
    <t>Pope</t>
  </si>
  <si>
    <t>Barnes</t>
  </si>
  <si>
    <t>Awoniyi</t>
  </si>
  <si>
    <t>Boly</t>
  </si>
  <si>
    <t>Gibbs-White</t>
  </si>
  <si>
    <t>Johnson</t>
  </si>
  <si>
    <t>Wood</t>
  </si>
  <si>
    <t>Kulusevski</t>
  </si>
  <si>
    <t>Maddison</t>
  </si>
  <si>
    <t>Romero</t>
  </si>
  <si>
    <t>Son</t>
  </si>
  <si>
    <t>Antonio</t>
  </si>
  <si>
    <t>Areola</t>
  </si>
  <si>
    <t>Benrahma</t>
  </si>
  <si>
    <t>Bowen</t>
  </si>
  <si>
    <t>L.Paquetá</t>
  </si>
  <si>
    <t>Zouma</t>
  </si>
  <si>
    <t>Bueno</t>
  </si>
  <si>
    <t>Dawson</t>
  </si>
  <si>
    <t>Hee Chan</t>
  </si>
  <si>
    <t>Kilman</t>
  </si>
  <si>
    <t>José Sá</t>
  </si>
  <si>
    <t>N.Semedo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</si>
</sst>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9">
  <autoFilter ref="A1:F9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7">
  <autoFilter ref="A1:F7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4">
  <autoFilter ref="A1:F4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0">
  <autoFilter ref="A1:F10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8">
  <autoFilter ref="A1:F8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7">
  <autoFilter ref="A1:F7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2">
  <autoFilter ref="A1:F12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2">
  <autoFilter ref="A1:F2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8">
  <autoFilter ref="A1:F8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7">
  <autoFilter ref="A1:F7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7">
  <autoFilter ref="A1:F7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8">
  <autoFilter ref="A1:F8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8">
  <autoFilter ref="A1:F8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6">
  <autoFilter ref="A1:F6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TOT" displayName="TableTOT" ref="A1:F5">
  <autoFilter ref="A1:F5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WHU" displayName="TableWHU" ref="A1:F7">
  <autoFilter ref="A1:F7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OL" displayName="TableWOL" ref="A1:F8">
  <autoFilter ref="A1:F8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50.572528326422059</v>
      </c>
      <c r="C2">
        <v>57.762689497107964</v>
      </c>
      <c r="D2">
        <f t="shared" ref="D2:D9" si="0">B2*$I$2+C2*$I$3</f>
        <v>44.516744733053756</v>
      </c>
      <c r="E2">
        <v>46</v>
      </c>
      <c r="F2">
        <f t="shared" ref="F2:F9" si="1">ABS(D2-E2)</f>
        <v>1.4832552669462444</v>
      </c>
      <c r="H2" t="s">
        <v>7</v>
      </c>
      <c r="I2">
        <v>0.38918760177806278</v>
      </c>
    </row>
    <row r="3" spans="1:9" x14ac:dyDescent="0.3">
      <c r="A3" t="s">
        <v>8</v>
      </c>
      <c r="B3">
        <v>20.764543258713601</v>
      </c>
      <c r="C3">
        <v>43.227254543502617</v>
      </c>
      <c r="D3">
        <f t="shared" si="0"/>
        <v>26.666468270957768</v>
      </c>
      <c r="E3">
        <v>28</v>
      </c>
      <c r="F3">
        <f t="shared" si="1"/>
        <v>1.3335317290422317</v>
      </c>
      <c r="H3" t="s">
        <v>9</v>
      </c>
      <c r="I3">
        <v>0.42994091746859908</v>
      </c>
    </row>
    <row r="4" spans="1:9" x14ac:dyDescent="0.3">
      <c r="A4" t="s">
        <v>10</v>
      </c>
      <c r="B4">
        <v>42.313781378846656</v>
      </c>
      <c r="C4">
        <v>52.597483622597572</v>
      </c>
      <c r="D4">
        <f t="shared" si="0"/>
        <v>39.081809462233792</v>
      </c>
      <c r="E4">
        <v>63</v>
      </c>
      <c r="F4">
        <f t="shared" si="1"/>
        <v>23.918190537766208</v>
      </c>
    </row>
    <row r="5" spans="1:9" x14ac:dyDescent="0.3">
      <c r="A5" t="s">
        <v>11</v>
      </c>
      <c r="B5">
        <v>55.096774232405494</v>
      </c>
      <c r="C5">
        <v>38.455236944857788</v>
      </c>
      <c r="D5">
        <f t="shared" si="0"/>
        <v>37.976461282761782</v>
      </c>
      <c r="E5">
        <v>29</v>
      </c>
      <c r="F5">
        <f t="shared" si="1"/>
        <v>8.9764612827617825</v>
      </c>
      <c r="H5" t="s">
        <v>12</v>
      </c>
      <c r="I5" cm="1">
        <f t="array" ref="I5">(SUM(TableARS[PP]-TableARS[AP]))^2</f>
        <v>8.0779356694631609E-28</v>
      </c>
    </row>
    <row r="6" spans="1:9" x14ac:dyDescent="0.3">
      <c r="A6" t="s">
        <v>13</v>
      </c>
      <c r="B6">
        <v>46.556717404585754</v>
      </c>
      <c r="C6">
        <v>57.606135612537273</v>
      </c>
      <c r="D6">
        <f t="shared" si="0"/>
        <v>42.886531990424537</v>
      </c>
      <c r="E6">
        <v>44</v>
      </c>
      <c r="F6">
        <f t="shared" si="1"/>
        <v>1.1134680095754632</v>
      </c>
    </row>
    <row r="7" spans="1:9" x14ac:dyDescent="0.3">
      <c r="A7" t="s">
        <v>14</v>
      </c>
      <c r="B7">
        <v>48.344415349514207</v>
      </c>
      <c r="C7">
        <v>52.923229846540544</v>
      </c>
      <c r="D7">
        <f t="shared" si="0"/>
        <v>41.568909064863192</v>
      </c>
      <c r="E7">
        <v>33</v>
      </c>
      <c r="F7">
        <f t="shared" si="1"/>
        <v>8.5689090648631918</v>
      </c>
      <c r="H7" t="s">
        <v>15</v>
      </c>
      <c r="I7">
        <f>AVERAGE(TableARS[DIFF])/10</f>
        <v>0.84513089015301757</v>
      </c>
    </row>
    <row r="8" spans="1:9" x14ac:dyDescent="0.3">
      <c r="A8" t="s">
        <v>16</v>
      </c>
      <c r="B8">
        <v>58.868252360797946</v>
      </c>
      <c r="C8">
        <v>49.655825798181255</v>
      </c>
      <c r="D8">
        <f t="shared" si="0"/>
        <v>44.259865258495715</v>
      </c>
      <c r="E8">
        <v>28</v>
      </c>
      <c r="F8">
        <f t="shared" si="1"/>
        <v>16.259865258495715</v>
      </c>
    </row>
    <row r="9" spans="1:9" x14ac:dyDescent="0.3">
      <c r="A9" t="s">
        <v>17</v>
      </c>
      <c r="B9">
        <v>23.488004981142261</v>
      </c>
      <c r="C9">
        <v>30.008703716807275</v>
      </c>
      <c r="D9">
        <f t="shared" si="0"/>
        <v>22.043209937209429</v>
      </c>
      <c r="E9">
        <v>28</v>
      </c>
      <c r="F9">
        <f t="shared" si="1"/>
        <v>5.9567900627905708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18</v>
      </c>
      <c r="B2">
        <v>13.972071778449671</v>
      </c>
      <c r="C2">
        <v>37.210080016685325</v>
      </c>
      <c r="D2">
        <f t="shared" ref="D2:D7" si="0">B2*$I$2+C2*$I$3</f>
        <v>30.88377821123839</v>
      </c>
      <c r="E2">
        <v>53</v>
      </c>
      <c r="F2">
        <f t="shared" ref="F2:F7" si="1">ABS(D2-E2)</f>
        <v>22.11622178876161</v>
      </c>
      <c r="H2" t="s">
        <v>7</v>
      </c>
      <c r="I2">
        <v>0.51516193942610056</v>
      </c>
    </row>
    <row r="3" spans="1:9" x14ac:dyDescent="0.3">
      <c r="A3" t="s">
        <v>19</v>
      </c>
      <c r="B3">
        <v>30.410448742490534</v>
      </c>
      <c r="C3">
        <v>29.266676593308762</v>
      </c>
      <c r="D3">
        <f t="shared" si="0"/>
        <v>34.295868879631811</v>
      </c>
      <c r="E3">
        <v>21</v>
      </c>
      <c r="F3">
        <f t="shared" si="1"/>
        <v>13.295868879631811</v>
      </c>
      <c r="H3" t="s">
        <v>9</v>
      </c>
      <c r="I3">
        <v>0.63654522122582391</v>
      </c>
    </row>
    <row r="4" spans="1:9" x14ac:dyDescent="0.3">
      <c r="A4" t="s">
        <v>20</v>
      </c>
      <c r="B4">
        <v>25.397477280752845</v>
      </c>
      <c r="C4">
        <v>35.573388032996959</v>
      </c>
      <c r="D4">
        <f t="shared" si="0"/>
        <v>35.727883807699087</v>
      </c>
      <c r="E4">
        <v>40</v>
      </c>
      <c r="F4">
        <f t="shared" si="1"/>
        <v>4.2721161923009134</v>
      </c>
    </row>
    <row r="5" spans="1:9" x14ac:dyDescent="0.3">
      <c r="A5" t="s">
        <v>21</v>
      </c>
      <c r="B5">
        <v>27.7089112771632</v>
      </c>
      <c r="C5">
        <v>32.605922961886506</v>
      </c>
      <c r="D5">
        <f t="shared" si="0"/>
        <v>35.029720917975361</v>
      </c>
      <c r="E5">
        <v>35</v>
      </c>
      <c r="F5">
        <f t="shared" si="1"/>
        <v>2.9720917975360805E-2</v>
      </c>
      <c r="H5" t="s">
        <v>12</v>
      </c>
      <c r="I5" cm="1">
        <f t="array" ref="I5">(SUM(TableAVL[PP]-TableAVL[AP]))^2</f>
        <v>1.135959703518257E-28</v>
      </c>
    </row>
    <row r="6" spans="1:9" x14ac:dyDescent="0.3">
      <c r="A6" t="s">
        <v>22</v>
      </c>
      <c r="B6">
        <v>30.056615193634212</v>
      </c>
      <c r="C6">
        <v>32.430584981678869</v>
      </c>
      <c r="D6">
        <f t="shared" si="0"/>
        <v>36.12755806738226</v>
      </c>
      <c r="E6">
        <v>33</v>
      </c>
      <c r="F6">
        <f t="shared" si="1"/>
        <v>3.1275580673822603</v>
      </c>
    </row>
    <row r="7" spans="1:9" x14ac:dyDescent="0.3">
      <c r="A7" t="s">
        <v>23</v>
      </c>
      <c r="B7">
        <v>49.915939481329985</v>
      </c>
      <c r="C7">
        <v>52.188590561753401</v>
      </c>
      <c r="D7">
        <f t="shared" si="0"/>
        <v>58.93519011607308</v>
      </c>
      <c r="E7">
        <v>49</v>
      </c>
      <c r="F7">
        <f t="shared" si="1"/>
        <v>9.9351901160730804</v>
      </c>
      <c r="H7" t="s">
        <v>15</v>
      </c>
      <c r="I7">
        <f>AVERAGE(TableAVL[DIFF])/10</f>
        <v>0.87961126603541717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24</v>
      </c>
      <c r="B2">
        <v>35.356911329427241</v>
      </c>
      <c r="C2">
        <v>39.878655081519931</v>
      </c>
      <c r="D2">
        <f>B2*$I$2+C2*$I$3</f>
        <v>39.594595396384072</v>
      </c>
      <c r="E2">
        <v>32</v>
      </c>
      <c r="F2">
        <f>ABS(D2-E2)</f>
        <v>7.5945953963840722</v>
      </c>
      <c r="H2" t="s">
        <v>7</v>
      </c>
      <c r="I2">
        <v>0.47783760478074427</v>
      </c>
    </row>
    <row r="3" spans="1:9" x14ac:dyDescent="0.3">
      <c r="A3" t="s">
        <v>25</v>
      </c>
      <c r="B3">
        <v>34.900335480132242</v>
      </c>
      <c r="C3">
        <v>46.395278379752128</v>
      </c>
      <c r="D3">
        <f>B3*$I$2+C3*$I$3</f>
        <v>43.085819503441563</v>
      </c>
      <c r="E3">
        <v>40</v>
      </c>
      <c r="F3">
        <f>ABS(D3-E3)</f>
        <v>3.085819503441563</v>
      </c>
      <c r="H3" t="s">
        <v>9</v>
      </c>
      <c r="I3">
        <v>0.56922013864014753</v>
      </c>
    </row>
    <row r="4" spans="1:9" x14ac:dyDescent="0.3">
      <c r="A4" t="s">
        <v>26</v>
      </c>
      <c r="B4">
        <v>35.286710931852603</v>
      </c>
      <c r="C4">
        <v>39.454450296786113</v>
      </c>
      <c r="D4">
        <f>B4*$I$2+C4*$I$3</f>
        <v>39.319585100174351</v>
      </c>
      <c r="E4">
        <v>50</v>
      </c>
      <c r="F4">
        <f>ABS(D4-E4)</f>
        <v>10.680414899825649</v>
      </c>
    </row>
    <row r="5" spans="1:9" x14ac:dyDescent="0.3">
      <c r="H5" t="s">
        <v>12</v>
      </c>
      <c r="I5" cm="1">
        <f t="array" ref="I5">(SUM(TableBOU[PP]-TableBOU[AP]))^2</f>
        <v>2.0194839173657902E-28</v>
      </c>
    </row>
    <row r="7" spans="1:9" x14ac:dyDescent="0.3">
      <c r="H7" t="s">
        <v>15</v>
      </c>
      <c r="I7">
        <f>AVERAGE(TableBOU[DIFF])/10</f>
        <v>0.71202765998837614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27</v>
      </c>
      <c r="B2">
        <v>39.112842456117647</v>
      </c>
      <c r="C2">
        <v>34.20356012282808</v>
      </c>
      <c r="D2">
        <f t="shared" ref="D2:D10" si="0">B2*$I$2+C2*$I$3</f>
        <v>33.281889000519797</v>
      </c>
      <c r="E2">
        <v>31</v>
      </c>
      <c r="F2">
        <f t="shared" ref="F2:F10" si="1">ABS(D2-E2)</f>
        <v>2.2818890005197972</v>
      </c>
      <c r="H2" t="s">
        <v>7</v>
      </c>
      <c r="I2">
        <v>0.42155605618800157</v>
      </c>
    </row>
    <row r="3" spans="1:9" x14ac:dyDescent="0.3">
      <c r="A3" t="s">
        <v>28</v>
      </c>
      <c r="B3">
        <v>23.78730663921252</v>
      </c>
      <c r="C3">
        <v>49.102935237823537</v>
      </c>
      <c r="D3">
        <f t="shared" si="0"/>
        <v>34.136772687588341</v>
      </c>
      <c r="E3">
        <v>21</v>
      </c>
      <c r="F3">
        <f t="shared" si="1"/>
        <v>13.136772687588341</v>
      </c>
      <c r="H3" t="s">
        <v>9</v>
      </c>
      <c r="I3">
        <v>0.49099080119463478</v>
      </c>
    </row>
    <row r="4" spans="1:9" x14ac:dyDescent="0.3">
      <c r="A4" t="s">
        <v>29</v>
      </c>
      <c r="B4">
        <v>33.392191634615131</v>
      </c>
      <c r="C4">
        <v>28.973382778334855</v>
      </c>
      <c r="D4">
        <f t="shared" si="0"/>
        <v>28.302345036615797</v>
      </c>
      <c r="E4">
        <v>21</v>
      </c>
      <c r="F4">
        <f t="shared" si="1"/>
        <v>7.3023450366157974</v>
      </c>
    </row>
    <row r="5" spans="1:9" x14ac:dyDescent="0.3">
      <c r="A5" t="s">
        <v>30</v>
      </c>
      <c r="B5">
        <v>27.882821776726352</v>
      </c>
      <c r="C5">
        <v>36.497122463965994</v>
      </c>
      <c r="D5">
        <f t="shared" si="0"/>
        <v>29.673923783471054</v>
      </c>
      <c r="E5">
        <v>27</v>
      </c>
      <c r="F5">
        <f t="shared" si="1"/>
        <v>2.6739237834710536</v>
      </c>
      <c r="H5" t="s">
        <v>12</v>
      </c>
      <c r="I5" cm="1">
        <f t="array" ref="I5">(SUM(TableBRE[PP]-TableBRE[AP]))^2</f>
        <v>0</v>
      </c>
    </row>
    <row r="6" spans="1:9" x14ac:dyDescent="0.3">
      <c r="A6" t="s">
        <v>31</v>
      </c>
      <c r="B6">
        <v>34.768605670597552</v>
      </c>
      <c r="C6">
        <v>35.990340442100063</v>
      </c>
      <c r="D6">
        <f t="shared" si="0"/>
        <v>32.32784237458727</v>
      </c>
      <c r="E6">
        <v>53</v>
      </c>
      <c r="F6">
        <f t="shared" si="1"/>
        <v>20.67215762541273</v>
      </c>
    </row>
    <row r="7" spans="1:9" x14ac:dyDescent="0.3">
      <c r="A7" t="s">
        <v>32</v>
      </c>
      <c r="B7">
        <v>31.583300246734456</v>
      </c>
      <c r="C7">
        <v>33.727160598512178</v>
      </c>
      <c r="D7">
        <f t="shared" si="0"/>
        <v>29.873857097698526</v>
      </c>
      <c r="E7">
        <v>31</v>
      </c>
      <c r="F7">
        <f t="shared" si="1"/>
        <v>1.1261429023014742</v>
      </c>
      <c r="H7" t="s">
        <v>15</v>
      </c>
      <c r="I7">
        <f>AVERAGE(TableBRE[DIFF])/10</f>
        <v>0.58490009021771794</v>
      </c>
    </row>
    <row r="8" spans="1:9" x14ac:dyDescent="0.3">
      <c r="A8" t="s">
        <v>33</v>
      </c>
      <c r="B8">
        <v>31.13252457672321</v>
      </c>
      <c r="C8">
        <v>34.17117261097394</v>
      </c>
      <c r="D8">
        <f t="shared" si="0"/>
        <v>29.901835697761726</v>
      </c>
      <c r="E8">
        <v>31</v>
      </c>
      <c r="F8">
        <f t="shared" si="1"/>
        <v>1.0981643022382741</v>
      </c>
    </row>
    <row r="9" spans="1:9" x14ac:dyDescent="0.3">
      <c r="A9" t="s">
        <v>34</v>
      </c>
      <c r="B9">
        <v>14.299992567706472</v>
      </c>
      <c r="C9">
        <v>42.561540929884529</v>
      </c>
      <c r="D9">
        <f t="shared" si="0"/>
        <v>26.925573551602319</v>
      </c>
      <c r="E9">
        <v>26</v>
      </c>
      <c r="F9">
        <f t="shared" si="1"/>
        <v>0.92557355160231936</v>
      </c>
    </row>
    <row r="10" spans="1:9" x14ac:dyDescent="0.3">
      <c r="A10" t="s">
        <v>35</v>
      </c>
      <c r="B10">
        <v>44.888888789594375</v>
      </c>
      <c r="C10">
        <v>31.879981880041406</v>
      </c>
      <c r="D10">
        <f t="shared" si="0"/>
        <v>34.57596077015517</v>
      </c>
      <c r="E10">
        <v>38</v>
      </c>
      <c r="F10">
        <f t="shared" si="1"/>
        <v>3.4240392298448299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36</v>
      </c>
      <c r="B2">
        <v>34.584631588439478</v>
      </c>
      <c r="C2">
        <v>57.659485643210814</v>
      </c>
      <c r="D2">
        <f t="shared" ref="D2:D8" si="0">B2*$I$2+C2*$I$3</f>
        <v>36.950269489871992</v>
      </c>
      <c r="E2">
        <v>36</v>
      </c>
      <c r="F2">
        <f t="shared" ref="F2:F8" si="1">ABS(D2-E2)</f>
        <v>0.95026948987199233</v>
      </c>
      <c r="H2" t="s">
        <v>7</v>
      </c>
      <c r="I2">
        <v>0.34511281586306469</v>
      </c>
    </row>
    <row r="3" spans="1:9" x14ac:dyDescent="0.3">
      <c r="A3" t="s">
        <v>37</v>
      </c>
      <c r="B3">
        <v>53</v>
      </c>
      <c r="C3">
        <v>65.283192282715333</v>
      </c>
      <c r="D3">
        <f t="shared" si="0"/>
        <v>46.613075536682246</v>
      </c>
      <c r="E3">
        <v>22</v>
      </c>
      <c r="F3">
        <f t="shared" si="1"/>
        <v>24.613075536682246</v>
      </c>
      <c r="H3" t="s">
        <v>9</v>
      </c>
      <c r="I3">
        <v>0.43383442668195787</v>
      </c>
    </row>
    <row r="4" spans="1:9" x14ac:dyDescent="0.3">
      <c r="A4" t="s">
        <v>38</v>
      </c>
      <c r="B4">
        <v>48.692134572154217</v>
      </c>
      <c r="C4">
        <v>42.931092099586337</v>
      </c>
      <c r="D4">
        <f t="shared" si="0"/>
        <v>35.429265400433792</v>
      </c>
      <c r="E4">
        <v>42</v>
      </c>
      <c r="F4">
        <f t="shared" si="1"/>
        <v>6.5707345995662081</v>
      </c>
    </row>
    <row r="5" spans="1:9" x14ac:dyDescent="0.3">
      <c r="A5" t="s">
        <v>39</v>
      </c>
      <c r="B5">
        <v>22.500122796571805</v>
      </c>
      <c r="C5">
        <v>39.296231271907544</v>
      </c>
      <c r="D5">
        <f t="shared" si="0"/>
        <v>24.813138700199261</v>
      </c>
      <c r="E5">
        <v>25</v>
      </c>
      <c r="F5">
        <f t="shared" si="1"/>
        <v>0.18686129980073929</v>
      </c>
      <c r="H5" t="s">
        <v>12</v>
      </c>
      <c r="I5" cm="1">
        <f t="array" ref="I5">(SUM(TableBHA[PP]-TableBHA[AP]))^2</f>
        <v>5.0487097934144756E-27</v>
      </c>
    </row>
    <row r="6" spans="1:9" x14ac:dyDescent="0.3">
      <c r="A6" t="s">
        <v>40</v>
      </c>
      <c r="B6">
        <v>64.956521739130437</v>
      </c>
      <c r="C6">
        <v>60.318186187458601</v>
      </c>
      <c r="D6">
        <f t="shared" si="0"/>
        <v>48.585433849193372</v>
      </c>
      <c r="E6">
        <v>57</v>
      </c>
      <c r="F6">
        <f t="shared" si="1"/>
        <v>8.4145661508066283</v>
      </c>
    </row>
    <row r="7" spans="1:9" x14ac:dyDescent="0.3">
      <c r="A7" t="s">
        <v>41</v>
      </c>
      <c r="B7">
        <v>37.753922174688476</v>
      </c>
      <c r="C7">
        <v>70.123371217518283</v>
      </c>
      <c r="D7">
        <f t="shared" si="0"/>
        <v>43.451294940739885</v>
      </c>
      <c r="E7">
        <v>41</v>
      </c>
      <c r="F7">
        <f t="shared" si="1"/>
        <v>2.451294940739885</v>
      </c>
      <c r="H7" t="s">
        <v>15</v>
      </c>
      <c r="I7">
        <f>AVERAGE(TableBHA[DIFF])/10</f>
        <v>0.80041828477983312</v>
      </c>
    </row>
    <row r="8" spans="1:9" x14ac:dyDescent="0.3">
      <c r="A8" t="s">
        <v>42</v>
      </c>
      <c r="B8">
        <v>32.736842105136404</v>
      </c>
      <c r="C8">
        <v>34.251819144829504</v>
      </c>
      <c r="D8">
        <f t="shared" si="0"/>
        <v>26.157522082879382</v>
      </c>
      <c r="E8">
        <v>39</v>
      </c>
      <c r="F8">
        <f t="shared" si="1"/>
        <v>12.842477917120618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43</v>
      </c>
      <c r="B2">
        <v>52.419027030068818</v>
      </c>
      <c r="C2">
        <v>34.87691694650232</v>
      </c>
      <c r="D2">
        <f t="shared" ref="D2:D7" si="0">B2*$I$2+C2*$I$3</f>
        <v>32.064078713927287</v>
      </c>
      <c r="E2">
        <v>34</v>
      </c>
      <c r="F2">
        <f t="shared" ref="F2:F7" si="1">ABS(D2-E2)</f>
        <v>1.9359212860727126</v>
      </c>
      <c r="H2" t="s">
        <v>7</v>
      </c>
      <c r="I2">
        <v>0.40084648605652085</v>
      </c>
    </row>
    <row r="3" spans="1:9" x14ac:dyDescent="0.3">
      <c r="A3" t="s">
        <v>44</v>
      </c>
      <c r="B3">
        <v>37.089128809532724</v>
      </c>
      <c r="C3">
        <v>43.7805227937898</v>
      </c>
      <c r="D3">
        <f t="shared" si="0"/>
        <v>28.740593700549482</v>
      </c>
      <c r="E3">
        <v>29</v>
      </c>
      <c r="F3">
        <f t="shared" si="1"/>
        <v>0.25940629945051796</v>
      </c>
      <c r="H3" t="s">
        <v>9</v>
      </c>
      <c r="I3">
        <v>0.31688855822248335</v>
      </c>
    </row>
    <row r="4" spans="1:9" x14ac:dyDescent="0.3">
      <c r="A4" t="s">
        <v>45</v>
      </c>
      <c r="B4">
        <v>28.500104795711881</v>
      </c>
      <c r="C4">
        <v>52.251982738099521</v>
      </c>
      <c r="D4">
        <f t="shared" si="0"/>
        <v>27.982222333746151</v>
      </c>
      <c r="E4">
        <v>27</v>
      </c>
      <c r="F4">
        <f t="shared" si="1"/>
        <v>0.98222233374615087</v>
      </c>
    </row>
    <row r="5" spans="1:9" x14ac:dyDescent="0.3">
      <c r="A5" t="s">
        <v>46</v>
      </c>
      <c r="B5">
        <v>27.711165492420292</v>
      </c>
      <c r="C5">
        <v>23.528505562888146</v>
      </c>
      <c r="D5">
        <f t="shared" si="0"/>
        <v>18.563837517120696</v>
      </c>
      <c r="E5">
        <v>29</v>
      </c>
      <c r="F5">
        <f t="shared" si="1"/>
        <v>10.436162482879304</v>
      </c>
      <c r="H5" t="s">
        <v>12</v>
      </c>
      <c r="I5" cm="1">
        <f t="array" ref="I5">(SUM(TableCHE[PP]-TableCHE[AP]))^2</f>
        <v>2.0194839173657902E-28</v>
      </c>
    </row>
    <row r="6" spans="1:9" x14ac:dyDescent="0.3">
      <c r="A6" t="s">
        <v>47</v>
      </c>
      <c r="B6">
        <v>80.133333332866471</v>
      </c>
      <c r="C6">
        <v>39.14770539267775</v>
      </c>
      <c r="D6">
        <f t="shared" si="0"/>
        <v>44.526625002079591</v>
      </c>
      <c r="E6">
        <v>49</v>
      </c>
      <c r="F6">
        <f t="shared" si="1"/>
        <v>4.4733749979204092</v>
      </c>
    </row>
    <row r="7" spans="1:9" x14ac:dyDescent="0.3">
      <c r="A7" t="s">
        <v>48</v>
      </c>
      <c r="B7">
        <v>65.84362974137629</v>
      </c>
      <c r="C7">
        <v>37.014448193816968</v>
      </c>
      <c r="D7">
        <f t="shared" si="0"/>
        <v>38.122642732576779</v>
      </c>
      <c r="E7">
        <v>22</v>
      </c>
      <c r="F7">
        <f t="shared" si="1"/>
        <v>16.122642732576779</v>
      </c>
      <c r="H7" t="s">
        <v>15</v>
      </c>
      <c r="I7">
        <f>AVERAGE(TableCHE[DIFF])/10</f>
        <v>0.57016216887743121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49</v>
      </c>
      <c r="B2">
        <v>49.712344472240318</v>
      </c>
      <c r="C2">
        <v>29.038779941923149</v>
      </c>
      <c r="D2">
        <f t="shared" ref="D2:D12" si="0">B2*$I$2+C2*$I$3</f>
        <v>47.409748330502083</v>
      </c>
      <c r="E2">
        <v>42</v>
      </c>
      <c r="F2">
        <f t="shared" ref="F2:F12" si="1">ABS(D2-E2)</f>
        <v>5.409748330502083</v>
      </c>
      <c r="H2" t="s">
        <v>7</v>
      </c>
      <c r="I2">
        <v>0.65157705374707231</v>
      </c>
    </row>
    <row r="3" spans="1:9" x14ac:dyDescent="0.3">
      <c r="A3" t="s">
        <v>50</v>
      </c>
      <c r="B3">
        <v>23.218390804597707</v>
      </c>
      <c r="C3">
        <v>23.871730053718878</v>
      </c>
      <c r="D3">
        <f t="shared" si="0"/>
        <v>27.474592446602312</v>
      </c>
      <c r="E3">
        <v>47</v>
      </c>
      <c r="F3">
        <f t="shared" si="1"/>
        <v>19.525407553397688</v>
      </c>
      <c r="H3" t="s">
        <v>9</v>
      </c>
      <c r="I3">
        <v>0.51718169339264486</v>
      </c>
    </row>
    <row r="4" spans="1:9" x14ac:dyDescent="0.3">
      <c r="A4" t="s">
        <v>51</v>
      </c>
      <c r="B4">
        <v>20.677017469744339</v>
      </c>
      <c r="C4">
        <v>29.574904902769145</v>
      </c>
      <c r="D4">
        <f t="shared" si="0"/>
        <v>28.768269522753343</v>
      </c>
      <c r="E4">
        <v>26</v>
      </c>
      <c r="F4">
        <f t="shared" si="1"/>
        <v>2.7682695227533429</v>
      </c>
    </row>
    <row r="5" spans="1:9" x14ac:dyDescent="0.3">
      <c r="A5" t="s">
        <v>52</v>
      </c>
      <c r="B5">
        <v>27.907939948074773</v>
      </c>
      <c r="C5">
        <v>25.296464289157935</v>
      </c>
      <c r="D5">
        <f t="shared" si="0"/>
        <v>31.267041525430052</v>
      </c>
      <c r="E5">
        <v>25</v>
      </c>
      <c r="F5">
        <f t="shared" si="1"/>
        <v>6.2670415254300522</v>
      </c>
      <c r="H5" t="s">
        <v>12</v>
      </c>
      <c r="I5" cm="1">
        <f t="array" ref="I5">(SUM(TableCRY[PP]-TableCRY[AP]))^2</f>
        <v>3.1554436208840472E-28</v>
      </c>
    </row>
    <row r="6" spans="1:9" x14ac:dyDescent="0.3">
      <c r="A6" t="s">
        <v>53</v>
      </c>
      <c r="B6">
        <v>62.857142857142854</v>
      </c>
      <c r="C6">
        <v>32.369757710641693</v>
      </c>
      <c r="D6">
        <f t="shared" si="0"/>
        <v>57.697318057315265</v>
      </c>
      <c r="E6">
        <v>63</v>
      </c>
      <c r="F6">
        <f t="shared" si="1"/>
        <v>5.3026819426847354</v>
      </c>
    </row>
    <row r="7" spans="1:9" x14ac:dyDescent="0.3">
      <c r="A7" t="s">
        <v>54</v>
      </c>
      <c r="B7">
        <v>28.909597526570401</v>
      </c>
      <c r="C7">
        <v>26.615784581115786</v>
      </c>
      <c r="D7">
        <f t="shared" si="0"/>
        <v>32.602026922011703</v>
      </c>
      <c r="E7">
        <v>41</v>
      </c>
      <c r="F7">
        <f t="shared" si="1"/>
        <v>8.3979730779882971</v>
      </c>
      <c r="H7" t="s">
        <v>15</v>
      </c>
      <c r="I7">
        <f>AVERAGE(TableCRY[DIFF])/10</f>
        <v>0.87149531805886971</v>
      </c>
    </row>
    <row r="8" spans="1:9" x14ac:dyDescent="0.3">
      <c r="A8" t="s">
        <v>55</v>
      </c>
      <c r="B8">
        <v>72.111111107529297</v>
      </c>
      <c r="C8">
        <v>41.07635528162119</v>
      </c>
      <c r="D8">
        <f t="shared" si="0"/>
        <v>68.229884300818469</v>
      </c>
      <c r="E8">
        <v>42</v>
      </c>
      <c r="F8">
        <f t="shared" si="1"/>
        <v>26.229884300818469</v>
      </c>
    </row>
    <row r="9" spans="1:9" x14ac:dyDescent="0.3">
      <c r="A9" t="s">
        <v>56</v>
      </c>
      <c r="B9">
        <v>23.702595093551107</v>
      </c>
      <c r="C9">
        <v>29.579891795851161</v>
      </c>
      <c r="D9">
        <f t="shared" si="0"/>
        <v>30.742245606565348</v>
      </c>
      <c r="E9">
        <v>34</v>
      </c>
      <c r="F9">
        <f t="shared" si="1"/>
        <v>3.2577543934346522</v>
      </c>
    </row>
    <row r="10" spans="1:9" x14ac:dyDescent="0.3">
      <c r="A10" t="s">
        <v>57</v>
      </c>
      <c r="B10">
        <v>28.133333383819625</v>
      </c>
      <c r="C10">
        <v>26.534193342838435</v>
      </c>
      <c r="D10">
        <f t="shared" si="0"/>
        <v>32.054033524170372</v>
      </c>
      <c r="E10">
        <v>37</v>
      </c>
      <c r="F10">
        <f t="shared" si="1"/>
        <v>4.9459664758296285</v>
      </c>
    </row>
    <row r="11" spans="1:9" x14ac:dyDescent="0.3">
      <c r="A11" t="s">
        <v>58</v>
      </c>
      <c r="B11">
        <v>35.332891453835231</v>
      </c>
      <c r="C11">
        <v>25.59100151642572</v>
      </c>
      <c r="D11">
        <f t="shared" si="0"/>
        <v>36.257298813733868</v>
      </c>
      <c r="E11">
        <v>29</v>
      </c>
      <c r="F11">
        <f t="shared" si="1"/>
        <v>7.2572988137338683</v>
      </c>
    </row>
    <row r="12" spans="1:9" x14ac:dyDescent="0.3">
      <c r="A12" t="s">
        <v>59</v>
      </c>
      <c r="B12">
        <v>22.886592104909919</v>
      </c>
      <c r="C12">
        <v>24.334122527639988</v>
      </c>
      <c r="D12">
        <f t="shared" si="0"/>
        <v>27.497540950097168</v>
      </c>
      <c r="E12">
        <v>34</v>
      </c>
      <c r="F12">
        <f t="shared" si="1"/>
        <v>6.5024590499028321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60</v>
      </c>
      <c r="B2">
        <v>33.162096643240965</v>
      </c>
      <c r="C2">
        <v>25.889940376903439</v>
      </c>
      <c r="D2">
        <f>B2*$I$2+C2*$I$3</f>
        <v>41</v>
      </c>
      <c r="E2">
        <v>41</v>
      </c>
      <c r="F2">
        <f>ABS(D2-E2)</f>
        <v>0</v>
      </c>
      <c r="H2" t="s">
        <v>7</v>
      </c>
      <c r="I2">
        <v>0.76815560512754577</v>
      </c>
    </row>
    <row r="3" spans="1:9" x14ac:dyDescent="0.3">
      <c r="H3" t="s">
        <v>9</v>
      </c>
      <c r="I3">
        <v>0.59970588420374349</v>
      </c>
    </row>
    <row r="5" spans="1:9" x14ac:dyDescent="0.3">
      <c r="H5" t="s">
        <v>12</v>
      </c>
      <c r="I5">
        <f>(SUM(TableEVE[PP]-TableEVE[AP]))^2</f>
        <v>0</v>
      </c>
    </row>
    <row r="7" spans="1:9" x14ac:dyDescent="0.3">
      <c r="H7" t="s">
        <v>15</v>
      </c>
      <c r="I7">
        <f>AVERAGE(TableEVE[DIFF])/10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61</v>
      </c>
      <c r="B2">
        <v>60.799999923189887</v>
      </c>
      <c r="C2">
        <v>43.377374271229591</v>
      </c>
      <c r="D2">
        <f t="shared" ref="D2:D8" si="0">B2*$I$2+C2*$I$3</f>
        <v>54.466270468118211</v>
      </c>
      <c r="E2">
        <v>39</v>
      </c>
      <c r="F2">
        <f t="shared" ref="F2:F8" si="1">ABS(D2-E2)</f>
        <v>15.466270468118211</v>
      </c>
      <c r="H2" t="s">
        <v>7</v>
      </c>
      <c r="I2">
        <v>0.51539065498505932</v>
      </c>
    </row>
    <row r="3" spans="1:9" x14ac:dyDescent="0.3">
      <c r="A3" t="s">
        <v>62</v>
      </c>
      <c r="B3">
        <v>20.614437691268392</v>
      </c>
      <c r="C3">
        <v>33.688657692647659</v>
      </c>
      <c r="D3">
        <f t="shared" si="0"/>
        <v>28.588603230622226</v>
      </c>
      <c r="E3">
        <v>32</v>
      </c>
      <c r="F3">
        <f t="shared" si="1"/>
        <v>3.4113967693777738</v>
      </c>
      <c r="H3" t="s">
        <v>9</v>
      </c>
      <c r="I3">
        <v>0.53323925371746927</v>
      </c>
    </row>
    <row r="4" spans="1:9" x14ac:dyDescent="0.3">
      <c r="A4" t="s">
        <v>63</v>
      </c>
      <c r="B4">
        <v>36.72470858812634</v>
      </c>
      <c r="C4">
        <v>38.670171727829143</v>
      </c>
      <c r="D4">
        <f t="shared" si="0"/>
        <v>39.548025126643857</v>
      </c>
      <c r="E4">
        <v>48</v>
      </c>
      <c r="F4">
        <f t="shared" si="1"/>
        <v>8.4519748733561428</v>
      </c>
    </row>
    <row r="5" spans="1:9" x14ac:dyDescent="0.3">
      <c r="A5" t="s">
        <v>64</v>
      </c>
      <c r="B5">
        <v>24.245997846394744</v>
      </c>
      <c r="C5">
        <v>29.176950920221191</v>
      </c>
      <c r="D5">
        <f t="shared" si="0"/>
        <v>28.054456245269701</v>
      </c>
      <c r="E5">
        <v>31</v>
      </c>
      <c r="F5">
        <f t="shared" si="1"/>
        <v>2.9455437547302985</v>
      </c>
      <c r="H5" t="s">
        <v>12</v>
      </c>
      <c r="I5" cm="1">
        <f t="array" ref="I5">(SUM(TableFUL[PP]-TableFUL[AP]))^2</f>
        <v>2.0194839173657902E-28</v>
      </c>
    </row>
    <row r="6" spans="1:9" x14ac:dyDescent="0.3">
      <c r="A6" t="s">
        <v>65</v>
      </c>
      <c r="B6">
        <v>42.725490187845814</v>
      </c>
      <c r="C6">
        <v>27.113086925193173</v>
      </c>
      <c r="D6">
        <f t="shared" si="0"/>
        <v>36.478080610438461</v>
      </c>
      <c r="E6">
        <v>28</v>
      </c>
      <c r="F6">
        <f t="shared" si="1"/>
        <v>8.478080610438461</v>
      </c>
    </row>
    <row r="7" spans="1:9" x14ac:dyDescent="0.3">
      <c r="A7" t="s">
        <v>66</v>
      </c>
      <c r="B7">
        <v>24.532098117476604</v>
      </c>
      <c r="C7">
        <v>27.811313345665887</v>
      </c>
      <c r="D7">
        <f t="shared" si="0"/>
        <v>27.473698090269579</v>
      </c>
      <c r="E7">
        <v>23</v>
      </c>
      <c r="F7">
        <f t="shared" si="1"/>
        <v>4.4736980902695791</v>
      </c>
      <c r="H7" t="s">
        <v>15</v>
      </c>
      <c r="I7">
        <f>AVERAGE(TableFUL[DIFF])/10</f>
        <v>0.81194426196646441</v>
      </c>
    </row>
    <row r="8" spans="1:9" x14ac:dyDescent="0.3">
      <c r="A8" t="s">
        <v>67</v>
      </c>
      <c r="B8">
        <v>14.329488370958773</v>
      </c>
      <c r="C8">
        <v>31.891091499687178</v>
      </c>
      <c r="D8">
        <f t="shared" si="0"/>
        <v>24.39086622863795</v>
      </c>
      <c r="E8">
        <v>38</v>
      </c>
      <c r="F8">
        <f t="shared" si="1"/>
        <v>13.60913377136205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68</v>
      </c>
      <c r="B2">
        <v>41.156948840534959</v>
      </c>
      <c r="C2">
        <v>49.402801840643264</v>
      </c>
      <c r="D2">
        <f t="shared" ref="D2:D7" si="0">B2*$I$2+C2*$I$3</f>
        <v>39.797014994570205</v>
      </c>
      <c r="E2">
        <v>42</v>
      </c>
      <c r="F2">
        <f t="shared" ref="F2:F7" si="1">ABS(D2-E2)</f>
        <v>2.2029850054297953</v>
      </c>
      <c r="H2" t="s">
        <v>7</v>
      </c>
      <c r="I2">
        <v>0.41818861801095175</v>
      </c>
    </row>
    <row r="3" spans="1:9" x14ac:dyDescent="0.3">
      <c r="A3" t="s">
        <v>69</v>
      </c>
      <c r="B3">
        <v>41.105939152348853</v>
      </c>
      <c r="C3">
        <v>51.908117780274921</v>
      </c>
      <c r="D3">
        <f t="shared" si="0"/>
        <v>40.921047157669285</v>
      </c>
      <c r="E3">
        <v>30</v>
      </c>
      <c r="F3">
        <f t="shared" si="1"/>
        <v>10.921047157669285</v>
      </c>
      <c r="H3" t="s">
        <v>9</v>
      </c>
      <c r="I3">
        <v>0.4571734111407913</v>
      </c>
    </row>
    <row r="4" spans="1:9" x14ac:dyDescent="0.3">
      <c r="A4" t="s">
        <v>70</v>
      </c>
      <c r="B4">
        <v>20.318181986464509</v>
      </c>
      <c r="C4">
        <v>45.142856147738307</v>
      </c>
      <c r="D4">
        <f t="shared" si="0"/>
        <v>29.134945979114171</v>
      </c>
      <c r="E4">
        <v>53</v>
      </c>
      <c r="F4">
        <f t="shared" si="1"/>
        <v>23.865054020885829</v>
      </c>
    </row>
    <row r="5" spans="1:9" x14ac:dyDescent="0.3">
      <c r="A5" t="s">
        <v>71</v>
      </c>
      <c r="B5">
        <v>57.375</v>
      </c>
      <c r="C5">
        <v>53.44437684363222</v>
      </c>
      <c r="D5">
        <f t="shared" si="0"/>
        <v>48.426920026275617</v>
      </c>
      <c r="E5">
        <v>29</v>
      </c>
      <c r="F5">
        <f t="shared" si="1"/>
        <v>19.426920026275617</v>
      </c>
      <c r="H5" t="s">
        <v>12</v>
      </c>
      <c r="I5" cm="1">
        <f t="array" ref="I5">(SUM(TableLIV[PP]-TableLIV[AP]))^2</f>
        <v>5.0487097934144756E-29</v>
      </c>
    </row>
    <row r="6" spans="1:9" x14ac:dyDescent="0.3">
      <c r="A6" t="s">
        <v>72</v>
      </c>
      <c r="B6">
        <v>57.093023255813968</v>
      </c>
      <c r="C6">
        <v>46.944950077214322</v>
      </c>
      <c r="D6">
        <f t="shared" si="0"/>
        <v>45.337635456050201</v>
      </c>
      <c r="E6">
        <v>31</v>
      </c>
      <c r="F6">
        <f t="shared" si="1"/>
        <v>14.337635456050201</v>
      </c>
    </row>
    <row r="7" spans="1:9" x14ac:dyDescent="0.3">
      <c r="A7" t="s">
        <v>73</v>
      </c>
      <c r="B7">
        <v>67.270470697992792</v>
      </c>
      <c r="C7">
        <v>63.981610696018024</v>
      </c>
      <c r="D7">
        <f t="shared" si="0"/>
        <v>57.382436386320528</v>
      </c>
      <c r="E7">
        <v>76</v>
      </c>
      <c r="F7">
        <f t="shared" si="1"/>
        <v>18.617563613679472</v>
      </c>
      <c r="H7" t="s">
        <v>15</v>
      </c>
      <c r="I7">
        <f>AVERAGE(TableLIV[DIFF])/10</f>
        <v>1.4895200879998365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74</v>
      </c>
      <c r="B2">
        <v>25.736118661441779</v>
      </c>
      <c r="C2">
        <v>47.208746018930668</v>
      </c>
      <c r="D2">
        <f t="shared" ref="D2:D7" si="0">B2*$I$2+C2*$I$3</f>
        <v>30.712872378684366</v>
      </c>
      <c r="E2">
        <v>37</v>
      </c>
      <c r="F2">
        <f t="shared" ref="F2:F7" si="1">ABS(D2-E2)</f>
        <v>6.2871276213156335</v>
      </c>
      <c r="H2" t="s">
        <v>7</v>
      </c>
      <c r="I2">
        <v>0.43307895066497415</v>
      </c>
    </row>
    <row r="3" spans="1:9" x14ac:dyDescent="0.3">
      <c r="A3" t="s">
        <v>75</v>
      </c>
      <c r="B3">
        <v>55.078534786083686</v>
      </c>
      <c r="C3">
        <v>44.928669743443713</v>
      </c>
      <c r="D3">
        <f t="shared" si="0"/>
        <v>42.475408180176949</v>
      </c>
      <c r="E3">
        <v>34</v>
      </c>
      <c r="F3">
        <f t="shared" si="1"/>
        <v>8.4754081801769487</v>
      </c>
      <c r="H3" t="s">
        <v>9</v>
      </c>
      <c r="I3">
        <v>0.41448042502021781</v>
      </c>
    </row>
    <row r="4" spans="1:9" x14ac:dyDescent="0.3">
      <c r="A4" t="s">
        <v>76</v>
      </c>
      <c r="B4">
        <v>68.242096529476996</v>
      </c>
      <c r="C4">
        <v>45.327387984941772</v>
      </c>
      <c r="D4">
        <f t="shared" si="0"/>
        <v>48.341530593218749</v>
      </c>
      <c r="E4">
        <v>59</v>
      </c>
      <c r="F4">
        <f t="shared" si="1"/>
        <v>10.658469406781251</v>
      </c>
    </row>
    <row r="5" spans="1:9" x14ac:dyDescent="0.3">
      <c r="A5" t="s">
        <v>77</v>
      </c>
      <c r="B5">
        <v>83.873548970408564</v>
      </c>
      <c r="C5">
        <v>113.46902952028208</v>
      </c>
      <c r="D5">
        <f t="shared" si="0"/>
        <v>83.35456015885002</v>
      </c>
      <c r="E5">
        <v>80</v>
      </c>
      <c r="F5">
        <f t="shared" si="1"/>
        <v>3.3545601588500205</v>
      </c>
      <c r="H5" t="s">
        <v>12</v>
      </c>
      <c r="I5" cm="1">
        <f t="array" ref="I5">(SUM(TableMCI[PP]-TableMCI[AP]))^2</f>
        <v>5.0487097934144756E-29</v>
      </c>
    </row>
    <row r="6" spans="1:9" x14ac:dyDescent="0.3">
      <c r="A6" t="s">
        <v>78</v>
      </c>
      <c r="B6">
        <v>30.428441958566918</v>
      </c>
      <c r="C6">
        <v>38.43027477725834</v>
      </c>
      <c r="D6">
        <f t="shared" si="0"/>
        <v>29.106514337108024</v>
      </c>
      <c r="E6">
        <v>41</v>
      </c>
      <c r="F6">
        <f t="shared" si="1"/>
        <v>11.893485662891976</v>
      </c>
    </row>
    <row r="7" spans="1:9" x14ac:dyDescent="0.3">
      <c r="A7" t="s">
        <v>79</v>
      </c>
      <c r="B7">
        <v>78.909090909090907</v>
      </c>
      <c r="C7">
        <v>38.205056517092018</v>
      </c>
      <c r="D7">
        <f t="shared" si="0"/>
        <v>50.009114351961884</v>
      </c>
      <c r="E7">
        <v>33</v>
      </c>
      <c r="F7">
        <f t="shared" si="1"/>
        <v>17.009114351961884</v>
      </c>
      <c r="H7" t="s">
        <v>15</v>
      </c>
      <c r="I7">
        <f>AVERAGE(TableMCI[DIFF])/10</f>
        <v>0.96130275636629514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80</v>
      </c>
      <c r="B2">
        <v>31.614439448714307</v>
      </c>
      <c r="C2">
        <v>56.745676077984371</v>
      </c>
      <c r="D2">
        <f t="shared" ref="D2:D8" si="0">B2*$I$2+C2*$I$3</f>
        <v>35.452263678595294</v>
      </c>
      <c r="E2">
        <v>36</v>
      </c>
      <c r="F2">
        <f t="shared" ref="F2:F8" si="1">ABS(D2-E2)</f>
        <v>0.54773632140470596</v>
      </c>
      <c r="H2" t="s">
        <v>7</v>
      </c>
      <c r="I2">
        <v>0.36306165341414104</v>
      </c>
    </row>
    <row r="3" spans="1:9" x14ac:dyDescent="0.3">
      <c r="A3" t="s">
        <v>81</v>
      </c>
      <c r="B3">
        <v>45.249641437550892</v>
      </c>
      <c r="C3">
        <v>53.284030951782626</v>
      </c>
      <c r="D3">
        <f t="shared" si="0"/>
        <v>38.940184876112397</v>
      </c>
      <c r="E3">
        <v>39</v>
      </c>
      <c r="F3">
        <f t="shared" si="1"/>
        <v>5.9815123887602795E-2</v>
      </c>
      <c r="H3" t="s">
        <v>9</v>
      </c>
      <c r="I3">
        <v>0.42248634041537364</v>
      </c>
    </row>
    <row r="4" spans="1:9" x14ac:dyDescent="0.3">
      <c r="A4" t="s">
        <v>82</v>
      </c>
      <c r="B4">
        <v>33.367768586201365</v>
      </c>
      <c r="C4">
        <v>49.984352894073908</v>
      </c>
      <c r="D4">
        <f t="shared" si="0"/>
        <v>33.232263565894584</v>
      </c>
      <c r="E4">
        <v>22</v>
      </c>
      <c r="F4">
        <f t="shared" si="1"/>
        <v>11.232263565894584</v>
      </c>
    </row>
    <row r="5" spans="1:9" x14ac:dyDescent="0.3">
      <c r="A5" t="s">
        <v>83</v>
      </c>
      <c r="B5">
        <v>74.481481445903668</v>
      </c>
      <c r="C5">
        <v>48.592178989148003</v>
      </c>
      <c r="D5">
        <f t="shared" si="0"/>
        <v>47.570901676418401</v>
      </c>
      <c r="E5">
        <v>27</v>
      </c>
      <c r="F5">
        <f t="shared" si="1"/>
        <v>20.570901676418401</v>
      </c>
      <c r="H5" t="s">
        <v>12</v>
      </c>
      <c r="I5" cm="1">
        <f t="array" ref="I5">(SUM(TableMUN[PP]-TableMUN[AP]))^2</f>
        <v>5.0487097934144756E-29</v>
      </c>
    </row>
    <row r="6" spans="1:9" x14ac:dyDescent="0.3">
      <c r="A6" t="s">
        <v>84</v>
      </c>
      <c r="B6">
        <v>28.978654216006234</v>
      </c>
      <c r="C6">
        <v>42.045827161346686</v>
      </c>
      <c r="D6">
        <f t="shared" si="0"/>
        <v>28.284825760514572</v>
      </c>
      <c r="E6">
        <v>35</v>
      </c>
      <c r="F6">
        <f t="shared" si="1"/>
        <v>6.7151742394854281</v>
      </c>
    </row>
    <row r="7" spans="1:9" x14ac:dyDescent="0.3">
      <c r="A7" t="s">
        <v>85</v>
      </c>
      <c r="B7">
        <v>45.385141757945824</v>
      </c>
      <c r="C7">
        <v>56.397227549760466</v>
      </c>
      <c r="D7">
        <f t="shared" si="0"/>
        <v>40.304662884146374</v>
      </c>
      <c r="E7">
        <v>49</v>
      </c>
      <c r="F7">
        <f t="shared" si="1"/>
        <v>8.6953371158536257</v>
      </c>
      <c r="H7" t="s">
        <v>15</v>
      </c>
      <c r="I7">
        <f>AVERAGE(TableMUN[DIFF])/10</f>
        <v>0.90866186406608518</v>
      </c>
    </row>
    <row r="8" spans="1:9" x14ac:dyDescent="0.3">
      <c r="A8" t="s">
        <v>86</v>
      </c>
      <c r="B8">
        <v>32.253447716804672</v>
      </c>
      <c r="C8">
        <v>31.965311561720974</v>
      </c>
      <c r="D8">
        <f t="shared" si="0"/>
        <v>25.214897558318384</v>
      </c>
      <c r="E8">
        <v>41</v>
      </c>
      <c r="F8">
        <f t="shared" si="1"/>
        <v>15.785102441681616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87</v>
      </c>
      <c r="B2">
        <v>67.916666624498063</v>
      </c>
      <c r="C2">
        <v>54.55426551650563</v>
      </c>
      <c r="D2">
        <f t="shared" ref="D2:D8" si="0">B2*$I$2+C2*$I$3</f>
        <v>48.019051517179605</v>
      </c>
      <c r="E2">
        <v>30</v>
      </c>
      <c r="F2">
        <f t="shared" ref="F2:F8" si="1">ABS(D2-E2)</f>
        <v>18.019051517179605</v>
      </c>
      <c r="H2" t="s">
        <v>7</v>
      </c>
      <c r="I2">
        <v>0.38815357945614654</v>
      </c>
    </row>
    <row r="3" spans="1:9" x14ac:dyDescent="0.3">
      <c r="A3" t="s">
        <v>88</v>
      </c>
      <c r="B3">
        <v>69.399999980597443</v>
      </c>
      <c r="C3">
        <v>43.702087394422946</v>
      </c>
      <c r="D3">
        <f t="shared" si="0"/>
        <v>44.286714612573945</v>
      </c>
      <c r="E3">
        <v>23</v>
      </c>
      <c r="F3">
        <f t="shared" si="1"/>
        <v>21.286714612573945</v>
      </c>
      <c r="H3" t="s">
        <v>9</v>
      </c>
      <c r="I3">
        <v>0.39698003551341865</v>
      </c>
    </row>
    <row r="4" spans="1:9" x14ac:dyDescent="0.3">
      <c r="A4" t="s">
        <v>89</v>
      </c>
      <c r="B4">
        <v>28.734497460106866</v>
      </c>
      <c r="C4">
        <v>27.339085434424231</v>
      </c>
      <c r="D4">
        <f t="shared" si="0"/>
        <v>22.00646914967615</v>
      </c>
      <c r="E4">
        <v>21</v>
      </c>
      <c r="F4">
        <f t="shared" si="1"/>
        <v>1.0064691496761498</v>
      </c>
    </row>
    <row r="5" spans="1:9" x14ac:dyDescent="0.3">
      <c r="A5" t="s">
        <v>90</v>
      </c>
      <c r="B5">
        <v>-0.92619334614664106</v>
      </c>
      <c r="C5">
        <v>67.223568126834394</v>
      </c>
      <c r="D5">
        <f t="shared" si="0"/>
        <v>26.326909199754152</v>
      </c>
      <c r="E5">
        <v>49</v>
      </c>
      <c r="F5">
        <f t="shared" si="1"/>
        <v>22.673090800245848</v>
      </c>
      <c r="H5" t="s">
        <v>12</v>
      </c>
      <c r="I5" cm="1">
        <f t="array" ref="I5">(SUM(TableNEW[PP]-TableNEW[AP]))^2</f>
        <v>6.1846694969327326E-28</v>
      </c>
    </row>
    <row r="6" spans="1:9" x14ac:dyDescent="0.3">
      <c r="A6" t="s">
        <v>91</v>
      </c>
      <c r="B6">
        <v>40.705414540076944</v>
      </c>
      <c r="C6">
        <v>39.840673766269546</v>
      </c>
      <c r="D6">
        <f t="shared" si="0"/>
        <v>31.615904443589351</v>
      </c>
      <c r="E6">
        <v>31</v>
      </c>
      <c r="F6">
        <f t="shared" si="1"/>
        <v>0.61590444358935059</v>
      </c>
    </row>
    <row r="7" spans="1:9" x14ac:dyDescent="0.3">
      <c r="A7" t="s">
        <v>67</v>
      </c>
      <c r="B7">
        <v>43.041264140800294</v>
      </c>
      <c r="C7">
        <v>44.221451608110279</v>
      </c>
      <c r="D7">
        <f t="shared" si="0"/>
        <v>34.26165417041166</v>
      </c>
      <c r="E7">
        <v>56</v>
      </c>
      <c r="F7">
        <f t="shared" si="1"/>
        <v>21.73834582958834</v>
      </c>
      <c r="H7" t="s">
        <v>15</v>
      </c>
      <c r="I7">
        <f>AVERAGE(TableNEW[DIFF])/10</f>
        <v>1.2688981894238336</v>
      </c>
    </row>
    <row r="8" spans="1:9" x14ac:dyDescent="0.3">
      <c r="A8" t="s">
        <v>92</v>
      </c>
      <c r="B8">
        <v>68.444444444167146</v>
      </c>
      <c r="C8">
        <v>47.650609878805533</v>
      </c>
      <c r="D8">
        <f t="shared" si="0"/>
        <v>45.483296906815113</v>
      </c>
      <c r="E8">
        <v>42</v>
      </c>
      <c r="F8">
        <f t="shared" si="1"/>
        <v>3.4832969068151129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93</v>
      </c>
      <c r="B2">
        <v>27.434468263587487</v>
      </c>
      <c r="C2">
        <v>45.801581486619412</v>
      </c>
      <c r="D2">
        <f>B2*$I$2+C2*$I$3</f>
        <v>35.01110227207667</v>
      </c>
      <c r="E2">
        <v>54</v>
      </c>
      <c r="F2">
        <f>ABS(D2-E2)</f>
        <v>18.98889772792333</v>
      </c>
      <c r="H2" t="s">
        <v>7</v>
      </c>
      <c r="I2">
        <v>0.51994455705200893</v>
      </c>
    </row>
    <row r="3" spans="1:9" x14ac:dyDescent="0.3">
      <c r="A3" t="s">
        <v>94</v>
      </c>
      <c r="B3">
        <v>53.354838756433978</v>
      </c>
      <c r="C3">
        <v>32.661407311456053</v>
      </c>
      <c r="D3">
        <f>B3*$I$2+C3*$I$3</f>
        <v>42.536165335841694</v>
      </c>
      <c r="E3">
        <v>35</v>
      </c>
      <c r="F3">
        <f>ABS(D3-E3)</f>
        <v>7.5361653358416945</v>
      </c>
      <c r="H3" t="s">
        <v>9</v>
      </c>
      <c r="I3">
        <v>0.45296907114155593</v>
      </c>
    </row>
    <row r="4" spans="1:9" x14ac:dyDescent="0.3">
      <c r="A4" t="s">
        <v>95</v>
      </c>
      <c r="B4">
        <v>47.743589789075457</v>
      </c>
      <c r="C4">
        <v>34.957856248524422</v>
      </c>
      <c r="D4">
        <f>B4*$I$2+C4*$I$3</f>
        <v>40.658847318947799</v>
      </c>
      <c r="E4">
        <v>53</v>
      </c>
      <c r="F4">
        <f>ABS(D4-E4)</f>
        <v>12.341152681052201</v>
      </c>
    </row>
    <row r="5" spans="1:9" x14ac:dyDescent="0.3">
      <c r="A5" t="s">
        <v>96</v>
      </c>
      <c r="B5">
        <v>49.285714282140916</v>
      </c>
      <c r="C5">
        <v>40.834165570344304</v>
      </c>
      <c r="D5">
        <f>B5*$I$2+C5*$I$3</f>
        <v>44.122452930658994</v>
      </c>
      <c r="E5">
        <v>22</v>
      </c>
      <c r="F5">
        <f>ABS(D5-E5)</f>
        <v>22.122452930658994</v>
      </c>
      <c r="H5" t="s">
        <v>12</v>
      </c>
      <c r="I5" cm="1">
        <f t="array" ref="I5">(SUM(TableNFO[PP]-TableNFO[AP]))^2</f>
        <v>0</v>
      </c>
    </row>
    <row r="6" spans="1:9" x14ac:dyDescent="0.3">
      <c r="A6" t="s">
        <v>97</v>
      </c>
      <c r="B6">
        <v>32.117168773030087</v>
      </c>
      <c r="C6">
        <v>28.638346142099333</v>
      </c>
      <c r="D6">
        <f>B6*$I$2+C6*$I$3</f>
        <v>29.671432142474842</v>
      </c>
      <c r="E6">
        <v>28</v>
      </c>
      <c r="F6">
        <f>ABS(D6-E6)</f>
        <v>1.671432142474842</v>
      </c>
    </row>
    <row r="7" spans="1:9" x14ac:dyDescent="0.3">
      <c r="H7" t="s">
        <v>15</v>
      </c>
      <c r="I7">
        <f>AVERAGE(TableNFO[DIFF])/10</f>
        <v>1.2532020163590212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L28" sqref="L2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98</v>
      </c>
      <c r="B2">
        <v>73.470588141933206</v>
      </c>
      <c r="C2">
        <v>42.862747030876307</v>
      </c>
      <c r="D2">
        <f>B2*$I$2+C2*$I$3</f>
        <v>41.022431083833581</v>
      </c>
      <c r="E2">
        <v>23</v>
      </c>
      <c r="F2">
        <f>ABS(D2-E2)</f>
        <v>18.022431083833581</v>
      </c>
      <c r="H2" t="s">
        <v>7</v>
      </c>
      <c r="I2">
        <v>0.39318357009284</v>
      </c>
    </row>
    <row r="3" spans="1:9" x14ac:dyDescent="0.3">
      <c r="A3" t="s">
        <v>99</v>
      </c>
      <c r="B3">
        <v>47.124999999999993</v>
      </c>
      <c r="C3">
        <v>53.543367826114419</v>
      </c>
      <c r="D3">
        <f>B3*$I$2+C3*$I$3</f>
        <v>33.687601785828804</v>
      </c>
      <c r="E3">
        <v>47</v>
      </c>
      <c r="F3">
        <f>ABS(D3-E3)</f>
        <v>13.312398214171196</v>
      </c>
      <c r="H3" t="s">
        <v>9</v>
      </c>
      <c r="I3">
        <v>0.28311304762212569</v>
      </c>
    </row>
    <row r="4" spans="1:9" x14ac:dyDescent="0.3">
      <c r="A4" t="s">
        <v>100</v>
      </c>
      <c r="B4">
        <v>52.353567440866875</v>
      </c>
      <c r="C4">
        <v>36.074201819561921</v>
      </c>
      <c r="D4">
        <f>B4*$I$2+C4*$I$3</f>
        <v>30.797639771168114</v>
      </c>
      <c r="E4">
        <v>31</v>
      </c>
      <c r="F4">
        <f>ABS(D4-E4)</f>
        <v>0.20236022883188554</v>
      </c>
    </row>
    <row r="5" spans="1:9" x14ac:dyDescent="0.3">
      <c r="A5" t="s">
        <v>101</v>
      </c>
      <c r="B5">
        <v>76.615384615384613</v>
      </c>
      <c r="C5">
        <v>47.219359984777206</v>
      </c>
      <c r="D5">
        <f>B5*$I$2+C5*$I$3</f>
        <v>43.492327359169501</v>
      </c>
      <c r="E5">
        <v>48</v>
      </c>
      <c r="F5">
        <f>ABS(D5-E5)</f>
        <v>4.5076726408304992</v>
      </c>
      <c r="H5" t="s">
        <v>12</v>
      </c>
      <c r="I5" cm="1">
        <f t="array" ref="I5">(SUM(TableTOT[PP]-TableTOT[AP]))^2</f>
        <v>0</v>
      </c>
    </row>
    <row r="7" spans="1:9" x14ac:dyDescent="0.3">
      <c r="H7" t="s">
        <v>15</v>
      </c>
      <c r="I7">
        <f>AVERAGE(TableTOT[DIFF])/10</f>
        <v>0.90112155419167905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102</v>
      </c>
      <c r="B2">
        <v>35.153918632572335</v>
      </c>
      <c r="C2">
        <v>26.271975982754601</v>
      </c>
      <c r="D2">
        <f t="shared" ref="D2:D7" si="0">B2*$I$2+C2*$I$3</f>
        <v>26.313984816695793</v>
      </c>
      <c r="E2">
        <v>38</v>
      </c>
      <c r="F2">
        <f t="shared" ref="F2:F7" si="1">ABS(D2-E2)</f>
        <v>11.686015183304207</v>
      </c>
      <c r="H2" t="s">
        <v>7</v>
      </c>
      <c r="I2">
        <v>0.47409596348679983</v>
      </c>
    </row>
    <row r="3" spans="1:9" x14ac:dyDescent="0.3">
      <c r="A3" t="s">
        <v>103</v>
      </c>
      <c r="B3">
        <v>38.125</v>
      </c>
      <c r="C3">
        <v>38.518527692392205</v>
      </c>
      <c r="D3">
        <f t="shared" si="0"/>
        <v>32.219768661824929</v>
      </c>
      <c r="E3">
        <v>30</v>
      </c>
      <c r="F3">
        <f t="shared" si="1"/>
        <v>2.2197686618249293</v>
      </c>
      <c r="H3" t="s">
        <v>9</v>
      </c>
      <c r="I3">
        <v>0.36722224086162147</v>
      </c>
    </row>
    <row r="4" spans="1:9" x14ac:dyDescent="0.3">
      <c r="A4" t="s">
        <v>104</v>
      </c>
      <c r="B4">
        <v>55.264587884377008</v>
      </c>
      <c r="C4">
        <v>35.422236596748064</v>
      </c>
      <c r="D4">
        <f t="shared" si="0"/>
        <v>39.208551139133007</v>
      </c>
      <c r="E4">
        <v>34</v>
      </c>
      <c r="F4">
        <f t="shared" si="1"/>
        <v>5.2085511391330073</v>
      </c>
    </row>
    <row r="5" spans="1:9" x14ac:dyDescent="0.3">
      <c r="A5" t="s">
        <v>105</v>
      </c>
      <c r="B5">
        <v>46.986819890745537</v>
      </c>
      <c r="C5">
        <v>42.106735091773359</v>
      </c>
      <c r="D5">
        <f t="shared" si="0"/>
        <v>37.738791263051425</v>
      </c>
      <c r="E5">
        <v>50</v>
      </c>
      <c r="F5">
        <f t="shared" si="1"/>
        <v>12.261208736948575</v>
      </c>
      <c r="H5" t="s">
        <v>12</v>
      </c>
      <c r="I5" cm="1">
        <f t="array" ref="I5">(SUM(TableWHU[PP]-TableWHU[AP]))^2</f>
        <v>4.543838814073028E-28</v>
      </c>
    </row>
    <row r="6" spans="1:9" x14ac:dyDescent="0.3">
      <c r="A6" t="s">
        <v>106</v>
      </c>
      <c r="B6">
        <v>35.04170687564406</v>
      </c>
      <c r="C6">
        <v>46.832314758820665</v>
      </c>
      <c r="D6">
        <f t="shared" si="0"/>
        <v>33.810999353901401</v>
      </c>
      <c r="E6">
        <v>41</v>
      </c>
      <c r="F6">
        <f t="shared" si="1"/>
        <v>7.1890006460985987</v>
      </c>
    </row>
    <row r="7" spans="1:9" x14ac:dyDescent="0.3">
      <c r="A7" t="s">
        <v>107</v>
      </c>
      <c r="B7">
        <v>82.096774224619821</v>
      </c>
      <c r="C7">
        <v>37.541722576136081</v>
      </c>
      <c r="D7">
        <f t="shared" si="0"/>
        <v>52.707904765393423</v>
      </c>
      <c r="E7">
        <v>29</v>
      </c>
      <c r="F7">
        <f t="shared" si="1"/>
        <v>23.707904765393423</v>
      </c>
      <c r="H7" t="s">
        <v>15</v>
      </c>
      <c r="I7">
        <f>AVERAGE(TableWHU[DIFF])/10</f>
        <v>1.0378741522117123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108</v>
      </c>
      <c r="B2">
        <v>23.5</v>
      </c>
      <c r="C2">
        <v>42.025578403983552</v>
      </c>
      <c r="D2">
        <f t="shared" ref="D2:D8" si="0">B2*$I$2+C2*$I$3</f>
        <v>30.771411672124394</v>
      </c>
      <c r="E2">
        <v>20</v>
      </c>
      <c r="F2">
        <f t="shared" ref="F2:F8" si="1">ABS(D2-E2)</f>
        <v>10.771411672124394</v>
      </c>
      <c r="H2" t="s">
        <v>7</v>
      </c>
      <c r="I2">
        <v>0.46778102988937453</v>
      </c>
    </row>
    <row r="3" spans="1:9" x14ac:dyDescent="0.3">
      <c r="A3" t="s">
        <v>109</v>
      </c>
      <c r="B3">
        <v>50.411487839066403</v>
      </c>
      <c r="C3">
        <v>29.903205898249087</v>
      </c>
      <c r="D3">
        <f t="shared" si="0"/>
        <v>37.654925832481595</v>
      </c>
      <c r="E3">
        <v>33</v>
      </c>
      <c r="F3">
        <f t="shared" si="1"/>
        <v>4.6549258324815952</v>
      </c>
      <c r="H3" t="s">
        <v>9</v>
      </c>
      <c r="I3">
        <v>0.47063141593428509</v>
      </c>
    </row>
    <row r="4" spans="1:9" x14ac:dyDescent="0.3">
      <c r="A4" t="s">
        <v>110</v>
      </c>
      <c r="B4">
        <v>32.725771816694063</v>
      </c>
      <c r="C4">
        <v>37.491831794741408</v>
      </c>
      <c r="D4">
        <f t="shared" si="0"/>
        <v>32.953329127867015</v>
      </c>
      <c r="E4">
        <v>21</v>
      </c>
      <c r="F4">
        <f t="shared" si="1"/>
        <v>11.953329127867015</v>
      </c>
    </row>
    <row r="5" spans="1:9" x14ac:dyDescent="0.3">
      <c r="A5" t="s">
        <v>111</v>
      </c>
      <c r="B5">
        <v>32.067986321615692</v>
      </c>
      <c r="C5">
        <v>31.225111472840997</v>
      </c>
      <c r="D5">
        <f t="shared" si="0"/>
        <v>29.696314093172813</v>
      </c>
      <c r="E5">
        <v>36</v>
      </c>
      <c r="F5">
        <f t="shared" si="1"/>
        <v>6.3036859068271873</v>
      </c>
      <c r="H5" t="s">
        <v>12</v>
      </c>
      <c r="I5" cm="1">
        <f t="array" ref="I5">(SUM(TableWOL[PP]-TableWOL[AP]))^2</f>
        <v>8.0779356694631609E-28</v>
      </c>
    </row>
    <row r="6" spans="1:9" x14ac:dyDescent="0.3">
      <c r="A6" t="s">
        <v>25</v>
      </c>
      <c r="B6">
        <v>28.732216076034057</v>
      </c>
      <c r="C6">
        <v>26.78557179032244</v>
      </c>
      <c r="D6">
        <f t="shared" si="0"/>
        <v>26.046517205340148</v>
      </c>
      <c r="E6">
        <v>26</v>
      </c>
      <c r="F6">
        <f t="shared" si="1"/>
        <v>4.6517205340148138E-2</v>
      </c>
    </row>
    <row r="7" spans="1:9" x14ac:dyDescent="0.3">
      <c r="A7" t="s">
        <v>112</v>
      </c>
      <c r="B7">
        <v>42.115542195948194</v>
      </c>
      <c r="C7">
        <v>41.023870623128076</v>
      </c>
      <c r="D7">
        <f t="shared" si="0"/>
        <v>39.007974021237743</v>
      </c>
      <c r="E7">
        <v>50</v>
      </c>
      <c r="F7">
        <f t="shared" si="1"/>
        <v>10.992025978762257</v>
      </c>
      <c r="H7" t="s">
        <v>15</v>
      </c>
      <c r="I7">
        <f>AVERAGE(TableWOL[DIFF])/10</f>
        <v>0.78360525250894764</v>
      </c>
    </row>
    <row r="8" spans="1:9" x14ac:dyDescent="0.3">
      <c r="A8" t="s">
        <v>113</v>
      </c>
      <c r="B8">
        <v>24.171234421598044</v>
      </c>
      <c r="C8">
        <v>26.693252279821831</v>
      </c>
      <c r="D8">
        <f t="shared" si="0"/>
        <v>23.869528047776264</v>
      </c>
      <c r="E8">
        <v>34</v>
      </c>
      <c r="F8">
        <f t="shared" si="1"/>
        <v>10.130471952223736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2023-09-15T19:02:24Z</dcterms:created>
  <dcterms:modified xsi:type="dcterms:W3CDTF">2023-09-15T19:08:57Z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ee73e8e7-5be1-4d6a-b6e9-f6be93759763</vt:lpwstr>
  </property>
</Properties>
</file>