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094FDDF1-3D44-41B4-978E-22CB6E78931B}" xr6:coauthVersionLast="47" xr6:coauthVersionMax="47" xr10:uidLastSave="{00000000-0000-0000-0000-000000000000}"/>
  <bookViews>
    <workbookView xWindow="-108" yWindow="-108" windowWidth="23256" windowHeight="12576" firstSheet="3" activeTab="16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IV" sheetId="10" r:id="rId10"/>
    <sheet name="MCI" sheetId="11" r:id="rId11"/>
    <sheet name="MUN" sheetId="12" r:id="rId12"/>
    <sheet name="NEW" sheetId="13" r:id="rId13"/>
    <sheet name="NFO" sheetId="14" r:id="rId14"/>
    <sheet name="TOT" sheetId="15" r:id="rId15"/>
    <sheet name="WHU" sheetId="16" r:id="rId16"/>
    <sheet name="WOL" sheetId="17" r:id="rId17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LIV!$I$2:$I$3</definedName>
    <definedName name="solver_adj" localSheetId="10" hidden="1">MCI!$I$2:$I$3</definedName>
    <definedName name="solver_adj" localSheetId="11" hidden="1">MUN!$I$2:$I$3</definedName>
    <definedName name="solver_adj" localSheetId="12" hidden="1">NEW!$I$2:$I$3</definedName>
    <definedName name="solver_adj" localSheetId="13" hidden="1">NFO!$I$2:$I$3</definedName>
    <definedName name="solver_adj" localSheetId="14" hidden="1">TOT!$I$2:$I$3</definedName>
    <definedName name="solver_adj" localSheetId="15" hidden="1">WHU!$I$2:$I$3</definedName>
    <definedName name="solver_adj" localSheetId="16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LIV!$I$5</definedName>
    <definedName name="solver_opt" localSheetId="10" hidden="1">MCI!$I$5</definedName>
    <definedName name="solver_opt" localSheetId="11" hidden="1">MUN!$I$5</definedName>
    <definedName name="solver_opt" localSheetId="12" hidden="1">NEW!$I$5</definedName>
    <definedName name="solver_opt" localSheetId="13" hidden="1">NFO!$I$5</definedName>
    <definedName name="solver_opt" localSheetId="14" hidden="1">TOT!$I$5</definedName>
    <definedName name="solver_opt" localSheetId="15" hidden="1">WHU!$I$5</definedName>
    <definedName name="solver_opt" localSheetId="16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7" l="1"/>
  <c r="F5" i="17" s="1"/>
  <c r="D4" i="17"/>
  <c r="F4" i="17" s="1"/>
  <c r="D3" i="17"/>
  <c r="F3" i="17" s="1"/>
  <c r="D2" i="17"/>
  <c r="F2" i="17" s="1"/>
  <c r="D9" i="16"/>
  <c r="F9" i="16" s="1"/>
  <c r="D8" i="16"/>
  <c r="F8" i="16" s="1"/>
  <c r="D7" i="16"/>
  <c r="F7" i="16" s="1"/>
  <c r="D6" i="16"/>
  <c r="F6" i="16" s="1"/>
  <c r="D5" i="16"/>
  <c r="F5" i="16" s="1"/>
  <c r="D4" i="16"/>
  <c r="D3" i="16"/>
  <c r="F3" i="16" s="1"/>
  <c r="D2" i="16"/>
  <c r="F2" i="16" s="1"/>
  <c r="D7" i="15"/>
  <c r="F7" i="15" s="1"/>
  <c r="D6" i="15"/>
  <c r="F6" i="15" s="1"/>
  <c r="D5" i="15"/>
  <c r="F5" i="15" s="1"/>
  <c r="D4" i="15"/>
  <c r="F4" i="15" s="1"/>
  <c r="D3" i="15"/>
  <c r="F3" i="15" s="1"/>
  <c r="D2" i="15"/>
  <c r="F2" i="15" s="1"/>
  <c r="D5" i="14"/>
  <c r="F5" i="14" s="1"/>
  <c r="D4" i="14"/>
  <c r="F4" i="14" s="1"/>
  <c r="D3" i="14"/>
  <c r="F3" i="14" s="1"/>
  <c r="D2" i="14"/>
  <c r="D13" i="13"/>
  <c r="F13" i="13" s="1"/>
  <c r="D12" i="13"/>
  <c r="F12" i="13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D4" i="13"/>
  <c r="F4" i="13" s="1"/>
  <c r="D3" i="13"/>
  <c r="F3" i="13" s="1"/>
  <c r="D2" i="13"/>
  <c r="F2" i="13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D2" i="1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10" i="9"/>
  <c r="F10" i="9" s="1"/>
  <c r="D9" i="9"/>
  <c r="F9" i="9" s="1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D4" i="8"/>
  <c r="F4" i="8" s="1"/>
  <c r="D3" i="8"/>
  <c r="F3" i="8" s="1"/>
  <c r="D2" i="8"/>
  <c r="D11" i="7"/>
  <c r="F11" i="7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2" i="6"/>
  <c r="F2" i="6" s="1"/>
  <c r="D5" i="5"/>
  <c r="D4" i="5"/>
  <c r="F4" i="5" s="1"/>
  <c r="D3" i="5"/>
  <c r="F3" i="5" s="1"/>
  <c r="D2" i="5"/>
  <c r="F2" i="5" s="1"/>
  <c r="D7" i="4"/>
  <c r="F7" i="4" s="1"/>
  <c r="D6" i="4"/>
  <c r="F6" i="4" s="1"/>
  <c r="D5" i="4"/>
  <c r="F5" i="4" s="1"/>
  <c r="D4" i="4"/>
  <c r="F4" i="4" s="1"/>
  <c r="D3" i="4"/>
  <c r="D2" i="4"/>
  <c r="F2" i="4" s="1"/>
  <c r="D6" i="3"/>
  <c r="F6" i="3" s="1"/>
  <c r="D5" i="3"/>
  <c r="F5" i="3" s="1"/>
  <c r="D4" i="3"/>
  <c r="F4" i="3" s="1"/>
  <c r="D3" i="3"/>
  <c r="F3" i="3" s="1"/>
  <c r="D2" i="3"/>
  <c r="F2" i="3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I5" i="17" l="1" a="1"/>
  <c r="I5" i="17" s="1"/>
  <c r="I5" i="16" a="1"/>
  <c r="I5" i="16" s="1"/>
  <c r="F4" i="16"/>
  <c r="I7" i="16" s="1"/>
  <c r="I5" i="15" a="1"/>
  <c r="I5" i="15" s="1"/>
  <c r="I5" i="14" a="1"/>
  <c r="I5" i="14" s="1"/>
  <c r="F2" i="14"/>
  <c r="I7" i="14" s="1"/>
  <c r="I5" i="13" a="1"/>
  <c r="I5" i="13" s="1"/>
  <c r="F5" i="13"/>
  <c r="I7" i="13" s="1"/>
  <c r="I7" i="12"/>
  <c r="I5" i="12" a="1"/>
  <c r="I5" i="12" s="1"/>
  <c r="I5" i="11" a="1"/>
  <c r="I5" i="11" s="1"/>
  <c r="F2" i="11"/>
  <c r="I7" i="11" s="1"/>
  <c r="I5" i="10" a="1"/>
  <c r="I5" i="10" s="1"/>
  <c r="I5" i="9" a="1"/>
  <c r="I5" i="9" s="1"/>
  <c r="F2" i="9"/>
  <c r="I7" i="9" s="1"/>
  <c r="I5" i="8" a="1"/>
  <c r="I5" i="8" s="1"/>
  <c r="F2" i="8"/>
  <c r="I7" i="8" s="1"/>
  <c r="I5" i="7" a="1"/>
  <c r="I5" i="7" s="1"/>
  <c r="F2" i="7"/>
  <c r="I7" i="7" s="1"/>
  <c r="I5" i="6" a="1"/>
  <c r="I5" i="6" s="1"/>
  <c r="I5" i="5" a="1"/>
  <c r="I5" i="5" s="1"/>
  <c r="I5" i="4" a="1"/>
  <c r="I5" i="4" s="1"/>
  <c r="F3" i="4"/>
  <c r="I7" i="4" s="1"/>
  <c r="I5" i="3" a="1"/>
  <c r="I5" i="3" s="1"/>
  <c r="I5" i="2" a="1"/>
  <c r="I5" i="2" s="1"/>
  <c r="F2" i="2"/>
  <c r="I7" i="2" s="1"/>
  <c r="I5" i="1" a="1"/>
  <c r="I5" i="1" s="1"/>
  <c r="F2" i="1"/>
  <c r="I7" i="1" s="1"/>
  <c r="I7" i="3"/>
  <c r="I7" i="17"/>
  <c r="I7" i="15"/>
  <c r="I7" i="6"/>
  <c r="I7" i="10"/>
  <c r="F5" i="5"/>
  <c r="I7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<sst xmlns="http://schemas.openxmlformats.org/spreadsheetml/2006/main" count="287" uniqueCount="125">
  <si>
    <t>Name</t>
  </si>
  <si>
    <t>ARIMAPP</t>
  </si>
  <si>
    <t>LSTMPP</t>
  </si>
  <si>
    <t>PP</t>
  </si>
  <si>
    <t>AP</t>
  </si>
  <si>
    <t>DIFF</t>
  </si>
  <si>
    <t>Gabriel</t>
  </si>
  <si>
    <t>ARIMA</t>
  </si>
  <si>
    <t>Nketiah</t>
  </si>
  <si>
    <t>LSTM</t>
  </si>
  <si>
    <t>Ødegaard</t>
  </si>
  <si>
    <t>Saka</t>
  </si>
  <si>
    <t>OFF</t>
  </si>
  <si>
    <t>Saliba</t>
  </si>
  <si>
    <t>White</t>
  </si>
  <si>
    <t>AVG</t>
  </si>
  <si>
    <t>Zinchenko</t>
  </si>
  <si>
    <t>Rice</t>
  </si>
  <si>
    <t>Cash</t>
  </si>
  <si>
    <t>Digne</t>
  </si>
  <si>
    <t>Douglas Luiz</t>
  </si>
  <si>
    <t>Konsa</t>
  </si>
  <si>
    <t>Martinez</t>
  </si>
  <si>
    <t>McGinn</t>
  </si>
  <si>
    <t>Watkins</t>
  </si>
  <si>
    <t>Billing</t>
  </si>
  <si>
    <t>Christie</t>
  </si>
  <si>
    <t>Neto</t>
  </si>
  <si>
    <t>Semenyo</t>
  </si>
  <si>
    <t>Solanke</t>
  </si>
  <si>
    <t>Janelt</t>
  </si>
  <si>
    <t>Jensen</t>
  </si>
  <si>
    <t>Mbeumo</t>
  </si>
  <si>
    <t>Nørgaard</t>
  </si>
  <si>
    <t>Pinnock</t>
  </si>
  <si>
    <t>Wissa</t>
  </si>
  <si>
    <t>Estupiñan</t>
  </si>
  <si>
    <t>Gilmour</t>
  </si>
  <si>
    <t>João Pedro</t>
  </si>
  <si>
    <t>Mitoma</t>
  </si>
  <si>
    <t>Sanchez</t>
  </si>
  <si>
    <t>Colwill</t>
  </si>
  <si>
    <t>Enzo</t>
  </si>
  <si>
    <t>Gallagher</t>
  </si>
  <si>
    <t>Mudryk</t>
  </si>
  <si>
    <t>Sterling</t>
  </si>
  <si>
    <t>T.Silva</t>
  </si>
  <si>
    <t>Andersen</t>
  </si>
  <si>
    <t>J.Ayew</t>
  </si>
  <si>
    <t>C.Doucouré</t>
  </si>
  <si>
    <t>Edouard</t>
  </si>
  <si>
    <t>Eze</t>
  </si>
  <si>
    <t>Guéhi</t>
  </si>
  <si>
    <t>Johnstone</t>
  </si>
  <si>
    <t>Mitchell</t>
  </si>
  <si>
    <t>Schlupp</t>
  </si>
  <si>
    <t>Ward</t>
  </si>
  <si>
    <t>A.Doucoure</t>
  </si>
  <si>
    <t>Garner</t>
  </si>
  <si>
    <t>Tarkowski</t>
  </si>
  <si>
    <t>Andreas</t>
  </si>
  <si>
    <t>De Cordova-Reid</t>
  </si>
  <si>
    <t>Diop</t>
  </si>
  <si>
    <t>Leno</t>
  </si>
  <si>
    <t>J.Palhinha</t>
  </si>
  <si>
    <t>Ream</t>
  </si>
  <si>
    <t>Reed</t>
  </si>
  <si>
    <t>Robinson</t>
  </si>
  <si>
    <t>Wilson</t>
  </si>
  <si>
    <t>A.Becker</t>
  </si>
  <si>
    <t>Darwin</t>
  </si>
  <si>
    <t>Diogo J.</t>
  </si>
  <si>
    <t>Gakpo</t>
  </si>
  <si>
    <t>Luis Díaz</t>
  </si>
  <si>
    <t>Robertson</t>
  </si>
  <si>
    <t>Salah</t>
  </si>
  <si>
    <t>Virgil</t>
  </si>
  <si>
    <t>Akanji</t>
  </si>
  <si>
    <t>Aké</t>
  </si>
  <si>
    <t>J.Alvarez</t>
  </si>
  <si>
    <t>Rúben</t>
  </si>
  <si>
    <t>Ederson M.</t>
  </si>
  <si>
    <t>Foden</t>
  </si>
  <si>
    <t>Haaland</t>
  </si>
  <si>
    <t>Rodrigo</t>
  </si>
  <si>
    <t>Walker</t>
  </si>
  <si>
    <t>B.Fernandes</t>
  </si>
  <si>
    <t>Casemiro</t>
  </si>
  <si>
    <t>Dalot</t>
  </si>
  <si>
    <t>Eriksen</t>
  </si>
  <si>
    <t>Lindelof</t>
  </si>
  <si>
    <t>R.Varane</t>
  </si>
  <si>
    <t>Rashford</t>
  </si>
  <si>
    <t>Almirón</t>
  </si>
  <si>
    <t>Botman</t>
  </si>
  <si>
    <t>Bruno G.</t>
  </si>
  <si>
    <t>Burn</t>
  </si>
  <si>
    <t>Gordon</t>
  </si>
  <si>
    <t>Isak</t>
  </si>
  <si>
    <t>Longstaff</t>
  </si>
  <si>
    <t>Pope</t>
  </si>
  <si>
    <t>Schär</t>
  </si>
  <si>
    <t>Trippier</t>
  </si>
  <si>
    <t>Barnes</t>
  </si>
  <si>
    <t>Awoniyi</t>
  </si>
  <si>
    <t>Boly</t>
  </si>
  <si>
    <t>Gibbs-White</t>
  </si>
  <si>
    <t>Wood</t>
  </si>
  <si>
    <t>Kulusevski</t>
  </si>
  <si>
    <t>Maddison</t>
  </si>
  <si>
    <t>Pedro Porro</t>
  </si>
  <si>
    <t>Richarlison</t>
  </si>
  <si>
    <t>Romero</t>
  </si>
  <si>
    <t>Son</t>
  </si>
  <si>
    <t>N.Aguerd</t>
  </si>
  <si>
    <t>Antonio</t>
  </si>
  <si>
    <t>Areola</t>
  </si>
  <si>
    <t>Benrahma</t>
  </si>
  <si>
    <t>Bowen</t>
  </si>
  <si>
    <t>L.Paquetá</t>
  </si>
  <si>
    <t>Zouma</t>
  </si>
  <si>
    <t>Ward-Prowse</t>
  </si>
  <si>
    <t>Hee Chan</t>
  </si>
  <si>
    <t>Kilman</t>
  </si>
  <si>
    <t>José 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</si>
</sst>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9">
  <autoFilter ref="A1:F9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8">
  <autoFilter ref="A1:F8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6">
  <autoFilter ref="A1:F6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7">
  <autoFilter ref="A1:F7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5">
  <autoFilter ref="A1:F5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8">
  <autoFilter ref="A1:F8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1">
  <autoFilter ref="A1:F11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4">
  <autoFilter ref="A1:F4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10">
  <autoFilter ref="A1:F10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IV" displayName="TableLIV" ref="A1:F9">
  <autoFilter ref="A1:F9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MCI" displayName="TableMCI" ref="A1:F10">
  <autoFilter ref="A1:F10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UN" displayName="TableMUN" ref="A1:F8">
  <autoFilter ref="A1:F8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NEW" displayName="TableNEW" ref="A1:F13">
  <autoFilter ref="A1:F13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FO" displayName="TableNFO" ref="A1:F5">
  <autoFilter ref="A1:F5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TOT" displayName="TableTOT" ref="A1:F7">
  <autoFilter ref="A1:F7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WHU" displayName="TableWHU" ref="A1:F9">
  <autoFilter ref="A1:F9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WOL" displayName="TableWOL" ref="A1:F5">
  <autoFilter ref="A1:F5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60.344827586206904</v>
      </c>
      <c r="C2">
        <v>43.771784029141706</v>
      </c>
      <c r="D2">
        <f t="shared" ref="D2:D9" si="0">B2*$I$2+C2*$I$3</f>
        <v>43.430616292608022</v>
      </c>
      <c r="E2">
        <v>25</v>
      </c>
      <c r="F2">
        <f t="shared" ref="F2:F9" si="1">ABS(D2-E2)</f>
        <v>18.430616292608022</v>
      </c>
      <c r="H2" t="s">
        <v>7</v>
      </c>
      <c r="I2">
        <v>0.40431043949477802</v>
      </c>
    </row>
    <row r="3" spans="1:9" x14ac:dyDescent="0.3">
      <c r="A3" t="s">
        <v>8</v>
      </c>
      <c r="B3">
        <v>24.840583518287858</v>
      </c>
      <c r="C3">
        <v>41.400376231364689</v>
      </c>
      <c r="D3">
        <f t="shared" si="0"/>
        <v>28.044759107935796</v>
      </c>
      <c r="E3">
        <v>29</v>
      </c>
      <c r="F3">
        <f t="shared" si="1"/>
        <v>0.95524089206420371</v>
      </c>
      <c r="H3" t="s">
        <v>9</v>
      </c>
      <c r="I3">
        <v>0.43481372651662759</v>
      </c>
    </row>
    <row r="4" spans="1:9" x14ac:dyDescent="0.3">
      <c r="A4" t="s">
        <v>10</v>
      </c>
      <c r="B4">
        <v>43.077849679174463</v>
      </c>
      <c r="C4">
        <v>59.969162715830748</v>
      </c>
      <c r="D4">
        <f t="shared" si="0"/>
        <v>43.492239452829381</v>
      </c>
      <c r="E4">
        <v>65</v>
      </c>
      <c r="F4">
        <f t="shared" si="1"/>
        <v>21.507760547170619</v>
      </c>
    </row>
    <row r="5" spans="1:9" x14ac:dyDescent="0.3">
      <c r="A5" t="s">
        <v>11</v>
      </c>
      <c r="B5">
        <v>46.615199219478882</v>
      </c>
      <c r="C5">
        <v>63.506036696652984</v>
      </c>
      <c r="D5">
        <f t="shared" si="0"/>
        <v>46.460308155937525</v>
      </c>
      <c r="E5">
        <v>58</v>
      </c>
      <c r="F5">
        <f t="shared" si="1"/>
        <v>11.539691844062475</v>
      </c>
      <c r="H5" t="s">
        <v>12</v>
      </c>
      <c r="I5" cm="1">
        <f t="array" ref="I5">(SUM(TableARS[PP]-TableARS[AP]))^2</f>
        <v>1.135959703518257E-28</v>
      </c>
    </row>
    <row r="6" spans="1:9" x14ac:dyDescent="0.3">
      <c r="A6" t="s">
        <v>13</v>
      </c>
      <c r="B6">
        <v>52.252953022354149</v>
      </c>
      <c r="C6">
        <v>49.283397698363167</v>
      </c>
      <c r="D6">
        <f t="shared" si="0"/>
        <v>42.555512209994269</v>
      </c>
      <c r="E6">
        <v>42</v>
      </c>
      <c r="F6">
        <f t="shared" si="1"/>
        <v>0.55551220999426931</v>
      </c>
    </row>
    <row r="7" spans="1:9" x14ac:dyDescent="0.3">
      <c r="A7" t="s">
        <v>14</v>
      </c>
      <c r="B7">
        <v>65.333333333333329</v>
      </c>
      <c r="C7">
        <v>51.076022946511493</v>
      </c>
      <c r="D7">
        <f t="shared" si="0"/>
        <v>48.623504586680269</v>
      </c>
      <c r="E7">
        <v>43</v>
      </c>
      <c r="F7">
        <f t="shared" si="1"/>
        <v>5.6235045866802693</v>
      </c>
      <c r="H7" t="s">
        <v>15</v>
      </c>
      <c r="I7">
        <f>AVERAGE(TableARS[DIFF])/10</f>
        <v>0.85006733208243224</v>
      </c>
    </row>
    <row r="8" spans="1:9" x14ac:dyDescent="0.3">
      <c r="A8" t="s">
        <v>16</v>
      </c>
      <c r="B8">
        <v>40.606766596580158</v>
      </c>
      <c r="C8">
        <v>38.197234440588865</v>
      </c>
      <c r="D8">
        <f t="shared" si="0"/>
        <v>33.02642149886691</v>
      </c>
      <c r="E8">
        <v>25</v>
      </c>
      <c r="F8">
        <f t="shared" si="1"/>
        <v>8.0264214988669096</v>
      </c>
    </row>
    <row r="9" spans="1:9" x14ac:dyDescent="0.3">
      <c r="A9" t="s">
        <v>17</v>
      </c>
      <c r="B9">
        <v>21.315218777363771</v>
      </c>
      <c r="C9">
        <v>33.919520760070867</v>
      </c>
      <c r="D9">
        <f t="shared" si="0"/>
        <v>23.366638695147817</v>
      </c>
      <c r="E9">
        <v>22</v>
      </c>
      <c r="F9">
        <f t="shared" si="1"/>
        <v>1.3666386951478167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18</v>
      </c>
      <c r="B2">
        <v>11.567086185518134</v>
      </c>
      <c r="C2">
        <v>36.372428411632832</v>
      </c>
      <c r="D2">
        <f t="shared" ref="D2:D8" si="0">B2*$I$2+C2*$I$3</f>
        <v>26.558187336148034</v>
      </c>
      <c r="E2">
        <v>56</v>
      </c>
      <c r="F2">
        <f t="shared" ref="F2:F8" si="1">ABS(D2-E2)</f>
        <v>29.441812663851966</v>
      </c>
      <c r="H2" t="s">
        <v>7</v>
      </c>
      <c r="I2">
        <v>0.53925787368725242</v>
      </c>
    </row>
    <row r="3" spans="1:9" x14ac:dyDescent="0.3">
      <c r="A3" t="s">
        <v>19</v>
      </c>
      <c r="B3">
        <v>30.291389121567622</v>
      </c>
      <c r="C3">
        <v>27.662160047277649</v>
      </c>
      <c r="D3">
        <f t="shared" si="0"/>
        <v>31.78916317700709</v>
      </c>
      <c r="E3">
        <v>29</v>
      </c>
      <c r="F3">
        <f t="shared" si="1"/>
        <v>2.7891631770070902</v>
      </c>
      <c r="H3" t="s">
        <v>9</v>
      </c>
      <c r="I3">
        <v>0.55867991009611295</v>
      </c>
    </row>
    <row r="4" spans="1:9" x14ac:dyDescent="0.3">
      <c r="A4" t="s">
        <v>20</v>
      </c>
      <c r="B4">
        <v>27.060910543142313</v>
      </c>
      <c r="C4">
        <v>35.693205028822909</v>
      </c>
      <c r="D4">
        <f t="shared" si="0"/>
        <v>34.533885656080784</v>
      </c>
      <c r="E4">
        <v>46</v>
      </c>
      <c r="F4">
        <f t="shared" si="1"/>
        <v>11.466114343919216</v>
      </c>
    </row>
    <row r="5" spans="1:9" x14ac:dyDescent="0.3">
      <c r="A5" t="s">
        <v>21</v>
      </c>
      <c r="B5">
        <v>28.340642201088446</v>
      </c>
      <c r="C5">
        <v>33.190074818227302</v>
      </c>
      <c r="D5">
        <f t="shared" si="0"/>
        <v>33.825542467820661</v>
      </c>
      <c r="E5">
        <v>32</v>
      </c>
      <c r="F5">
        <f t="shared" si="1"/>
        <v>1.8255424678206609</v>
      </c>
      <c r="H5" t="s">
        <v>12</v>
      </c>
      <c r="I5" cm="1">
        <f t="array" ref="I5">(SUM(TableAVL[PP]-TableAVL[AP]))^2</f>
        <v>2.0194839173657902E-28</v>
      </c>
    </row>
    <row r="6" spans="1:9" x14ac:dyDescent="0.3">
      <c r="A6" t="s">
        <v>22</v>
      </c>
      <c r="B6">
        <v>60.857142857142854</v>
      </c>
      <c r="C6">
        <v>48.590967100688886</v>
      </c>
      <c r="D6">
        <f t="shared" si="0"/>
        <v>59.964490587120267</v>
      </c>
      <c r="E6">
        <v>32</v>
      </c>
      <c r="F6">
        <f t="shared" si="1"/>
        <v>27.964490587120267</v>
      </c>
    </row>
    <row r="7" spans="1:9" x14ac:dyDescent="0.3">
      <c r="A7" t="s">
        <v>23</v>
      </c>
      <c r="B7">
        <v>29.71916578308571</v>
      </c>
      <c r="C7">
        <v>30.771052256827506</v>
      </c>
      <c r="D7">
        <f t="shared" si="0"/>
        <v>33.217462856352931</v>
      </c>
      <c r="E7">
        <v>34</v>
      </c>
      <c r="F7">
        <f t="shared" si="1"/>
        <v>0.78253714364706894</v>
      </c>
      <c r="H7" t="s">
        <v>15</v>
      </c>
      <c r="I7">
        <f>AVERAGE(TableAVL[DIFF])/10</f>
        <v>1.1911561186119504</v>
      </c>
    </row>
    <row r="8" spans="1:9" x14ac:dyDescent="0.3">
      <c r="A8" t="s">
        <v>24</v>
      </c>
      <c r="B8">
        <v>71.541666666666671</v>
      </c>
      <c r="C8">
        <v>56.439940479221434</v>
      </c>
      <c r="D8">
        <f t="shared" si="0"/>
        <v>70.111267919470251</v>
      </c>
      <c r="E8">
        <v>61</v>
      </c>
      <c r="F8">
        <f t="shared" si="1"/>
        <v>9.1112679194702508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25</v>
      </c>
      <c r="B2">
        <v>78.000000000000014</v>
      </c>
      <c r="C2">
        <v>42.831982928187152</v>
      </c>
      <c r="D2">
        <f>B2*$I$2+C2*$I$3</f>
        <v>39.975375495536333</v>
      </c>
      <c r="E2">
        <v>24</v>
      </c>
      <c r="F2">
        <f>ABS(D2-E2)</f>
        <v>15.975375495536333</v>
      </c>
      <c r="H2" t="s">
        <v>7</v>
      </c>
      <c r="I2">
        <v>0.36304684810308002</v>
      </c>
    </row>
    <row r="3" spans="1:9" x14ac:dyDescent="0.3">
      <c r="A3" t="s">
        <v>26</v>
      </c>
      <c r="B3">
        <v>36.999999875823661</v>
      </c>
      <c r="C3">
        <v>27.297723745212554</v>
      </c>
      <c r="D3">
        <f>B3*$I$2+C3*$I$3</f>
        <v>20.862444381894555</v>
      </c>
      <c r="E3">
        <v>26</v>
      </c>
      <c r="F3">
        <f>ABS(D3-E3)</f>
        <v>5.1375556181054449</v>
      </c>
      <c r="H3" t="s">
        <v>9</v>
      </c>
      <c r="I3">
        <v>0.27217328142480873</v>
      </c>
    </row>
    <row r="4" spans="1:9" x14ac:dyDescent="0.3">
      <c r="A4" t="s">
        <v>27</v>
      </c>
      <c r="B4">
        <v>57.714285714285701</v>
      </c>
      <c r="C4">
        <v>45.97316885697154</v>
      </c>
      <c r="D4">
        <f>B4*$I$2+C4*$I$3</f>
        <v>33.465657744390811</v>
      </c>
      <c r="E4">
        <v>39</v>
      </c>
      <c r="F4">
        <f>ABS(D4-E4)</f>
        <v>5.5343422556091895</v>
      </c>
    </row>
    <row r="5" spans="1:9" x14ac:dyDescent="0.3">
      <c r="A5" t="s">
        <v>28</v>
      </c>
      <c r="B5">
        <v>20.999999993932629</v>
      </c>
      <c r="C5">
        <v>42.673833867615116</v>
      </c>
      <c r="D5">
        <f>B5*$I$2+C5*$I$3</f>
        <v>19.238661202687883</v>
      </c>
      <c r="E5">
        <v>24</v>
      </c>
      <c r="F5">
        <f>ABS(D5-E5)</f>
        <v>4.7613387973121171</v>
      </c>
      <c r="H5" t="s">
        <v>12</v>
      </c>
      <c r="I5" cm="1">
        <f t="array" ref="I5">(SUM(TableBOU[PP]-TableBOU[AP]))^2</f>
        <v>1.2621774483536189E-29</v>
      </c>
    </row>
    <row r="6" spans="1:9" x14ac:dyDescent="0.3">
      <c r="A6" t="s">
        <v>29</v>
      </c>
      <c r="B6">
        <v>77.846153816919397</v>
      </c>
      <c r="C6">
        <v>44.809910552074484</v>
      </c>
      <c r="D6">
        <f>B6*$I$2+C6*$I$3</f>
        <v>40.457861175490414</v>
      </c>
      <c r="E6">
        <v>41</v>
      </c>
      <c r="F6">
        <f>ABS(D6-E6)</f>
        <v>0.5421388245095855</v>
      </c>
    </row>
    <row r="7" spans="1:9" x14ac:dyDescent="0.3">
      <c r="H7" t="s">
        <v>15</v>
      </c>
      <c r="I7">
        <f>AVERAGE(TableBOU[DIFF])/10</f>
        <v>0.63901501982145337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30</v>
      </c>
      <c r="B2">
        <v>31.404557369791991</v>
      </c>
      <c r="C2">
        <v>28.476784107787907</v>
      </c>
      <c r="D2">
        <f t="shared" ref="D2:D7" si="0">B2*$I$2+C2*$I$3</f>
        <v>31.311494451636641</v>
      </c>
      <c r="E2">
        <v>26</v>
      </c>
      <c r="F2">
        <f t="shared" ref="F2:F7" si="1">ABS(D2-E2)</f>
        <v>5.3114944516366407</v>
      </c>
      <c r="H2" t="s">
        <v>7</v>
      </c>
      <c r="I2">
        <v>0.5172567472433357</v>
      </c>
    </row>
    <row r="3" spans="1:9" x14ac:dyDescent="0.3">
      <c r="A3" t="s">
        <v>31</v>
      </c>
      <c r="B3">
        <v>27.4224464550691</v>
      </c>
      <c r="C3">
        <v>36.672423622087713</v>
      </c>
      <c r="D3">
        <f t="shared" si="0"/>
        <v>33.588093668647275</v>
      </c>
      <c r="E3">
        <v>39</v>
      </c>
      <c r="F3">
        <f t="shared" si="1"/>
        <v>5.4119063313527249</v>
      </c>
      <c r="H3" t="s">
        <v>9</v>
      </c>
      <c r="I3">
        <v>0.52910733181422243</v>
      </c>
    </row>
    <row r="4" spans="1:9" x14ac:dyDescent="0.3">
      <c r="A4" t="s">
        <v>32</v>
      </c>
      <c r="B4">
        <v>34.615552466095565</v>
      </c>
      <c r="C4">
        <v>37.294644910023962</v>
      </c>
      <c r="D4">
        <f t="shared" si="0"/>
        <v>37.637998131945267</v>
      </c>
      <c r="E4">
        <v>48</v>
      </c>
      <c r="F4">
        <f t="shared" si="1"/>
        <v>10.362001868054733</v>
      </c>
    </row>
    <row r="5" spans="1:9" x14ac:dyDescent="0.3">
      <c r="A5" t="s">
        <v>33</v>
      </c>
      <c r="B5">
        <v>32.651098044106924</v>
      </c>
      <c r="C5">
        <v>38.336192561507538</v>
      </c>
      <c r="D5">
        <f t="shared" si="0"/>
        <v>37.17296132635348</v>
      </c>
      <c r="E5">
        <v>27</v>
      </c>
      <c r="F5">
        <f t="shared" si="1"/>
        <v>10.17296132635348</v>
      </c>
      <c r="H5" t="s">
        <v>12</v>
      </c>
      <c r="I5" cm="1">
        <f t="array" ref="I5">(SUM(TableBRE[PP]-TableBRE[AP]))^2</f>
        <v>2.0194839173657902E-28</v>
      </c>
    </row>
    <row r="6" spans="1:9" x14ac:dyDescent="0.3">
      <c r="A6" t="s">
        <v>34</v>
      </c>
      <c r="B6">
        <v>30.339674092712222</v>
      </c>
      <c r="C6">
        <v>33.253496282429566</v>
      </c>
      <c r="D6">
        <f t="shared" si="0"/>
        <v>33.288069825109702</v>
      </c>
      <c r="E6">
        <v>32</v>
      </c>
      <c r="F6">
        <f t="shared" si="1"/>
        <v>1.2880698251097016</v>
      </c>
    </row>
    <row r="7" spans="1:9" x14ac:dyDescent="0.3">
      <c r="A7" t="s">
        <v>35</v>
      </c>
      <c r="B7">
        <v>43.852712845608892</v>
      </c>
      <c r="C7">
        <v>30.841135646408905</v>
      </c>
      <c r="D7">
        <f t="shared" si="0"/>
        <v>39.001382596307621</v>
      </c>
      <c r="E7">
        <v>40</v>
      </c>
      <c r="F7">
        <f t="shared" si="1"/>
        <v>0.9986174036923785</v>
      </c>
      <c r="H7" t="s">
        <v>15</v>
      </c>
      <c r="I7">
        <f>AVERAGE(TableBRE[DIFF])/10</f>
        <v>0.55908418676999427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36</v>
      </c>
      <c r="B2">
        <v>42</v>
      </c>
      <c r="C2">
        <v>53.691500881715633</v>
      </c>
      <c r="D2">
        <f>B2*$I$2+C2*$I$3</f>
        <v>40.274064517838951</v>
      </c>
      <c r="E2">
        <v>33</v>
      </c>
      <c r="F2">
        <f>ABS(D2-E2)</f>
        <v>7.2740645178389514</v>
      </c>
      <c r="H2" t="s">
        <v>7</v>
      </c>
      <c r="I2">
        <v>0.36815022070766495</v>
      </c>
    </row>
    <row r="3" spans="1:9" x14ac:dyDescent="0.3">
      <c r="A3" t="s">
        <v>37</v>
      </c>
      <c r="B3">
        <v>34.878787878787882</v>
      </c>
      <c r="C3">
        <v>26.268597600895703</v>
      </c>
      <c r="D3">
        <f>B3*$I$2+C3*$I$3</f>
        <v>24.979798941402304</v>
      </c>
      <c r="E3">
        <v>22</v>
      </c>
      <c r="F3">
        <f>ABS(D3-E3)</f>
        <v>2.9797989414023043</v>
      </c>
      <c r="H3" t="s">
        <v>9</v>
      </c>
      <c r="I3">
        <v>0.4621169987923831</v>
      </c>
    </row>
    <row r="4" spans="1:9" x14ac:dyDescent="0.3">
      <c r="A4" t="s">
        <v>38</v>
      </c>
      <c r="B4">
        <v>22.396668309416501</v>
      </c>
      <c r="C4">
        <v>35.984189416554628</v>
      </c>
      <c r="D4">
        <f>B4*$I$2+C4*$I$3</f>
        <v>24.874243998382909</v>
      </c>
      <c r="E4">
        <v>31</v>
      </c>
      <c r="F4">
        <f>ABS(D4-E4)</f>
        <v>6.1257560016170913</v>
      </c>
    </row>
    <row r="5" spans="1:9" x14ac:dyDescent="0.3">
      <c r="A5" t="s">
        <v>39</v>
      </c>
      <c r="B5">
        <v>40.987622036234995</v>
      </c>
      <c r="C5">
        <v>60.119602862597617</v>
      </c>
      <c r="D5">
        <f>B5*$I$2+C5*$I$3</f>
        <v>42.871892542375839</v>
      </c>
      <c r="E5">
        <v>47</v>
      </c>
      <c r="F5">
        <f>ABS(D5-E5)</f>
        <v>4.1281074576241608</v>
      </c>
      <c r="H5" t="s">
        <v>12</v>
      </c>
      <c r="I5" cm="1">
        <f t="array" ref="I5">(SUM(TableBHA[PP]-TableBHA[AP]))^2</f>
        <v>1.2621774483536189E-29</v>
      </c>
    </row>
    <row r="7" spans="1:9" x14ac:dyDescent="0.3">
      <c r="H7" t="s">
        <v>15</v>
      </c>
      <c r="I7">
        <f>AVERAGE(TableBHA[DIFF])/10</f>
        <v>0.51269317296206274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40</v>
      </c>
      <c r="B2">
        <v>55.761864822202028</v>
      </c>
      <c r="C2">
        <v>37.069873179670523</v>
      </c>
      <c r="D2">
        <f t="shared" ref="D2:D8" si="0">B2*$I$2+C2*$I$3</f>
        <v>36.752785621270711</v>
      </c>
      <c r="E2">
        <v>44</v>
      </c>
      <c r="F2">
        <f t="shared" ref="F2:F8" si="1">ABS(D2-E2)</f>
        <v>7.2472143787292893</v>
      </c>
      <c r="H2" t="s">
        <v>7</v>
      </c>
      <c r="I2">
        <v>0.40500943303167769</v>
      </c>
    </row>
    <row r="3" spans="1:9" x14ac:dyDescent="0.3">
      <c r="A3" t="s">
        <v>41</v>
      </c>
      <c r="B3">
        <v>26.39564551041466</v>
      </c>
      <c r="C3">
        <v>52.508163945347221</v>
      </c>
      <c r="D3">
        <f t="shared" si="0"/>
        <v>30.759953911992095</v>
      </c>
      <c r="E3">
        <v>37</v>
      </c>
      <c r="F3">
        <f t="shared" si="1"/>
        <v>6.2400460880079045</v>
      </c>
      <c r="H3" t="s">
        <v>9</v>
      </c>
      <c r="I3">
        <v>0.38221615423847388</v>
      </c>
    </row>
    <row r="4" spans="1:9" x14ac:dyDescent="0.3">
      <c r="A4" t="s">
        <v>42</v>
      </c>
      <c r="B4">
        <v>37.999999968422543</v>
      </c>
      <c r="C4">
        <v>49.509916439779865</v>
      </c>
      <c r="D4">
        <f t="shared" si="0"/>
        <v>34.31384830069544</v>
      </c>
      <c r="E4">
        <v>20</v>
      </c>
      <c r="F4">
        <f t="shared" si="1"/>
        <v>14.31384830069544</v>
      </c>
    </row>
    <row r="5" spans="1:9" x14ac:dyDescent="0.3">
      <c r="A5" t="s">
        <v>43</v>
      </c>
      <c r="B5">
        <v>30.29076422307444</v>
      </c>
      <c r="C5">
        <v>25.219346528032347</v>
      </c>
      <c r="D5">
        <f t="shared" si="0"/>
        <v>21.907286886435536</v>
      </c>
      <c r="E5">
        <v>27</v>
      </c>
      <c r="F5">
        <f t="shared" si="1"/>
        <v>5.0927131135644643</v>
      </c>
      <c r="H5" t="s">
        <v>12</v>
      </c>
      <c r="I5" cm="1">
        <f t="array" ref="I5">(SUM(TableCHE[PP]-TableCHE[AP]))^2</f>
        <v>1.2621774483536189E-29</v>
      </c>
    </row>
    <row r="6" spans="1:9" x14ac:dyDescent="0.3">
      <c r="A6" t="s">
        <v>44</v>
      </c>
      <c r="B6">
        <v>16.749999326005909</v>
      </c>
      <c r="C6">
        <v>47.271271692577557</v>
      </c>
      <c r="D6">
        <f t="shared" si="0"/>
        <v>24.851751402605665</v>
      </c>
      <c r="E6">
        <v>22</v>
      </c>
      <c r="F6">
        <f t="shared" si="1"/>
        <v>2.8517514026056645</v>
      </c>
    </row>
    <row r="7" spans="1:9" x14ac:dyDescent="0.3">
      <c r="A7" t="s">
        <v>45</v>
      </c>
      <c r="B7">
        <v>62.743589741175782</v>
      </c>
      <c r="C7">
        <v>35.369524018012648</v>
      </c>
      <c r="D7">
        <f t="shared" si="0"/>
        <v>38.930549154855925</v>
      </c>
      <c r="E7">
        <v>50</v>
      </c>
      <c r="F7">
        <f t="shared" si="1"/>
        <v>11.069450845144075</v>
      </c>
      <c r="H7" t="s">
        <v>15</v>
      </c>
      <c r="I7">
        <f>AVERAGE(TableCHE[DIFF])/10</f>
        <v>0.84712641215559237</v>
      </c>
    </row>
    <row r="8" spans="1:9" x14ac:dyDescent="0.3">
      <c r="A8" t="s">
        <v>46</v>
      </c>
      <c r="B8">
        <v>69.125</v>
      </c>
      <c r="C8">
        <v>35.287748867397951</v>
      </c>
      <c r="D8">
        <f t="shared" si="0"/>
        <v>41.483824722144632</v>
      </c>
      <c r="E8">
        <v>29</v>
      </c>
      <c r="F8">
        <f t="shared" si="1"/>
        <v>12.483824722144632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47</v>
      </c>
      <c r="B2">
        <v>48.833333287697727</v>
      </c>
      <c r="C2">
        <v>31.554927032638872</v>
      </c>
      <c r="D2">
        <f t="shared" ref="D2:D11" si="0">B2*$I$2+C2*$I$3</f>
        <v>40.384329952703418</v>
      </c>
      <c r="E2">
        <v>51</v>
      </c>
      <c r="F2">
        <f t="shared" ref="F2:F11" si="1">ABS(D2-E2)</f>
        <v>10.615670047296582</v>
      </c>
      <c r="H2" t="s">
        <v>7</v>
      </c>
      <c r="I2">
        <v>0.53849475157550364</v>
      </c>
    </row>
    <row r="3" spans="1:9" x14ac:dyDescent="0.3">
      <c r="A3" t="s">
        <v>48</v>
      </c>
      <c r="B3">
        <v>24.976720035575383</v>
      </c>
      <c r="C3">
        <v>29.013408353843328</v>
      </c>
      <c r="D3">
        <f t="shared" si="0"/>
        <v>26.402996708302179</v>
      </c>
      <c r="E3">
        <v>33</v>
      </c>
      <c r="F3">
        <f t="shared" si="1"/>
        <v>6.5970032916978205</v>
      </c>
      <c r="H3" t="s">
        <v>9</v>
      </c>
      <c r="I3">
        <v>0.44645440823770843</v>
      </c>
    </row>
    <row r="4" spans="1:9" x14ac:dyDescent="0.3">
      <c r="A4" t="s">
        <v>49</v>
      </c>
      <c r="B4">
        <v>24.851851259038412</v>
      </c>
      <c r="C4">
        <v>30.608229177396744</v>
      </c>
      <c r="D4">
        <f t="shared" si="0"/>
        <v>27.047770314526083</v>
      </c>
      <c r="E4">
        <v>23</v>
      </c>
      <c r="F4">
        <f t="shared" si="1"/>
        <v>4.0477703145260833</v>
      </c>
    </row>
    <row r="5" spans="1:9" x14ac:dyDescent="0.3">
      <c r="A5" t="s">
        <v>50</v>
      </c>
      <c r="B5">
        <v>28.345330570191017</v>
      </c>
      <c r="C5">
        <v>26.871329941312343</v>
      </c>
      <c r="D5">
        <f t="shared" si="0"/>
        <v>27.260635451229358</v>
      </c>
      <c r="E5">
        <v>27</v>
      </c>
      <c r="F5">
        <f t="shared" si="1"/>
        <v>0.26063545122935849</v>
      </c>
      <c r="H5" t="s">
        <v>12</v>
      </c>
      <c r="I5" cm="1">
        <f t="array" ref="I5">(SUM(TableCRY[PP]-TableCRY[AP]))^2</f>
        <v>1.2621774483536189E-27</v>
      </c>
    </row>
    <row r="6" spans="1:9" x14ac:dyDescent="0.3">
      <c r="A6" t="s">
        <v>51</v>
      </c>
      <c r="B6">
        <v>25.931467923559349</v>
      </c>
      <c r="C6">
        <v>40.743028539254169</v>
      </c>
      <c r="D6">
        <f t="shared" si="0"/>
        <v>32.153864073790018</v>
      </c>
      <c r="E6">
        <v>46</v>
      </c>
      <c r="F6">
        <f t="shared" si="1"/>
        <v>13.846135926209982</v>
      </c>
    </row>
    <row r="7" spans="1:9" x14ac:dyDescent="0.3">
      <c r="A7" t="s">
        <v>52</v>
      </c>
      <c r="B7">
        <v>29.582491329264915</v>
      </c>
      <c r="C7">
        <v>30.223395548084866</v>
      </c>
      <c r="D7">
        <f t="shared" si="0"/>
        <v>29.423384493691422</v>
      </c>
      <c r="E7">
        <v>41</v>
      </c>
      <c r="F7">
        <f t="shared" si="1"/>
        <v>11.576615506308578</v>
      </c>
      <c r="H7" t="s">
        <v>15</v>
      </c>
      <c r="I7">
        <f>AVERAGE(TableCRY[DIFF])/10</f>
        <v>1.0654148027778958</v>
      </c>
    </row>
    <row r="8" spans="1:9" x14ac:dyDescent="0.3">
      <c r="A8" t="s">
        <v>53</v>
      </c>
      <c r="B8">
        <v>113.7082480187762</v>
      </c>
      <c r="C8">
        <v>48.85233628494894</v>
      </c>
      <c r="D8">
        <f t="shared" si="0"/>
        <v>83.041635656083059</v>
      </c>
      <c r="E8">
        <v>37</v>
      </c>
      <c r="F8">
        <f t="shared" si="1"/>
        <v>46.041635656083059</v>
      </c>
    </row>
    <row r="9" spans="1:9" x14ac:dyDescent="0.3">
      <c r="A9" t="s">
        <v>54</v>
      </c>
      <c r="B9">
        <v>47.717948717948723</v>
      </c>
      <c r="C9">
        <v>29.621913307328047</v>
      </c>
      <c r="D9">
        <f t="shared" si="0"/>
        <v>38.920698717056261</v>
      </c>
      <c r="E9">
        <v>36</v>
      </c>
      <c r="F9">
        <f t="shared" si="1"/>
        <v>2.9206987170562613</v>
      </c>
    </row>
    <row r="10" spans="1:9" x14ac:dyDescent="0.3">
      <c r="A10" t="s">
        <v>55</v>
      </c>
      <c r="B10">
        <v>25.434373299908327</v>
      </c>
      <c r="C10">
        <v>26.769960308632502</v>
      </c>
      <c r="D10">
        <f t="shared" si="0"/>
        <v>25.647843319750223</v>
      </c>
      <c r="E10">
        <v>27</v>
      </c>
      <c r="F10">
        <f t="shared" si="1"/>
        <v>1.3521566802497773</v>
      </c>
    </row>
    <row r="11" spans="1:9" x14ac:dyDescent="0.3">
      <c r="A11" t="s">
        <v>56</v>
      </c>
      <c r="B11">
        <v>18.01019251481906</v>
      </c>
      <c r="C11">
        <v>26.919763691468368</v>
      </c>
      <c r="D11">
        <f t="shared" si="0"/>
        <v>21.716841312867942</v>
      </c>
      <c r="E11">
        <v>31</v>
      </c>
      <c r="F11">
        <f t="shared" si="1"/>
        <v>9.2831586871320582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57</v>
      </c>
      <c r="B2">
        <v>45.793396751415372</v>
      </c>
      <c r="C2">
        <v>28.754347677293708</v>
      </c>
      <c r="D2">
        <f>B2*$I$2+C2*$I$3</f>
        <v>31.354058355580701</v>
      </c>
      <c r="E2">
        <v>38</v>
      </c>
      <c r="F2">
        <f>ABS(D2-E2)</f>
        <v>6.6459416444192989</v>
      </c>
      <c r="H2" t="s">
        <v>7</v>
      </c>
      <c r="I2">
        <v>0.39816827797830029</v>
      </c>
    </row>
    <row r="3" spans="1:9" x14ac:dyDescent="0.3">
      <c r="A3" t="s">
        <v>58</v>
      </c>
      <c r="B3">
        <v>18</v>
      </c>
      <c r="C3">
        <v>44.993928446498593</v>
      </c>
      <c r="D3">
        <f>B3*$I$2+C3*$I$3</f>
        <v>27.697714087914086</v>
      </c>
      <c r="E3">
        <v>21</v>
      </c>
      <c r="F3">
        <f>ABS(D3-E3)</f>
        <v>6.6977140879140862</v>
      </c>
      <c r="H3" t="s">
        <v>9</v>
      </c>
      <c r="I3">
        <v>0.45629901173704629</v>
      </c>
    </row>
    <row r="4" spans="1:9" x14ac:dyDescent="0.3">
      <c r="A4" t="s">
        <v>59</v>
      </c>
      <c r="B4">
        <v>27.40340879971021</v>
      </c>
      <c r="C4">
        <v>30.76285309177571</v>
      </c>
      <c r="D4">
        <f>B4*$I$2+C4*$I$3</f>
        <v>24.948227556505209</v>
      </c>
      <c r="E4">
        <v>25</v>
      </c>
      <c r="F4">
        <f>ABS(D4-E4)</f>
        <v>5.1772443494790821E-2</v>
      </c>
    </row>
    <row r="5" spans="1:9" x14ac:dyDescent="0.3">
      <c r="H5" t="s">
        <v>12</v>
      </c>
      <c r="I5" cm="1">
        <f t="array" ref="I5">(SUM(TableEVE[PP]-TableEVE[AP]))^2</f>
        <v>1.2621774483536189E-29</v>
      </c>
    </row>
    <row r="7" spans="1:9" x14ac:dyDescent="0.3">
      <c r="H7" t="s">
        <v>15</v>
      </c>
      <c r="I7">
        <f>AVERAGE(TableEVE[DIFF])/10</f>
        <v>0.44651427252760589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60</v>
      </c>
      <c r="B2">
        <v>38.962964568972168</v>
      </c>
      <c r="C2">
        <v>42.456883508199965</v>
      </c>
      <c r="D2">
        <f t="shared" ref="D2:D10" si="0">B2*$I$2+C2*$I$3</f>
        <v>37.715314999464866</v>
      </c>
      <c r="E2">
        <v>36</v>
      </c>
      <c r="F2">
        <f t="shared" ref="F2:F10" si="1">ABS(D2-E2)</f>
        <v>1.7153149994648658</v>
      </c>
      <c r="H2" t="s">
        <v>7</v>
      </c>
      <c r="I2">
        <v>0.46504544071252873</v>
      </c>
    </row>
    <row r="3" spans="1:9" x14ac:dyDescent="0.3">
      <c r="A3" t="s">
        <v>61</v>
      </c>
      <c r="B3">
        <v>46.857142910634209</v>
      </c>
      <c r="C3">
        <v>33.558050017246821</v>
      </c>
      <c r="D3">
        <f t="shared" si="0"/>
        <v>37.279253772366125</v>
      </c>
      <c r="E3">
        <v>20</v>
      </c>
      <c r="F3">
        <f t="shared" si="1"/>
        <v>17.279253772366125</v>
      </c>
      <c r="H3" t="s">
        <v>9</v>
      </c>
      <c r="I3">
        <v>0.46154508646956888</v>
      </c>
    </row>
    <row r="4" spans="1:9" x14ac:dyDescent="0.3">
      <c r="A4" t="s">
        <v>62</v>
      </c>
      <c r="B4">
        <v>50.708333333333343</v>
      </c>
      <c r="C4">
        <v>33.178984963464856</v>
      </c>
      <c r="D4">
        <f t="shared" si="0"/>
        <v>38.89527670673273</v>
      </c>
      <c r="E4">
        <v>35</v>
      </c>
      <c r="F4">
        <f t="shared" si="1"/>
        <v>3.8952767067327301</v>
      </c>
    </row>
    <row r="5" spans="1:9" x14ac:dyDescent="0.3">
      <c r="A5" t="s">
        <v>63</v>
      </c>
      <c r="B5">
        <v>35.225009276725643</v>
      </c>
      <c r="C5">
        <v>38.124437701263858</v>
      </c>
      <c r="D5">
        <f t="shared" si="0"/>
        <v>33.97737685863131</v>
      </c>
      <c r="E5">
        <v>57</v>
      </c>
      <c r="F5">
        <f t="shared" si="1"/>
        <v>23.02262314136869</v>
      </c>
      <c r="H5" t="s">
        <v>12</v>
      </c>
      <c r="I5" cm="1">
        <f t="array" ref="I5">(SUM(TableFUL[PP]-TableFUL[AP]))^2</f>
        <v>1.2621774483536189E-27</v>
      </c>
    </row>
    <row r="6" spans="1:9" x14ac:dyDescent="0.3">
      <c r="A6" t="s">
        <v>64</v>
      </c>
      <c r="B6">
        <v>30.888966291248622</v>
      </c>
      <c r="C6">
        <v>34.888747886966101</v>
      </c>
      <c r="D6">
        <f t="shared" si="0"/>
        <v>30.467503102372916</v>
      </c>
      <c r="E6">
        <v>24</v>
      </c>
      <c r="F6">
        <f t="shared" si="1"/>
        <v>6.4675031023729161</v>
      </c>
    </row>
    <row r="7" spans="1:9" x14ac:dyDescent="0.3">
      <c r="A7" t="s">
        <v>65</v>
      </c>
      <c r="B7">
        <v>26.143732070845829</v>
      </c>
      <c r="C7">
        <v>33.890311729836746</v>
      </c>
      <c r="D7">
        <f t="shared" si="0"/>
        <v>27.799930260584915</v>
      </c>
      <c r="E7">
        <v>28</v>
      </c>
      <c r="F7">
        <f t="shared" si="1"/>
        <v>0.20006973941508477</v>
      </c>
      <c r="H7" t="s">
        <v>15</v>
      </c>
      <c r="I7">
        <f>AVERAGE(TableFUL[DIFF])/10</f>
        <v>0.66270141040225838</v>
      </c>
    </row>
    <row r="8" spans="1:9" x14ac:dyDescent="0.3">
      <c r="A8" t="s">
        <v>66</v>
      </c>
      <c r="B8">
        <v>36.087719238849367</v>
      </c>
      <c r="C8">
        <v>29.64344327458538</v>
      </c>
      <c r="D8">
        <f t="shared" si="0"/>
        <v>30.464214887164974</v>
      </c>
      <c r="E8">
        <v>30</v>
      </c>
      <c r="F8">
        <f t="shared" si="1"/>
        <v>0.4642148871649745</v>
      </c>
    </row>
    <row r="9" spans="1:9" x14ac:dyDescent="0.3">
      <c r="A9" t="s">
        <v>67</v>
      </c>
      <c r="B9">
        <v>35.584905628786892</v>
      </c>
      <c r="C9">
        <v>27.286213165915679</v>
      </c>
      <c r="D9">
        <f t="shared" si="0"/>
        <v>29.142415735942585</v>
      </c>
      <c r="E9">
        <v>32</v>
      </c>
      <c r="F9">
        <f t="shared" si="1"/>
        <v>2.8575842640574152</v>
      </c>
    </row>
    <row r="10" spans="1:9" x14ac:dyDescent="0.3">
      <c r="A10" t="s">
        <v>68</v>
      </c>
      <c r="B10">
        <v>11.527853421067455</v>
      </c>
      <c r="C10">
        <v>36.611240152773064</v>
      </c>
      <c r="D10">
        <f t="shared" si="0"/>
        <v>22.258713676739543</v>
      </c>
      <c r="E10">
        <v>26</v>
      </c>
      <c r="F10">
        <f t="shared" si="1"/>
        <v>3.7412863232604572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69</v>
      </c>
      <c r="B2">
        <v>42.752981206569231</v>
      </c>
      <c r="C2">
        <v>46.888900015151592</v>
      </c>
      <c r="D2">
        <f t="shared" ref="D2:D9" si="0">B2*$I$2+C2*$I$3</f>
        <v>34.152618364066555</v>
      </c>
      <c r="E2">
        <v>45</v>
      </c>
      <c r="F2">
        <f t="shared" ref="F2:F9" si="1">ABS(D2-E2)</f>
        <v>10.847381635933445</v>
      </c>
      <c r="H2" t="s">
        <v>7</v>
      </c>
      <c r="I2">
        <v>0.41735589874007184</v>
      </c>
    </row>
    <row r="3" spans="1:9" x14ac:dyDescent="0.3">
      <c r="A3" t="s">
        <v>70</v>
      </c>
      <c r="B3">
        <v>41.716357296245178</v>
      </c>
      <c r="C3">
        <v>48.001787701855591</v>
      </c>
      <c r="D3">
        <f t="shared" si="0"/>
        <v>34.107074013906725</v>
      </c>
      <c r="E3">
        <v>34</v>
      </c>
      <c r="F3">
        <f t="shared" si="1"/>
        <v>0.10707401390672544</v>
      </c>
      <c r="H3" t="s">
        <v>9</v>
      </c>
      <c r="I3">
        <v>0.34783092509125313</v>
      </c>
    </row>
    <row r="4" spans="1:9" x14ac:dyDescent="0.3">
      <c r="A4" t="s">
        <v>71</v>
      </c>
      <c r="B4">
        <v>48.461538436791329</v>
      </c>
      <c r="C4">
        <v>47.767558651395134</v>
      </c>
      <c r="D4">
        <f t="shared" si="0"/>
        <v>36.840743043679041</v>
      </c>
      <c r="E4">
        <v>27</v>
      </c>
      <c r="F4">
        <f t="shared" si="1"/>
        <v>9.8407430436790406</v>
      </c>
    </row>
    <row r="5" spans="1:9" x14ac:dyDescent="0.3">
      <c r="A5" t="s">
        <v>72</v>
      </c>
      <c r="B5">
        <v>48.736253651686312</v>
      </c>
      <c r="C5">
        <v>54.033811990470198</v>
      </c>
      <c r="D5">
        <f t="shared" si="0"/>
        <v>39.134993754875744</v>
      </c>
      <c r="E5">
        <v>36</v>
      </c>
      <c r="F5">
        <f t="shared" si="1"/>
        <v>3.1349937548757438</v>
      </c>
      <c r="H5" t="s">
        <v>12</v>
      </c>
      <c r="I5" cm="1">
        <f t="array" ref="I5">(SUM(TableLIV[PP]-TableLIV[AP]))^2</f>
        <v>5.0487097934144756E-29</v>
      </c>
    </row>
    <row r="6" spans="1:9" x14ac:dyDescent="0.3">
      <c r="A6" t="s">
        <v>73</v>
      </c>
      <c r="B6">
        <v>68.088426418602467</v>
      </c>
      <c r="C6">
        <v>51.639316769698787</v>
      </c>
      <c r="D6">
        <f t="shared" si="0"/>
        <v>46.378857724817678</v>
      </c>
      <c r="E6">
        <v>29</v>
      </c>
      <c r="F6">
        <f t="shared" si="1"/>
        <v>17.378857724817678</v>
      </c>
    </row>
    <row r="7" spans="1:9" x14ac:dyDescent="0.3">
      <c r="A7" t="s">
        <v>74</v>
      </c>
      <c r="B7">
        <v>71.179775280898866</v>
      </c>
      <c r="C7">
        <v>44.347390168774574</v>
      </c>
      <c r="D7">
        <f t="shared" si="0"/>
        <v>45.132692832263501</v>
      </c>
      <c r="E7">
        <v>38</v>
      </c>
      <c r="F7">
        <f t="shared" si="1"/>
        <v>7.1326928322635013</v>
      </c>
      <c r="H7" t="s">
        <v>15</v>
      </c>
      <c r="I7">
        <f>AVERAGE(TableLIV[DIFF])/10</f>
        <v>1.0040617002828562</v>
      </c>
    </row>
    <row r="8" spans="1:9" x14ac:dyDescent="0.3">
      <c r="A8" t="s">
        <v>75</v>
      </c>
      <c r="B8">
        <v>67.54832039692036</v>
      </c>
      <c r="C8">
        <v>38.792478424511096</v>
      </c>
      <c r="D8">
        <f t="shared" si="0"/>
        <v>41.684913624619192</v>
      </c>
      <c r="E8">
        <v>71</v>
      </c>
      <c r="F8">
        <f t="shared" si="1"/>
        <v>29.315086375380808</v>
      </c>
    </row>
    <row r="9" spans="1:9" x14ac:dyDescent="0.3">
      <c r="A9" t="s">
        <v>76</v>
      </c>
      <c r="B9">
        <v>61.149274124135076</v>
      </c>
      <c r="C9">
        <v>43.259800371236551</v>
      </c>
      <c r="D9">
        <f t="shared" si="0"/>
        <v>40.568106641771557</v>
      </c>
      <c r="E9">
        <v>38</v>
      </c>
      <c r="F9">
        <f t="shared" si="1"/>
        <v>2.568106641771557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77</v>
      </c>
      <c r="B2">
        <v>29.712564871332926</v>
      </c>
      <c r="C2">
        <v>45.662141721770524</v>
      </c>
      <c r="D2">
        <f t="shared" ref="D2:D10" si="0">B2*$I$2+C2*$I$3</f>
        <v>31.189008622319445</v>
      </c>
      <c r="E2">
        <v>33</v>
      </c>
      <c r="F2">
        <f t="shared" ref="F2:F10" si="1">ABS(D2-E2)</f>
        <v>1.8109913776805548</v>
      </c>
      <c r="H2" t="s">
        <v>7</v>
      </c>
      <c r="I2">
        <v>0.42429479746072929</v>
      </c>
    </row>
    <row r="3" spans="1:9" x14ac:dyDescent="0.3">
      <c r="A3" t="s">
        <v>78</v>
      </c>
      <c r="B3">
        <v>32.212535860852917</v>
      </c>
      <c r="C3">
        <v>38.605994194634157</v>
      </c>
      <c r="D3">
        <f t="shared" si="0"/>
        <v>29.378247460088716</v>
      </c>
      <c r="E3">
        <v>38</v>
      </c>
      <c r="F3">
        <f t="shared" si="1"/>
        <v>8.6217525399112844</v>
      </c>
      <c r="H3" t="s">
        <v>9</v>
      </c>
      <c r="I3">
        <v>0.40694810246578927</v>
      </c>
    </row>
    <row r="4" spans="1:9" x14ac:dyDescent="0.3">
      <c r="A4" t="s">
        <v>79</v>
      </c>
      <c r="B4">
        <v>26.689179164465248</v>
      </c>
      <c r="C4">
        <v>46.448493819975937</v>
      </c>
      <c r="D4">
        <f t="shared" si="0"/>
        <v>30.226206290413046</v>
      </c>
      <c r="E4">
        <v>39</v>
      </c>
      <c r="F4">
        <f t="shared" si="1"/>
        <v>8.773793709586954</v>
      </c>
    </row>
    <row r="5" spans="1:9" x14ac:dyDescent="0.3">
      <c r="A5" t="s">
        <v>80</v>
      </c>
      <c r="B5">
        <v>46.105263088274548</v>
      </c>
      <c r="C5">
        <v>47.403967028145871</v>
      </c>
      <c r="D5">
        <f t="shared" si="0"/>
        <v>38.85317769536789</v>
      </c>
      <c r="E5">
        <v>33</v>
      </c>
      <c r="F5">
        <f t="shared" si="1"/>
        <v>5.85317769536789</v>
      </c>
      <c r="H5" t="s">
        <v>12</v>
      </c>
      <c r="I5" cm="1">
        <f t="array" ref="I5">(SUM(TableMCI[PP]-TableMCI[AP]))^2</f>
        <v>5.0487097934144756E-29</v>
      </c>
    </row>
    <row r="6" spans="1:9" x14ac:dyDescent="0.3">
      <c r="A6" t="s">
        <v>81</v>
      </c>
      <c r="B6">
        <v>45.59163467256856</v>
      </c>
      <c r="C6">
        <v>41.755881148761482</v>
      </c>
      <c r="D6">
        <f t="shared" si="0"/>
        <v>36.336769999576546</v>
      </c>
      <c r="E6">
        <v>36</v>
      </c>
      <c r="F6">
        <f t="shared" si="1"/>
        <v>0.3367699995765463</v>
      </c>
    </row>
    <row r="7" spans="1:9" x14ac:dyDescent="0.3">
      <c r="A7" t="s">
        <v>82</v>
      </c>
      <c r="B7">
        <v>49.594594574733499</v>
      </c>
      <c r="C7">
        <v>50.619328057601678</v>
      </c>
      <c r="D7">
        <f t="shared" si="0"/>
        <v>41.642167961367818</v>
      </c>
      <c r="E7">
        <v>49</v>
      </c>
      <c r="F7">
        <f t="shared" si="1"/>
        <v>7.357832038632182</v>
      </c>
      <c r="H7" t="s">
        <v>15</v>
      </c>
      <c r="I7">
        <f>AVERAGE(TableMCI[DIFF])/10</f>
        <v>0.80311425798447789</v>
      </c>
    </row>
    <row r="8" spans="1:9" x14ac:dyDescent="0.3">
      <c r="A8" t="s">
        <v>83</v>
      </c>
      <c r="B8">
        <v>116.99999998987106</v>
      </c>
      <c r="C8">
        <v>96.834735322575739</v>
      </c>
      <c r="D8">
        <f t="shared" si="0"/>
        <v>89.049203090906801</v>
      </c>
      <c r="E8">
        <v>64</v>
      </c>
      <c r="F8">
        <f t="shared" si="1"/>
        <v>25.049203090906801</v>
      </c>
    </row>
    <row r="9" spans="1:9" x14ac:dyDescent="0.3">
      <c r="A9" t="s">
        <v>84</v>
      </c>
      <c r="B9">
        <v>30.839801506859644</v>
      </c>
      <c r="C9">
        <v>35.235600400994102</v>
      </c>
      <c r="D9">
        <f t="shared" si="0"/>
        <v>27.42422805650946</v>
      </c>
      <c r="E9">
        <v>37</v>
      </c>
      <c r="F9">
        <f t="shared" si="1"/>
        <v>9.5757719434905404</v>
      </c>
    </row>
    <row r="10" spans="1:9" x14ac:dyDescent="0.3">
      <c r="A10" t="s">
        <v>85</v>
      </c>
      <c r="B10">
        <v>77.689655246405309</v>
      </c>
      <c r="C10">
        <v>34.249267170509896</v>
      </c>
      <c r="D10">
        <f t="shared" si="0"/>
        <v>46.900990823450272</v>
      </c>
      <c r="E10">
        <v>42</v>
      </c>
      <c r="F10">
        <f t="shared" si="1"/>
        <v>4.9009908234502717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86</v>
      </c>
      <c r="B2">
        <v>44.539969892244024</v>
      </c>
      <c r="C2">
        <v>47.793411841427996</v>
      </c>
      <c r="D2">
        <f t="shared" ref="D2:D8" si="0">B2*$I$2+C2*$I$3</f>
        <v>33.887200863498478</v>
      </c>
      <c r="E2">
        <v>44</v>
      </c>
      <c r="F2">
        <f t="shared" ref="F2:F8" si="1">ABS(D2-E2)</f>
        <v>10.112799136501522</v>
      </c>
      <c r="H2" t="s">
        <v>7</v>
      </c>
      <c r="I2">
        <v>0.37532338605054222</v>
      </c>
    </row>
    <row r="3" spans="1:9" x14ac:dyDescent="0.3">
      <c r="A3" t="s">
        <v>87</v>
      </c>
      <c r="B3">
        <v>32.296329138806662</v>
      </c>
      <c r="C3">
        <v>42.682439905202926</v>
      </c>
      <c r="D3">
        <f t="shared" si="0"/>
        <v>27.455703310467776</v>
      </c>
      <c r="E3">
        <v>25</v>
      </c>
      <c r="F3">
        <f t="shared" si="1"/>
        <v>2.4557033104677757</v>
      </c>
      <c r="H3" t="s">
        <v>9</v>
      </c>
      <c r="I3">
        <v>0.35926099199448203</v>
      </c>
    </row>
    <row r="4" spans="1:9" x14ac:dyDescent="0.3">
      <c r="A4" t="s">
        <v>88</v>
      </c>
      <c r="B4">
        <v>42.260044046969227</v>
      </c>
      <c r="C4">
        <v>51.82077853400726</v>
      </c>
      <c r="D4">
        <f t="shared" si="0"/>
        <v>34.478367128407356</v>
      </c>
      <c r="E4">
        <v>34</v>
      </c>
      <c r="F4">
        <f t="shared" si="1"/>
        <v>0.47836712840735629</v>
      </c>
    </row>
    <row r="5" spans="1:9" x14ac:dyDescent="0.3">
      <c r="A5" t="s">
        <v>89</v>
      </c>
      <c r="B5">
        <v>72.655172376448604</v>
      </c>
      <c r="C5">
        <v>44.70184852784935</v>
      </c>
      <c r="D5">
        <f t="shared" si="0"/>
        <v>43.328815756516747</v>
      </c>
      <c r="E5">
        <v>27</v>
      </c>
      <c r="F5">
        <f t="shared" si="1"/>
        <v>16.328815756516747</v>
      </c>
      <c r="H5" t="s">
        <v>12</v>
      </c>
      <c r="I5" cm="1">
        <f t="array" ref="I5">(SUM(TableMUN[PP]-TableMUN[AP]))^2</f>
        <v>4.543838814073028E-28</v>
      </c>
    </row>
    <row r="6" spans="1:9" x14ac:dyDescent="0.3">
      <c r="A6" t="s">
        <v>90</v>
      </c>
      <c r="B6">
        <v>56.163934426229496</v>
      </c>
      <c r="C6">
        <v>30.304845434345189</v>
      </c>
      <c r="D6">
        <f t="shared" si="0"/>
        <v>31.966986875755374</v>
      </c>
      <c r="E6">
        <v>29</v>
      </c>
      <c r="F6">
        <f t="shared" si="1"/>
        <v>2.9669868757553743</v>
      </c>
    </row>
    <row r="7" spans="1:9" x14ac:dyDescent="0.3">
      <c r="A7" t="s">
        <v>91</v>
      </c>
      <c r="B7">
        <v>33.312446993888351</v>
      </c>
      <c r="C7">
        <v>40.553747504751037</v>
      </c>
      <c r="D7">
        <f t="shared" si="0"/>
        <v>27.07231996102599</v>
      </c>
      <c r="E7">
        <v>35</v>
      </c>
      <c r="F7">
        <f t="shared" si="1"/>
        <v>7.9276800389740103</v>
      </c>
      <c r="H7" t="s">
        <v>15</v>
      </c>
      <c r="I7">
        <f>AVERAGE(TableMUN[DIFF])/10</f>
        <v>0.63513923060420752</v>
      </c>
    </row>
    <row r="8" spans="1:9" x14ac:dyDescent="0.3">
      <c r="A8" t="s">
        <v>92</v>
      </c>
      <c r="B8">
        <v>45.519788906229785</v>
      </c>
      <c r="C8">
        <v>54.907059879295659</v>
      </c>
      <c r="D8">
        <f t="shared" si="0"/>
        <v>36.810606104328258</v>
      </c>
      <c r="E8">
        <v>41</v>
      </c>
      <c r="F8">
        <f t="shared" si="1"/>
        <v>4.189393895671742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93</v>
      </c>
      <c r="B2">
        <v>67.222222179088135</v>
      </c>
      <c r="C2">
        <v>55.291601558891813</v>
      </c>
      <c r="D2">
        <f t="shared" ref="D2:D13" si="0">B2*$I$2+C2*$I$3</f>
        <v>58.415338914714837</v>
      </c>
      <c r="E2">
        <v>35</v>
      </c>
      <c r="F2">
        <f t="shared" ref="F2:F13" si="1">ABS(D2-E2)</f>
        <v>23.415338914714837</v>
      </c>
      <c r="H2" t="s">
        <v>7</v>
      </c>
      <c r="I2">
        <v>0.4945654707184205</v>
      </c>
    </row>
    <row r="3" spans="1:9" x14ac:dyDescent="0.3">
      <c r="A3" t="s">
        <v>94</v>
      </c>
      <c r="B3">
        <v>75.296296234714958</v>
      </c>
      <c r="C3">
        <v>39.797130551936831</v>
      </c>
      <c r="D3">
        <f t="shared" si="0"/>
        <v>55.355186419489037</v>
      </c>
      <c r="E3">
        <v>42</v>
      </c>
      <c r="F3">
        <f t="shared" si="1"/>
        <v>13.355186419489037</v>
      </c>
      <c r="H3" t="s">
        <v>9</v>
      </c>
      <c r="I3">
        <v>0.45521468451528663</v>
      </c>
    </row>
    <row r="4" spans="1:9" x14ac:dyDescent="0.3">
      <c r="A4" t="s">
        <v>95</v>
      </c>
      <c r="B4">
        <v>66.135135135135144</v>
      </c>
      <c r="C4">
        <v>38.254179276054231</v>
      </c>
      <c r="D4">
        <f t="shared" si="0"/>
        <v>50.122018389674707</v>
      </c>
      <c r="E4">
        <v>39</v>
      </c>
      <c r="F4">
        <f t="shared" si="1"/>
        <v>11.122018389674707</v>
      </c>
    </row>
    <row r="5" spans="1:9" x14ac:dyDescent="0.3">
      <c r="A5" t="s">
        <v>96</v>
      </c>
      <c r="B5">
        <v>30.218725425412128</v>
      </c>
      <c r="C5">
        <v>34.334093216121403</v>
      </c>
      <c r="D5">
        <f t="shared" si="0"/>
        <v>30.5745215760248</v>
      </c>
      <c r="E5">
        <v>40</v>
      </c>
      <c r="F5">
        <f t="shared" si="1"/>
        <v>9.4254784239751999</v>
      </c>
      <c r="H5" t="s">
        <v>12</v>
      </c>
      <c r="I5" cm="1">
        <f t="array" ref="I5">(SUM(TableNEW[PP]-TableNEW[AP]))^2</f>
        <v>0</v>
      </c>
    </row>
    <row r="6" spans="1:9" x14ac:dyDescent="0.3">
      <c r="A6" t="s">
        <v>97</v>
      </c>
      <c r="B6">
        <v>25.065476171535597</v>
      </c>
      <c r="C6">
        <v>25.408659756741649</v>
      </c>
      <c r="D6">
        <f t="shared" si="0"/>
        <v>23.962914056678265</v>
      </c>
      <c r="E6">
        <v>40</v>
      </c>
      <c r="F6">
        <f t="shared" si="1"/>
        <v>16.037085943321735</v>
      </c>
    </row>
    <row r="7" spans="1:9" x14ac:dyDescent="0.3">
      <c r="A7" t="s">
        <v>98</v>
      </c>
      <c r="B7">
        <v>49.999155760229129</v>
      </c>
      <c r="C7">
        <v>60.416179799725711</v>
      </c>
      <c r="D7">
        <f t="shared" si="0"/>
        <v>52.230188231232319</v>
      </c>
      <c r="E7">
        <v>53</v>
      </c>
      <c r="F7">
        <f t="shared" si="1"/>
        <v>0.76981176876768131</v>
      </c>
      <c r="H7" t="s">
        <v>15</v>
      </c>
      <c r="I7">
        <f>AVERAGE(TableNEW[DIFF])/10</f>
        <v>1.063274553029558</v>
      </c>
    </row>
    <row r="8" spans="1:9" x14ac:dyDescent="0.3">
      <c r="A8" t="s">
        <v>99</v>
      </c>
      <c r="B8">
        <v>22.727610447779252</v>
      </c>
      <c r="C8">
        <v>28.721580247103901</v>
      </c>
      <c r="D8">
        <f t="shared" si="0"/>
        <v>24.314776450376726</v>
      </c>
      <c r="E8">
        <v>30</v>
      </c>
      <c r="F8">
        <f t="shared" si="1"/>
        <v>5.6852235496232737</v>
      </c>
    </row>
    <row r="9" spans="1:9" x14ac:dyDescent="0.3">
      <c r="A9" t="s">
        <v>100</v>
      </c>
      <c r="B9">
        <v>41.972727272727276</v>
      </c>
      <c r="C9">
        <v>40.715828985650376</v>
      </c>
      <c r="D9">
        <f t="shared" si="0"/>
        <v>39.292704867453452</v>
      </c>
      <c r="E9">
        <v>34</v>
      </c>
      <c r="F9">
        <f t="shared" si="1"/>
        <v>5.2927048674534518</v>
      </c>
    </row>
    <row r="10" spans="1:9" x14ac:dyDescent="0.3">
      <c r="A10" t="s">
        <v>101</v>
      </c>
      <c r="B10">
        <v>32.045386255123283</v>
      </c>
      <c r="C10">
        <v>40.9438308833519</v>
      </c>
      <c r="D10">
        <f t="shared" si="0"/>
        <v>34.486774596030934</v>
      </c>
      <c r="E10">
        <v>28</v>
      </c>
      <c r="F10">
        <f t="shared" si="1"/>
        <v>6.4867745960309335</v>
      </c>
    </row>
    <row r="11" spans="1:9" x14ac:dyDescent="0.3">
      <c r="A11" t="s">
        <v>102</v>
      </c>
      <c r="B11">
        <v>50.17291328622877</v>
      </c>
      <c r="C11">
        <v>49.496765602845052</v>
      </c>
      <c r="D11">
        <f t="shared" si="0"/>
        <v>47.345445015144428</v>
      </c>
      <c r="E11">
        <v>57</v>
      </c>
      <c r="F11">
        <f t="shared" si="1"/>
        <v>9.6545549848555723</v>
      </c>
    </row>
    <row r="12" spans="1:9" x14ac:dyDescent="0.3">
      <c r="A12" t="s">
        <v>68</v>
      </c>
      <c r="B12">
        <v>41.284923127120344</v>
      </c>
      <c r="C12">
        <v>42.524076457339859</v>
      </c>
      <c r="D12">
        <f t="shared" si="0"/>
        <v>39.775681488769969</v>
      </c>
      <c r="E12">
        <v>62</v>
      </c>
      <c r="F12">
        <f t="shared" si="1"/>
        <v>22.224318511230031</v>
      </c>
    </row>
    <row r="13" spans="1:9" x14ac:dyDescent="0.3">
      <c r="A13" t="s">
        <v>103</v>
      </c>
      <c r="B13">
        <v>44.074015005073825</v>
      </c>
      <c r="C13">
        <v>46.850342799649468</v>
      </c>
      <c r="D13">
        <f t="shared" si="0"/>
        <v>43.124449994410526</v>
      </c>
      <c r="E13">
        <v>39</v>
      </c>
      <c r="F13">
        <f t="shared" si="1"/>
        <v>4.1244499944105257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104</v>
      </c>
      <c r="B2">
        <v>30.350648828159262</v>
      </c>
      <c r="C2">
        <v>38.489688391112708</v>
      </c>
      <c r="D2">
        <f>B2*$I$2+C2*$I$3</f>
        <v>33.891970491176849</v>
      </c>
      <c r="E2">
        <v>58</v>
      </c>
      <c r="F2">
        <f>ABS(D2-E2)</f>
        <v>24.108029508823151</v>
      </c>
      <c r="H2" t="s">
        <v>7</v>
      </c>
      <c r="I2">
        <v>0.55694475742095662</v>
      </c>
    </row>
    <row r="3" spans="1:9" x14ac:dyDescent="0.3">
      <c r="A3" t="s">
        <v>105</v>
      </c>
      <c r="B3">
        <v>57.303030303030305</v>
      </c>
      <c r="C3">
        <v>31.70503036607192</v>
      </c>
      <c r="D3">
        <f>B3*$I$2+C3*$I$3</f>
        <v>45.908388514551532</v>
      </c>
      <c r="E3">
        <v>29</v>
      </c>
      <c r="F3">
        <f>ABS(D3-E3)</f>
        <v>16.908388514551532</v>
      </c>
      <c r="H3" t="s">
        <v>9</v>
      </c>
      <c r="I3">
        <v>0.44137368869766347</v>
      </c>
    </row>
    <row r="4" spans="1:9" x14ac:dyDescent="0.3">
      <c r="A4" t="s">
        <v>106</v>
      </c>
      <c r="B4">
        <v>49.428571388013104</v>
      </c>
      <c r="C4">
        <v>36.565772713907201</v>
      </c>
      <c r="D4">
        <f>B4*$I$2+C4*$I$3</f>
        <v>43.668153684178989</v>
      </c>
      <c r="E4">
        <v>41</v>
      </c>
      <c r="F4">
        <f>ABS(D4-E4)</f>
        <v>2.6681536841789892</v>
      </c>
    </row>
    <row r="5" spans="1:9" x14ac:dyDescent="0.3">
      <c r="A5" t="s">
        <v>107</v>
      </c>
      <c r="B5">
        <v>31.656080325117063</v>
      </c>
      <c r="C5">
        <v>26.963091904361132</v>
      </c>
      <c r="D5">
        <f>B5*$I$2+C5*$I$3</f>
        <v>29.531487310092622</v>
      </c>
      <c r="E5">
        <v>25</v>
      </c>
      <c r="F5">
        <f>ABS(D5-E5)</f>
        <v>4.5314873100926221</v>
      </c>
      <c r="H5" t="s">
        <v>12</v>
      </c>
      <c r="I5" cm="1">
        <f t="array" ref="I5">(SUM(TableNFO[PP]-TableNFO[AP]))^2</f>
        <v>5.0487097934144756E-29</v>
      </c>
    </row>
    <row r="7" spans="1:9" x14ac:dyDescent="0.3">
      <c r="H7" t="s">
        <v>15</v>
      </c>
      <c r="I7">
        <f>AVERAGE(TableNFO[DIFF])/10</f>
        <v>1.2054014754411573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108</v>
      </c>
      <c r="B2">
        <v>39.701622927904346</v>
      </c>
      <c r="C2">
        <v>36.626427692646431</v>
      </c>
      <c r="D2">
        <f t="shared" ref="D2:D7" si="0">B2*$I$2+C2*$I$3</f>
        <v>31.264201523943896</v>
      </c>
      <c r="E2">
        <v>32</v>
      </c>
      <c r="F2">
        <f t="shared" ref="F2:F7" si="1">ABS(D2-E2)</f>
        <v>0.73579847605610382</v>
      </c>
      <c r="H2" t="s">
        <v>7</v>
      </c>
      <c r="I2">
        <v>0.46093316175099508</v>
      </c>
    </row>
    <row r="3" spans="1:9" x14ac:dyDescent="0.3">
      <c r="A3" t="s">
        <v>109</v>
      </c>
      <c r="B3">
        <v>68.030358267764541</v>
      </c>
      <c r="C3">
        <v>46.452513148950231</v>
      </c>
      <c r="D3">
        <f t="shared" si="0"/>
        <v>47.799927560618784</v>
      </c>
      <c r="E3">
        <v>53</v>
      </c>
      <c r="F3">
        <f t="shared" si="1"/>
        <v>5.2000724393812163</v>
      </c>
      <c r="H3" t="s">
        <v>9</v>
      </c>
      <c r="I3">
        <v>0.35396318335850274</v>
      </c>
    </row>
    <row r="4" spans="1:9" x14ac:dyDescent="0.3">
      <c r="A4" t="s">
        <v>110</v>
      </c>
      <c r="B4">
        <v>74.964423634219415</v>
      </c>
      <c r="C4">
        <v>64.618821596821249</v>
      </c>
      <c r="D4">
        <f t="shared" si="0"/>
        <v>57.426272601847792</v>
      </c>
      <c r="E4">
        <v>42</v>
      </c>
      <c r="F4">
        <f t="shared" si="1"/>
        <v>15.426272601847792</v>
      </c>
    </row>
    <row r="5" spans="1:9" x14ac:dyDescent="0.3">
      <c r="A5" t="s">
        <v>111</v>
      </c>
      <c r="B5">
        <v>34.619808761273248</v>
      </c>
      <c r="C5">
        <v>29.676001479508763</v>
      </c>
      <c r="D5">
        <f t="shared" si="0"/>
        <v>26.461629864587039</v>
      </c>
      <c r="E5">
        <v>29</v>
      </c>
      <c r="F5">
        <f t="shared" si="1"/>
        <v>2.5383701354129613</v>
      </c>
      <c r="H5" t="s">
        <v>12</v>
      </c>
      <c r="I5" cm="1">
        <f t="array" ref="I5">(SUM(TableTOT[PP]-TableTOT[AP]))^2</f>
        <v>4.543838814073028E-28</v>
      </c>
    </row>
    <row r="6" spans="1:9" x14ac:dyDescent="0.3">
      <c r="A6" t="s">
        <v>112</v>
      </c>
      <c r="B6">
        <v>27.857126084560225</v>
      </c>
      <c r="C6">
        <v>29.202012755731893</v>
      </c>
      <c r="D6">
        <f t="shared" si="0"/>
        <v>23.176710598946926</v>
      </c>
      <c r="E6">
        <v>32</v>
      </c>
      <c r="F6">
        <f t="shared" si="1"/>
        <v>8.8232894010530742</v>
      </c>
    </row>
    <row r="7" spans="1:9" x14ac:dyDescent="0.3">
      <c r="A7" t="s">
        <v>113</v>
      </c>
      <c r="B7">
        <v>83.724137931034477</v>
      </c>
      <c r="C7">
        <v>45.99355809877715</v>
      </c>
      <c r="D7">
        <f t="shared" si="0"/>
        <v>54.871257850055542</v>
      </c>
      <c r="E7">
        <v>53</v>
      </c>
      <c r="F7">
        <f t="shared" si="1"/>
        <v>1.8712578500555423</v>
      </c>
      <c r="H7" t="s">
        <v>15</v>
      </c>
      <c r="I7">
        <f>AVERAGE(TableTOT[DIFF])/10</f>
        <v>0.57658434839677819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114</v>
      </c>
      <c r="B2">
        <v>23.247085087246276</v>
      </c>
      <c r="C2">
        <v>38.587411061400807</v>
      </c>
      <c r="D2">
        <f t="shared" ref="D2:D9" si="0">B2*$I$2+C2*$I$3</f>
        <v>27.667784320256199</v>
      </c>
      <c r="E2">
        <v>36</v>
      </c>
      <c r="F2">
        <f t="shared" ref="F2:F9" si="1">ABS(D2-E2)</f>
        <v>8.3322156797438005</v>
      </c>
      <c r="H2" t="s">
        <v>7</v>
      </c>
      <c r="I2">
        <v>0.48609782104841148</v>
      </c>
    </row>
    <row r="3" spans="1:9" x14ac:dyDescent="0.3">
      <c r="A3" t="s">
        <v>115</v>
      </c>
      <c r="B3">
        <v>34.586665566598569</v>
      </c>
      <c r="C3">
        <v>26.689476618070941</v>
      </c>
      <c r="D3">
        <f t="shared" si="0"/>
        <v>28.133243028658768</v>
      </c>
      <c r="E3">
        <v>41</v>
      </c>
      <c r="F3">
        <f t="shared" si="1"/>
        <v>12.866756971341232</v>
      </c>
      <c r="H3" t="s">
        <v>9</v>
      </c>
      <c r="I3">
        <v>0.42416494041475589</v>
      </c>
    </row>
    <row r="4" spans="1:9" x14ac:dyDescent="0.3">
      <c r="A4" t="s">
        <v>116</v>
      </c>
      <c r="B4">
        <v>53.999999953433878</v>
      </c>
      <c r="C4">
        <v>35.850570275789742</v>
      </c>
      <c r="D4">
        <f t="shared" si="0"/>
        <v>41.455837318843905</v>
      </c>
      <c r="E4">
        <v>36</v>
      </c>
      <c r="F4">
        <f t="shared" si="1"/>
        <v>5.4558373188439049</v>
      </c>
    </row>
    <row r="5" spans="1:9" x14ac:dyDescent="0.3">
      <c r="A5" t="s">
        <v>117</v>
      </c>
      <c r="B5">
        <v>38.532996737467428</v>
      </c>
      <c r="C5">
        <v>35.253875128417249</v>
      </c>
      <c r="D5">
        <f t="shared" si="0"/>
        <v>33.684263595782809</v>
      </c>
      <c r="E5">
        <v>28</v>
      </c>
      <c r="F5">
        <f t="shared" si="1"/>
        <v>5.6842635957828094</v>
      </c>
      <c r="H5" t="s">
        <v>12</v>
      </c>
      <c r="I5" cm="1">
        <f t="array" ref="I5">(SUM(TableWHU[PP]-TableWHU[AP]))^2</f>
        <v>1.2621774483536189E-29</v>
      </c>
    </row>
    <row r="6" spans="1:9" x14ac:dyDescent="0.3">
      <c r="A6" t="s">
        <v>118</v>
      </c>
      <c r="B6">
        <v>46.588284544133963</v>
      </c>
      <c r="C6">
        <v>45.124982531478814</v>
      </c>
      <c r="D6">
        <f t="shared" si="0"/>
        <v>41.786899129968518</v>
      </c>
      <c r="E6">
        <v>49</v>
      </c>
      <c r="F6">
        <f t="shared" si="1"/>
        <v>7.2131008700314823</v>
      </c>
    </row>
    <row r="7" spans="1:9" x14ac:dyDescent="0.3">
      <c r="A7" t="s">
        <v>119</v>
      </c>
      <c r="B7">
        <v>34.4732272529791</v>
      </c>
      <c r="C7">
        <v>44.083845392250005</v>
      </c>
      <c r="D7">
        <f t="shared" si="0"/>
        <v>35.45618230623689</v>
      </c>
      <c r="E7">
        <v>37</v>
      </c>
      <c r="F7">
        <f t="shared" si="1"/>
        <v>1.5438176937631098</v>
      </c>
      <c r="H7" t="s">
        <v>15</v>
      </c>
      <c r="I7">
        <f>AVERAGE(TableWHU[DIFF])/10</f>
        <v>0.90957171484637489</v>
      </c>
    </row>
    <row r="8" spans="1:9" x14ac:dyDescent="0.3">
      <c r="A8" t="s">
        <v>120</v>
      </c>
      <c r="B8">
        <v>66.018287374952649</v>
      </c>
      <c r="C8">
        <v>38.078163700005007</v>
      </c>
      <c r="D8">
        <f t="shared" si="0"/>
        <v>48.24276767922828</v>
      </c>
      <c r="E8">
        <v>23</v>
      </c>
      <c r="F8">
        <f t="shared" si="1"/>
        <v>25.24276767922828</v>
      </c>
    </row>
    <row r="9" spans="1:9" x14ac:dyDescent="0.3">
      <c r="A9" t="s">
        <v>121</v>
      </c>
      <c r="B9">
        <v>57.602143490869494</v>
      </c>
      <c r="C9">
        <v>46.144186653560887</v>
      </c>
      <c r="D9">
        <f t="shared" si="0"/>
        <v>47.573022621024627</v>
      </c>
      <c r="E9">
        <v>54</v>
      </c>
      <c r="F9">
        <f t="shared" si="1"/>
        <v>6.4269773789753728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122</v>
      </c>
      <c r="B2">
        <v>28.523809485648016</v>
      </c>
      <c r="C2">
        <v>33.666223648790258</v>
      </c>
      <c r="D2">
        <f>B2*$I$2+C2*$I$3</f>
        <v>31.516082007578085</v>
      </c>
      <c r="E2">
        <v>28</v>
      </c>
      <c r="F2">
        <f>ABS(D2-E2)</f>
        <v>3.5160820075780848</v>
      </c>
      <c r="H2" t="s">
        <v>7</v>
      </c>
      <c r="I2">
        <v>0.50297051718912511</v>
      </c>
    </row>
    <row r="3" spans="1:9" x14ac:dyDescent="0.3">
      <c r="A3" t="s">
        <v>123</v>
      </c>
      <c r="B3">
        <v>32.976882472133781</v>
      </c>
      <c r="C3">
        <v>31.480734446754472</v>
      </c>
      <c r="D3">
        <f>B3*$I$2+C3*$I$3</f>
        <v>32.641268182329057</v>
      </c>
      <c r="E3">
        <v>27</v>
      </c>
      <c r="F3">
        <f>ABS(D3-E3)</f>
        <v>5.6412681823290569</v>
      </c>
      <c r="H3" t="s">
        <v>9</v>
      </c>
      <c r="I3">
        <v>0.50999027920360729</v>
      </c>
    </row>
    <row r="4" spans="1:9" x14ac:dyDescent="0.3">
      <c r="A4" t="s">
        <v>27</v>
      </c>
      <c r="B4">
        <v>28.232677171124379</v>
      </c>
      <c r="C4">
        <v>25.299045909266798</v>
      </c>
      <c r="D4">
        <f>B4*$I$2+C4*$I$3</f>
        <v>27.102471725245888</v>
      </c>
      <c r="E4">
        <v>38</v>
      </c>
      <c r="F4">
        <f>ABS(D4-E4)</f>
        <v>10.897528274754112</v>
      </c>
    </row>
    <row r="5" spans="1:9" x14ac:dyDescent="0.3">
      <c r="A5" t="s">
        <v>124</v>
      </c>
      <c r="B5">
        <v>40.64874933313294</v>
      </c>
      <c r="C5">
        <v>41.755806881111567</v>
      </c>
      <c r="D5">
        <f>B5*$I$2+C5*$I$3</f>
        <v>41.740178084846974</v>
      </c>
      <c r="E5">
        <v>40</v>
      </c>
      <c r="F5">
        <f>ABS(D5-E5)</f>
        <v>1.7401780848469741</v>
      </c>
      <c r="H5" t="s">
        <v>12</v>
      </c>
      <c r="I5" cm="1">
        <f t="array" ref="I5">(SUM(TableWOL[PP]-TableWOL[AP]))^2</f>
        <v>1.2621774483536189E-29</v>
      </c>
    </row>
    <row r="7" spans="1:9" x14ac:dyDescent="0.3">
      <c r="H7" t="s">
        <v>15</v>
      </c>
      <c r="I7">
        <f>AVERAGE(TableWOL[DIFF])/10</f>
        <v>0.54487641373770568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2023-10-06T13:25:16Z</dcterms:created>
  <dcterms:modified xsi:type="dcterms:W3CDTF">2023-10-06T13:35:18Z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c34d5b3b-4f18-40e5-8a06-becf9acfc0ca</vt:lpwstr>
  </property>
</Properties>
</file>