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<sst xmlns="http://schemas.openxmlformats.org/spreadsheetml/2006/main" count="881" uniqueCount="395">
  <si>
    <t>Total Points</t>
  </si>
  <si>
    <t>MAX</t>
  </si>
  <si>
    <t>Total Cost</t>
  </si>
  <si>
    <t>GKP</t>
  </si>
  <si>
    <t>DEF</t>
  </si>
  <si>
    <t>MID</t>
  </si>
  <si>
    <t>FWD</t>
  </si>
  <si>
    <t>TOTAL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</si>
  <si>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</si>
  <si>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</si>
  <si>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</si>
  <si>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</si>
  <si>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</si>
  <si>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</si>
  <si>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</si>
  <si>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</si>
  <si>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</si>
  <si>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</si>
  <si>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</si>
  <si>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</si>
  <si>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</si>
  <si>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</si>
  <si>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</si>
  <si>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</si>
  <si>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</si>
  <si>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</si>
  <si>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</si>
  <si>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</si>
  <si>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</si>
  <si>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</si>
  <si>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</si>
  <si>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</si>
  <si>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</si>
  <si>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</si>
  <si>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</si>
  <si>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</si>
  <si>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</si>
  <si>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</si>
  <si>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</si>
  <si>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</si>
  <si>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FOREST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</si>
  <si>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</si>
  <si>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</si>
  <si>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</si>
  <si>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</si>
  <si>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</si>
  <si>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</si>
  <si>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</si>
  <si>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</si>
  <si>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</si>
  <si>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Jurriën</t>
  </si>
  <si>
    <t>Timber</t>
  </si>
  <si>
    <t>J.Timber</t>
  </si>
  <si>
    <t>Martinelli Silva</t>
  </si>
  <si>
    <t>Martinelli</t>
  </si>
  <si>
    <t>David</t>
  </si>
  <si>
    <t>Raya Martin</t>
  </si>
  <si>
    <t>Raya</t>
  </si>
  <si>
    <t>Declan</t>
  </si>
  <si>
    <t>Rice</t>
  </si>
  <si>
    <t>Bukayo</t>
  </si>
  <si>
    <t>Saka</t>
  </si>
  <si>
    <t>William</t>
  </si>
  <si>
    <t>Saliba</t>
  </si>
  <si>
    <t>Thomas</t>
  </si>
  <si>
    <t>Partey</t>
  </si>
  <si>
    <t>Leandro</t>
  </si>
  <si>
    <t>Trossard</t>
  </si>
  <si>
    <t>Jhon</t>
  </si>
  <si>
    <t>Durán</t>
  </si>
  <si>
    <t>Duran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</si>
  <si>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</si>
  <si>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</si>
  <si>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</si>
  <si>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</si>
  <si>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</si>
  <si>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</si>
  <si>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</si>
  <si>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</si>
  <si>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Morgan</t>
  </si>
  <si>
    <t>Rogers</t>
  </si>
  <si>
    <t>Ollie</t>
  </si>
  <si>
    <t>Watkins</t>
  </si>
  <si>
    <t>Ryan</t>
  </si>
  <si>
    <t>Christie</t>
  </si>
  <si>
    <t>Enes</t>
  </si>
  <si>
    <t>Ünal</t>
  </si>
  <si>
    <t>Enes Ünal</t>
  </si>
  <si>
    <t>Milos</t>
  </si>
  <si>
    <t>Kerkez</t>
  </si>
  <si>
    <t>Justin</t>
  </si>
  <si>
    <t>Kluivert</t>
  </si>
  <si>
    <t>Dango</t>
  </si>
  <si>
    <t>Ouattara</t>
  </si>
  <si>
    <t>O.Dango</t>
  </si>
  <si>
    <t>Antoine</t>
  </si>
  <si>
    <t>Semenyo</t>
  </si>
  <si>
    <t>Adam</t>
  </si>
  <si>
    <t>Smith</t>
  </si>
  <si>
    <t>Marcus</t>
  </si>
  <si>
    <t>Tavernier</t>
  </si>
  <si>
    <t>Illia</t>
  </si>
  <si>
    <t>Zabarnyi</t>
  </si>
  <si>
    <t>Kepa</t>
  </si>
  <si>
    <t>Arrizabalaga</t>
  </si>
  <si>
    <t>Nathan</t>
  </si>
  <si>
    <t>Collins</t>
  </si>
  <si>
    <t>Mikkel</t>
  </si>
  <si>
    <t>Damsgaard</t>
  </si>
  <si>
    <t>Mark</t>
  </si>
  <si>
    <t>Flekken</t>
  </si>
  <si>
    <t>Keane</t>
  </si>
  <si>
    <t>Lewis-Potter</t>
  </si>
  <si>
    <t>Bryan</t>
  </si>
  <si>
    <t>Mbeumo</t>
  </si>
  <si>
    <t>Christian</t>
  </si>
  <si>
    <t>Nørgaard</t>
  </si>
  <si>
    <t>Ethan</t>
  </si>
  <si>
    <t>Pinnock</t>
  </si>
  <si>
    <t>Kevin</t>
  </si>
  <si>
    <t>Schade</t>
  </si>
  <si>
    <t>Yoane</t>
  </si>
  <si>
    <t>Wissa</t>
  </si>
  <si>
    <t>Carlos</t>
  </si>
  <si>
    <t>Baleba</t>
  </si>
  <si>
    <t>Lewis</t>
  </si>
  <si>
    <t>Dunk</t>
  </si>
  <si>
    <t>Yankuba</t>
  </si>
  <si>
    <t>Minteh</t>
  </si>
  <si>
    <t>Mitoma</t>
  </si>
  <si>
    <t>Kaoru</t>
  </si>
  <si>
    <t>Jan Paul</t>
  </si>
  <si>
    <t>van Hecke</t>
  </si>
  <si>
    <t>Van Hecke</t>
  </si>
  <si>
    <t>Joël</t>
  </si>
  <si>
    <t>Veltman</t>
  </si>
  <si>
    <t>Bart</t>
  </si>
  <si>
    <t>Verbruggen</t>
  </si>
  <si>
    <t>Danny</t>
  </si>
  <si>
    <t>Welbeck</t>
  </si>
  <si>
    <t>Mats</t>
  </si>
  <si>
    <t>Wieffer</t>
  </si>
  <si>
    <t>Moisés</t>
  </si>
  <si>
    <t>Caicedo Corozo</t>
  </si>
  <si>
    <t>Caicedo</t>
  </si>
  <si>
    <t>Levi</t>
  </si>
  <si>
    <t>Colwill</t>
  </si>
  <si>
    <t>Marc</t>
  </si>
  <si>
    <t>Cucurella Saseta</t>
  </si>
  <si>
    <t>Cucurella</t>
  </si>
  <si>
    <t>Enzo</t>
  </si>
  <si>
    <t>Fernández</t>
  </si>
  <si>
    <t>Noni</t>
  </si>
  <si>
    <t>Madueke</t>
  </si>
  <si>
    <t>Nicolas</t>
  </si>
  <si>
    <t>Jackson</t>
  </si>
  <si>
    <t>N.Jackson</t>
  </si>
  <si>
    <t>Christopher</t>
  </si>
  <si>
    <t>Nkunku</t>
  </si>
  <si>
    <t>Cole</t>
  </si>
  <si>
    <t>Palmer</t>
  </si>
  <si>
    <t>Robert</t>
  </si>
  <si>
    <t>Sánchez</t>
  </si>
  <si>
    <t>Pedro</t>
  </si>
  <si>
    <t>Lomba Neto</t>
  </si>
  <si>
    <t>Neto</t>
  </si>
  <si>
    <t>Eberechi</t>
  </si>
  <si>
    <t>Eze</t>
  </si>
  <si>
    <t>Guéhi</t>
  </si>
  <si>
    <t>Dean</t>
  </si>
  <si>
    <t>Henderson</t>
  </si>
  <si>
    <t>Will</t>
  </si>
  <si>
    <t>Hughes</t>
  </si>
  <si>
    <t>Jean-Philippe</t>
  </si>
  <si>
    <t>Mateta</t>
  </si>
  <si>
    <t>Tyrick</t>
  </si>
  <si>
    <t>Mitchell</t>
  </si>
  <si>
    <t>Daniel</t>
  </si>
  <si>
    <t>Muñoz</t>
  </si>
  <si>
    <t>Ismaïla</t>
  </si>
  <si>
    <t>Sarr</t>
  </si>
  <si>
    <t>I.Sarr</t>
  </si>
  <si>
    <t>Maxence</t>
  </si>
  <si>
    <t>Lacroix</t>
  </si>
  <si>
    <t>Abdoulaye</t>
  </si>
  <si>
    <t>Doucouré</t>
  </si>
  <si>
    <t>A.Doucoure</t>
  </si>
  <si>
    <t>Dominic</t>
  </si>
  <si>
    <t>Calvert-Lewin</t>
  </si>
  <si>
    <t>Idrissa</t>
  </si>
  <si>
    <t>Gueye</t>
  </si>
  <si>
    <t>Gana</t>
  </si>
  <si>
    <t>Jack</t>
  </si>
  <si>
    <t>Harrison</t>
  </si>
  <si>
    <t>Dwight</t>
  </si>
  <si>
    <t>McNeil</t>
  </si>
  <si>
    <t>Vitalii</t>
  </si>
  <si>
    <t>Mykolenko</t>
  </si>
  <si>
    <t>Iliman</t>
  </si>
  <si>
    <t>Ndiaye</t>
  </si>
  <si>
    <t>Jordan</t>
  </si>
  <si>
    <t>Pickford</t>
  </si>
  <si>
    <t>James</t>
  </si>
  <si>
    <t>Tarkowski</t>
  </si>
  <si>
    <t>Ashley</t>
  </si>
  <si>
    <t>Young</t>
  </si>
  <si>
    <t>Orel</t>
  </si>
  <si>
    <t>Mangala</t>
  </si>
  <si>
    <t>Andreas</t>
  </si>
  <si>
    <t>Hoelgebaum Pereira</t>
  </si>
  <si>
    <t>Calvin</t>
  </si>
  <si>
    <t>Bassey</t>
  </si>
  <si>
    <t>Alex</t>
  </si>
  <si>
    <t>Iwobi</t>
  </si>
  <si>
    <t>Bernd</t>
  </si>
  <si>
    <t>Leno</t>
  </si>
  <si>
    <t>Rodrigo</t>
  </si>
  <si>
    <t>Muniz Carvalho</t>
  </si>
  <si>
    <t>Muniz</t>
  </si>
  <si>
    <t>Raúl</t>
  </si>
  <si>
    <t>Jiménez</t>
  </si>
  <si>
    <t>Antonee</t>
  </si>
  <si>
    <t>Robinson</t>
  </si>
  <si>
    <t>Kenny</t>
  </si>
  <si>
    <t>Tete</t>
  </si>
  <si>
    <t>Harry</t>
  </si>
  <si>
    <t>Wilson</t>
  </si>
  <si>
    <t>Conor</t>
  </si>
  <si>
    <t>Chaplin</t>
  </si>
  <si>
    <t>Arijanet</t>
  </si>
  <si>
    <t>Muric</t>
  </si>
  <si>
    <t>Sam</t>
  </si>
  <si>
    <t>Szmodics</t>
  </si>
  <si>
    <t>Facundo</t>
  </si>
  <si>
    <t>Buonanotte</t>
  </si>
  <si>
    <t>Ayew</t>
  </si>
  <si>
    <t>J.Ayew</t>
  </si>
  <si>
    <t>Bobby</t>
  </si>
  <si>
    <t>De Cordova-Reid</t>
  </si>
  <si>
    <t>Mads</t>
  </si>
  <si>
    <t>Hermansen</t>
  </si>
  <si>
    <t>Stephy</t>
  </si>
  <si>
    <t>Mavididi</t>
  </si>
  <si>
    <t>Jamie</t>
  </si>
  <si>
    <t>Vardy</t>
  </si>
  <si>
    <t>Bilal</t>
  </si>
  <si>
    <t>El Khannouss</t>
  </si>
  <si>
    <t>Trent</t>
  </si>
  <si>
    <t>Alexander-Arnold</t>
  </si>
  <si>
    <t>Cody</t>
  </si>
  <si>
    <t>Gakpo</t>
  </si>
  <si>
    <t>Curtis</t>
  </si>
  <si>
    <t>Jones</t>
  </si>
  <si>
    <t>Luis</t>
  </si>
  <si>
    <t>Díaz</t>
  </si>
  <si>
    <t>Luis Díaz</t>
  </si>
  <si>
    <t>Mohamed</t>
  </si>
  <si>
    <t>Salah</t>
  </si>
  <si>
    <t>M.Salah</t>
  </si>
  <si>
    <t>Alexis</t>
  </si>
  <si>
    <t>Mac Allister</t>
  </si>
  <si>
    <t>Dominik</t>
  </si>
  <si>
    <t>Szoboszlai</t>
  </si>
  <si>
    <t>Virgil</t>
  </si>
  <si>
    <t>van Dijk</t>
  </si>
  <si>
    <t>Bernardo</t>
  </si>
  <si>
    <t>Veiga de Carvalho e Silva</t>
  </si>
  <si>
    <t>Jérémy</t>
  </si>
  <si>
    <t>Doku</t>
  </si>
  <si>
    <t>Ederson</t>
  </si>
  <si>
    <t>Santana de Moraes</t>
  </si>
  <si>
    <t>Ederson M.</t>
  </si>
  <si>
    <t>Phil</t>
  </si>
  <si>
    <t>Foden</t>
  </si>
  <si>
    <t>Joško</t>
  </si>
  <si>
    <t>Gvardiol</t>
  </si>
  <si>
    <t>Erling</t>
  </si>
  <si>
    <t>Haaland</t>
  </si>
  <si>
    <t>Mateo</t>
  </si>
  <si>
    <t>Kovačić</t>
  </si>
  <si>
    <t>Rúben</t>
  </si>
  <si>
    <t>Gato Alves Dias</t>
  </si>
  <si>
    <t>Amad</t>
  </si>
  <si>
    <t>Diallo</t>
  </si>
  <si>
    <t>Bruno</t>
  </si>
  <si>
    <t>Borges Fernandes</t>
  </si>
  <si>
    <t>B.Fernandes</t>
  </si>
  <si>
    <t>Rasmus</t>
  </si>
  <si>
    <t>Højlund</t>
  </si>
  <si>
    <t>Lisandro</t>
  </si>
  <si>
    <t>Martínez</t>
  </si>
  <si>
    <t>Rashford</t>
  </si>
  <si>
    <t>Harvey</t>
  </si>
  <si>
    <t>Barnes</t>
  </si>
  <si>
    <t>Guimarães Rodriguez Moura</t>
  </si>
  <si>
    <t>Bruno G.</t>
  </si>
  <si>
    <t>Dan</t>
  </si>
  <si>
    <t>Burn</t>
  </si>
  <si>
    <t>Anthony</t>
  </si>
  <si>
    <t>Gordon</t>
  </si>
  <si>
    <t>Hall</t>
  </si>
  <si>
    <t>Alexander</t>
  </si>
  <si>
    <t>Isak</t>
  </si>
  <si>
    <t>Jacob</t>
  </si>
  <si>
    <t>Murphy</t>
  </si>
  <si>
    <t>J.Murphy</t>
  </si>
  <si>
    <t>Joelinton Cássio</t>
  </si>
  <si>
    <t>Apolinário de Lira</t>
  </si>
  <si>
    <t>Joelinton</t>
  </si>
  <si>
    <t>Tino</t>
  </si>
  <si>
    <t>Livramento</t>
  </si>
  <si>
    <t>Fabian</t>
  </si>
  <si>
    <t>Schär</t>
  </si>
  <si>
    <t>Ola</t>
  </si>
  <si>
    <t>Aina</t>
  </si>
  <si>
    <t>Elliot</t>
  </si>
  <si>
    <t>Anderson</t>
  </si>
  <si>
    <t>Elanga</t>
  </si>
  <si>
    <t>Gibbs-White</t>
  </si>
  <si>
    <t>Callum</t>
  </si>
  <si>
    <t>Hudson-Odoi</t>
  </si>
  <si>
    <t>Murillo</t>
  </si>
  <si>
    <t>Santiago Costa dos Santos</t>
  </si>
  <si>
    <t>Neco</t>
  </si>
  <si>
    <t>Williams</t>
  </si>
  <si>
    <t>N.Williams</t>
  </si>
  <si>
    <t>Matz</t>
  </si>
  <si>
    <t>Sels</t>
  </si>
  <si>
    <t>Chris</t>
  </si>
  <si>
    <t>Wood</t>
  </si>
  <si>
    <t>Nikola</t>
  </si>
  <si>
    <t>Milenković</t>
  </si>
  <si>
    <t>Joe</t>
  </si>
  <si>
    <t>Aribo</t>
  </si>
  <si>
    <t>Taylor</t>
  </si>
  <si>
    <t>Harwood-Bellis</t>
  </si>
  <si>
    <t>Sugawara</t>
  </si>
  <si>
    <t>Yukinari</t>
  </si>
  <si>
    <t>Kyle</t>
  </si>
  <si>
    <t>Walker-Peters</t>
  </si>
  <si>
    <t>Flynn</t>
  </si>
  <si>
    <t>Downes</t>
  </si>
  <si>
    <t>Mateus Gonçalo</t>
  </si>
  <si>
    <t>Espanha Fernandes</t>
  </si>
  <si>
    <t>M.Fernandes</t>
  </si>
  <si>
    <t>Solanke-Mitchell</t>
  </si>
  <si>
    <t>Solanke</t>
  </si>
  <si>
    <t>Brennan</t>
  </si>
  <si>
    <t>Johnson</t>
  </si>
  <si>
    <t>Dejan</t>
  </si>
  <si>
    <t>Kulusevski</t>
  </si>
  <si>
    <t>Maddison</t>
  </si>
  <si>
    <t>Porro</t>
  </si>
  <si>
    <t>Pedro Porro</t>
  </si>
  <si>
    <t>Pape Matar</t>
  </si>
  <si>
    <t>P.M.Sarr</t>
  </si>
  <si>
    <t>Son</t>
  </si>
  <si>
    <t>Heung-min</t>
  </si>
  <si>
    <t>Aaron</t>
  </si>
  <si>
    <t>Wan-Bissaka</t>
  </si>
  <si>
    <t>Jarrod</t>
  </si>
  <si>
    <t>Bowen</t>
  </si>
  <si>
    <t>Emerson</t>
  </si>
  <si>
    <t>Palmieri dos Santos</t>
  </si>
  <si>
    <t>Mohammed</t>
  </si>
  <si>
    <t>Kudus</t>
  </si>
  <si>
    <t>Lucas</t>
  </si>
  <si>
    <t>Tolentino Coelho de Lima</t>
  </si>
  <si>
    <t>L.Paquetá</t>
  </si>
  <si>
    <t>Konstantinos</t>
  </si>
  <si>
    <t>Mavropanos</t>
  </si>
  <si>
    <t>Tomáš</t>
  </si>
  <si>
    <t>Souček</t>
  </si>
  <si>
    <t>Jean-Ricner</t>
  </si>
  <si>
    <t>Bellegarde</t>
  </si>
  <si>
    <t>Matheus</t>
  </si>
  <si>
    <t>Santos Carneiro Da Cunha</t>
  </si>
  <si>
    <t>Cunha</t>
  </si>
  <si>
    <t>Gonçalo Manuel</t>
  </si>
  <si>
    <t>Ganchinho Guedes</t>
  </si>
  <si>
    <t>Guedes</t>
  </si>
  <si>
    <t>João Victor</t>
  </si>
  <si>
    <t>Gomes da Silva</t>
  </si>
  <si>
    <t>J.Gomes</t>
  </si>
  <si>
    <t>Mario</t>
  </si>
  <si>
    <t>Lemina</t>
  </si>
  <si>
    <t>Mario Jr.</t>
  </si>
  <si>
    <t>Nélson</t>
  </si>
  <si>
    <t>Cabral Semedo</t>
  </si>
  <si>
    <t>N.Semedo</t>
  </si>
  <si>
    <t>Jørgen</t>
  </si>
  <si>
    <t>Strand Larsen</t>
  </si>
  <si>
    <t>Toti António</t>
  </si>
  <si>
    <t>Gomes</t>
  </si>
  <si>
    <t>Toti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</si>
</sst>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M163" totalsRowShown="0">
  <autoFilter ref="A1:AM163"/>
  <tableColumns count="39">
    <tableColumn id="1" name="First Name"/>
    <tableColumn id="2" name="Surname"/>
    <tableColumn id="3" name="Web Name"/>
    <tableColumn id="4" name="Position"/>
    <tableColumn id="5" name="GKP"/>
    <tableColumn id="6" name="DEF"/>
    <tableColumn id="7" name="MID"/>
    <tableColumn id="8" name="FWD"/>
    <tableColumn id="9" name="Team"/>
    <tableColumn id="10" name="ARS"/>
    <tableColumn id="11" name="AVL"/>
    <tableColumn id="12" name="BOU"/>
    <tableColumn id="13" name="BRE"/>
    <tableColumn id="14" name="BHA"/>
    <tableColumn id="15" name="CHE"/>
    <tableColumn id="16" name="CRY"/>
    <tableColumn id="17" name="EVE"/>
    <tableColumn id="18" name="FUL"/>
    <tableColumn id="19" name="IPS"/>
    <tableColumn id="20" name="LEI"/>
    <tableColumn id="21" name="LIV"/>
    <tableColumn id="22" name="MCI"/>
    <tableColumn id="23" name="MUN"/>
    <tableColumn id="24" name="NEW"/>
    <tableColumn id="25" name="NFO"/>
    <tableColumn id="26" name="SOU"/>
    <tableColumn id="27" name="TOT"/>
    <tableColumn id="28" name="WHU"/>
    <tableColumn id="29" name="WOL"/>
    <tableColumn id="30" name="Cost"/>
    <tableColumn id="31" name="ID"/>
    <tableColumn id="32" name="ARIMA"/>
    <tableColumn id="33" name="LSTM"/>
    <tableColumn id="34" name="FOREST"/>
    <tableColumn id="35" name="PP"/>
    <tableColumn id="36" name="NEXT"/>
    <tableColumn id="37" name="Health"/>
    <tableColumn id="38" name="PREV"/>
    <tableColumn id="39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63"/>
  <sheetViews>
    <sheetView tabSelected="1" workbookViewId="0"/>
  </sheetViews>
  <sheetFormatPr defaultRowHeight="15"/>
  <cols>
    <col min="5" max="8" width="0" hidden="1" customWidth="1"/>
    <col min="10" max="29" width="0" hidden="1" customWidth="1"/>
    <col min="31" max="34" width="0" hidden="1" customWidth="1"/>
  </cols>
  <sheetData>
    <row r="1" spans="1:44">
      <c r="A1" t="s">
        <v>32</v>
      </c>
      <c r="B1" t="s">
        <v>33</v>
      </c>
      <c r="C1" t="s">
        <v>34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10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</row>
    <row r="2" spans="1:44">
      <c r="A2" t="s">
        <v>46</v>
      </c>
      <c r="B2" t="s">
        <v>47</v>
      </c>
      <c r="C2" t="s">
        <v>46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12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6.3</v>
      </c>
      <c r="AE2">
        <v>2</v>
      </c>
      <c r="AF2">
        <v>21.61041768261883</v>
      </c>
      <c r="AG2">
        <v>18.07276243684339</v>
      </c>
      <c r="AH2">
        <v>23.73761158606838</v>
      </c>
      <c r="AI2">
        <f>21.434676487809632*1</f>
        <v>0</v>
      </c>
      <c r="AJ2">
        <f>4.682808229545883*1</f>
        <v>0</v>
      </c>
      <c r="AK2">
        <v>1</v>
      </c>
      <c r="AL2">
        <v>0</v>
      </c>
      <c r="AM2">
        <v>0</v>
      </c>
      <c r="AO2" t="s">
        <v>0</v>
      </c>
      <c r="AP2">
        <f>SUMPRODUCT(Table1[Selected], Table1[PP])</f>
        <v>0</v>
      </c>
      <c r="AQ2" t="s">
        <v>1</v>
      </c>
    </row>
    <row r="3" spans="1:44">
      <c r="A3" t="s">
        <v>48</v>
      </c>
      <c r="B3" t="s">
        <v>49</v>
      </c>
      <c r="C3" t="s">
        <v>49</v>
      </c>
      <c r="D3" t="s">
        <v>6</v>
      </c>
      <c r="E3">
        <v>0</v>
      </c>
      <c r="F3">
        <v>0</v>
      </c>
      <c r="G3">
        <v>0</v>
      </c>
      <c r="H3">
        <v>1</v>
      </c>
      <c r="I3" t="s">
        <v>12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7.9</v>
      </c>
      <c r="AE3">
        <v>3</v>
      </c>
      <c r="AF3">
        <v>20.85564955014193</v>
      </c>
      <c r="AG3">
        <v>17.85889140994069</v>
      </c>
      <c r="AH3">
        <v>17.35555555555555</v>
      </c>
      <c r="AI3">
        <f>8.98146849913245*1</f>
        <v>0</v>
      </c>
      <c r="AJ3">
        <f>1.904412917857157*1</f>
        <v>0</v>
      </c>
      <c r="AK3">
        <v>1</v>
      </c>
      <c r="AL3">
        <v>0</v>
      </c>
      <c r="AM3">
        <v>0</v>
      </c>
    </row>
    <row r="4" spans="1:44">
      <c r="A4" t="s">
        <v>50</v>
      </c>
      <c r="B4" t="s">
        <v>51</v>
      </c>
      <c r="C4" t="s">
        <v>52</v>
      </c>
      <c r="D4" t="s">
        <v>4</v>
      </c>
      <c r="E4">
        <v>0</v>
      </c>
      <c r="F4">
        <v>1</v>
      </c>
      <c r="G4">
        <v>0</v>
      </c>
      <c r="H4">
        <v>0</v>
      </c>
      <c r="I4" t="s">
        <v>12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5.7</v>
      </c>
      <c r="AE4">
        <v>5</v>
      </c>
      <c r="AF4">
        <v>0</v>
      </c>
      <c r="AG4">
        <v>0</v>
      </c>
      <c r="AH4">
        <v>0</v>
      </c>
      <c r="AI4">
        <f>0.0*1</f>
        <v>0</v>
      </c>
      <c r="AJ4">
        <f>0.0*1</f>
        <v>0</v>
      </c>
      <c r="AK4">
        <v>1</v>
      </c>
      <c r="AL4">
        <v>0</v>
      </c>
      <c r="AM4">
        <v>0</v>
      </c>
      <c r="AO4" t="s">
        <v>2</v>
      </c>
      <c r="AP4">
        <f>SUMPRODUCT(Table1[Selected],Table1[Cost])</f>
        <v>0</v>
      </c>
      <c r="AQ4">
        <v>99.90000000000001</v>
      </c>
    </row>
    <row r="5" spans="1:44">
      <c r="A5" t="s">
        <v>46</v>
      </c>
      <c r="B5" t="s">
        <v>53</v>
      </c>
      <c r="C5" t="s">
        <v>54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6.8</v>
      </c>
      <c r="AE5">
        <v>8</v>
      </c>
      <c r="AF5">
        <v>21.72619047619048</v>
      </c>
      <c r="AG5">
        <v>27.55791040966295</v>
      </c>
      <c r="AH5">
        <v>18.525</v>
      </c>
      <c r="AI5">
        <f>9.096179852381912*1</f>
        <v>0</v>
      </c>
      <c r="AJ5">
        <f>1.5008072037308928*1</f>
        <v>0</v>
      </c>
      <c r="AK5">
        <v>1</v>
      </c>
      <c r="AL5">
        <v>0</v>
      </c>
      <c r="AM5">
        <v>0</v>
      </c>
    </row>
    <row r="6" spans="1:44">
      <c r="A6" t="s">
        <v>55</v>
      </c>
      <c r="B6" t="s">
        <v>56</v>
      </c>
      <c r="C6" t="s">
        <v>57</v>
      </c>
      <c r="D6" t="s">
        <v>3</v>
      </c>
      <c r="E6">
        <v>1</v>
      </c>
      <c r="F6">
        <v>0</v>
      </c>
      <c r="G6">
        <v>0</v>
      </c>
      <c r="H6">
        <v>0</v>
      </c>
      <c r="I6" t="s">
        <v>12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5.6</v>
      </c>
      <c r="AE6">
        <v>11</v>
      </c>
      <c r="AF6">
        <v>20.38552047043049</v>
      </c>
      <c r="AG6">
        <v>20.54750403708154</v>
      </c>
      <c r="AH6">
        <v>32.83733703613498</v>
      </c>
      <c r="AI6">
        <f>20.859712651065557*1</f>
        <v>0</v>
      </c>
      <c r="AJ6">
        <f>4.092827722859763*1</f>
        <v>0</v>
      </c>
      <c r="AK6">
        <v>1</v>
      </c>
      <c r="AL6">
        <v>0</v>
      </c>
      <c r="AM6">
        <v>0</v>
      </c>
      <c r="AO6" t="s">
        <v>3</v>
      </c>
      <c r="AP6">
        <v>2</v>
      </c>
      <c r="AQ6">
        <f>SUMPRODUCT(Table1[Selected],Table1[GKP])</f>
        <v>0</v>
      </c>
      <c r="AR6">
        <v>2</v>
      </c>
    </row>
    <row r="7" spans="1:44">
      <c r="A7" t="s">
        <v>58</v>
      </c>
      <c r="B7" t="s">
        <v>59</v>
      </c>
      <c r="C7" t="s">
        <v>59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6.2</v>
      </c>
      <c r="AE7">
        <v>12</v>
      </c>
      <c r="AF7">
        <v>18.18068898203083</v>
      </c>
      <c r="AG7">
        <v>14.21369998253026</v>
      </c>
      <c r="AH7">
        <v>41.36</v>
      </c>
      <c r="AI7">
        <f>21.009228034607755*1</f>
        <v>0</v>
      </c>
      <c r="AJ7">
        <f>4.119265522093943*1</f>
        <v>0</v>
      </c>
      <c r="AK7">
        <v>1</v>
      </c>
      <c r="AL7">
        <v>0</v>
      </c>
      <c r="AM7">
        <v>0</v>
      </c>
      <c r="AO7" t="s">
        <v>4</v>
      </c>
      <c r="AP7">
        <v>5</v>
      </c>
      <c r="AQ7">
        <f>SUMPRODUCT(Table1[Selected],Table1[DEF])</f>
        <v>0</v>
      </c>
      <c r="AR7">
        <v>5</v>
      </c>
    </row>
    <row r="8" spans="1:44">
      <c r="A8" t="s">
        <v>60</v>
      </c>
      <c r="B8" t="s">
        <v>61</v>
      </c>
      <c r="C8" t="s">
        <v>61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10.3</v>
      </c>
      <c r="AE8">
        <v>13</v>
      </c>
      <c r="AF8">
        <v>32.34303346445799</v>
      </c>
      <c r="AG8">
        <v>27.87724685456667</v>
      </c>
      <c r="AH8">
        <v>21.44959643915391</v>
      </c>
      <c r="AI8">
        <f>17.685388883567786*0</f>
        <v>0</v>
      </c>
      <c r="AJ8">
        <f>3.457723671121606*0</f>
        <v>0</v>
      </c>
      <c r="AK8">
        <v>0</v>
      </c>
      <c r="AL8">
        <v>0</v>
      </c>
      <c r="AM8">
        <v>0</v>
      </c>
      <c r="AO8" t="s">
        <v>5</v>
      </c>
      <c r="AP8">
        <v>5</v>
      </c>
      <c r="AQ8">
        <f>SUMPRODUCT(Table1[Selected],Table1[MID])</f>
        <v>0</v>
      </c>
      <c r="AR8">
        <v>5</v>
      </c>
    </row>
    <row r="9" spans="1:44">
      <c r="A9" t="s">
        <v>62</v>
      </c>
      <c r="B9" t="s">
        <v>63</v>
      </c>
      <c r="C9" t="s">
        <v>63</v>
      </c>
      <c r="D9" t="s">
        <v>4</v>
      </c>
      <c r="E9">
        <v>0</v>
      </c>
      <c r="F9">
        <v>1</v>
      </c>
      <c r="G9">
        <v>0</v>
      </c>
      <c r="H9">
        <v>0</v>
      </c>
      <c r="I9" t="s">
        <v>12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6.3</v>
      </c>
      <c r="AE9">
        <v>14</v>
      </c>
      <c r="AF9">
        <v>21.20253164556962</v>
      </c>
      <c r="AG9">
        <v>18.9623055682199</v>
      </c>
      <c r="AH9">
        <v>22.24515029158123</v>
      </c>
      <c r="AI9">
        <f>24.76278078493185*1</f>
        <v>0</v>
      </c>
      <c r="AJ9">
        <f>5.045798229656057*1</f>
        <v>0</v>
      </c>
      <c r="AK9">
        <v>1</v>
      </c>
      <c r="AL9">
        <v>0</v>
      </c>
      <c r="AM9">
        <v>0</v>
      </c>
      <c r="AO9" t="s">
        <v>6</v>
      </c>
      <c r="AP9">
        <v>3</v>
      </c>
      <c r="AQ9">
        <f>SUMPRODUCT(Table1[Selected],Table1[FWD])</f>
        <v>0</v>
      </c>
      <c r="AR9">
        <v>3</v>
      </c>
    </row>
    <row r="10" spans="1:44">
      <c r="A10" t="s">
        <v>64</v>
      </c>
      <c r="B10" t="s">
        <v>65</v>
      </c>
      <c r="C10" t="s">
        <v>64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</v>
      </c>
      <c r="AE10">
        <v>15</v>
      </c>
      <c r="AF10">
        <v>12.14953271028037</v>
      </c>
      <c r="AG10">
        <v>10.55173689888479</v>
      </c>
      <c r="AH10">
        <v>11.01722741466767</v>
      </c>
      <c r="AI10">
        <f>12.918483442436736*1</f>
        <v>0</v>
      </c>
      <c r="AJ10">
        <f>2.5629866594711004*1</f>
        <v>0</v>
      </c>
      <c r="AK10">
        <v>1</v>
      </c>
      <c r="AL10">
        <v>0</v>
      </c>
      <c r="AM10">
        <v>0</v>
      </c>
      <c r="AO10" t="s">
        <v>7</v>
      </c>
      <c r="AP10">
        <v>15</v>
      </c>
      <c r="AQ10">
        <f>SUM(SUMPRODUCT(Table1[Selected],Table1[GKP]), SUMPRODUCT(Table1[Selected],Table1[DEF]), SUMPRODUCT(Table1[Selected],Table1[MID]), SUMPRODUCT(Table1[Selected],Table1[FWD]))</f>
        <v>0</v>
      </c>
      <c r="AR10">
        <v>15</v>
      </c>
    </row>
    <row r="11" spans="1:44">
      <c r="A11" t="s">
        <v>66</v>
      </c>
      <c r="B11" t="s">
        <v>67</v>
      </c>
      <c r="C11" t="s">
        <v>67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12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6.8</v>
      </c>
      <c r="AE11">
        <v>18</v>
      </c>
      <c r="AF11">
        <v>19.23497267759563</v>
      </c>
      <c r="AG11">
        <v>18.45734839529724</v>
      </c>
      <c r="AH11">
        <v>19.24353887085818</v>
      </c>
      <c r="AI11">
        <f>13.523985697867287*1</f>
        <v>0</v>
      </c>
      <c r="AJ11">
        <f>2.453451675563999*1</f>
        <v>0</v>
      </c>
      <c r="AK11">
        <v>1</v>
      </c>
      <c r="AL11">
        <v>0</v>
      </c>
      <c r="AM11">
        <v>0</v>
      </c>
    </row>
    <row r="12" spans="1:44">
      <c r="A12" t="s">
        <v>68</v>
      </c>
      <c r="B12" t="s">
        <v>69</v>
      </c>
      <c r="C12" t="s">
        <v>70</v>
      </c>
      <c r="D12" t="s">
        <v>6</v>
      </c>
      <c r="E12">
        <v>0</v>
      </c>
      <c r="F12">
        <v>0</v>
      </c>
      <c r="G12">
        <v>0</v>
      </c>
      <c r="H12">
        <v>1</v>
      </c>
      <c r="I12" t="s">
        <v>13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5.9</v>
      </c>
      <c r="AE12">
        <v>43</v>
      </c>
      <c r="AF12">
        <v>10.56603773584906</v>
      </c>
      <c r="AG12">
        <v>12.58753778424427</v>
      </c>
      <c r="AH12">
        <v>18.37075538731057</v>
      </c>
      <c r="AI12">
        <f>11.971865483884022*1</f>
        <v>0</v>
      </c>
      <c r="AJ12">
        <f>2.324856991220894*1</f>
        <v>0</v>
      </c>
      <c r="AK12">
        <v>1</v>
      </c>
      <c r="AL12">
        <v>0</v>
      </c>
      <c r="AM12">
        <v>0</v>
      </c>
      <c r="AO12" t="s">
        <v>8</v>
      </c>
      <c r="AP12">
        <f>SUMPRODUCT(Table1[Selected], -- (Table1[PREV] = 0))</f>
        <v>0</v>
      </c>
    </row>
    <row r="13" spans="1:44">
      <c r="A13" t="s">
        <v>71</v>
      </c>
      <c r="B13" t="s">
        <v>72</v>
      </c>
      <c r="C13" t="s">
        <v>73</v>
      </c>
      <c r="D13" t="s">
        <v>4</v>
      </c>
      <c r="E13">
        <v>0</v>
      </c>
      <c r="F13">
        <v>1</v>
      </c>
      <c r="G13">
        <v>0</v>
      </c>
      <c r="H13">
        <v>0</v>
      </c>
      <c r="I13" t="s">
        <v>13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4.4</v>
      </c>
      <c r="AE13">
        <v>49</v>
      </c>
      <c r="AF13">
        <v>13.72832369942199</v>
      </c>
      <c r="AG13">
        <v>13.66548080942325</v>
      </c>
      <c r="AH13">
        <v>7.61180047702205</v>
      </c>
      <c r="AI13">
        <f>7.304935272985676*1</f>
        <v>0</v>
      </c>
      <c r="AJ13">
        <f>1.4673632336654252*1</f>
        <v>0</v>
      </c>
      <c r="AK13">
        <v>1</v>
      </c>
      <c r="AL13">
        <v>0</v>
      </c>
      <c r="AM13">
        <v>0</v>
      </c>
      <c r="AO13" t="s">
        <v>9</v>
      </c>
      <c r="AP13">
        <v>1</v>
      </c>
    </row>
    <row r="14" spans="1:44">
      <c r="A14" t="s">
        <v>74</v>
      </c>
      <c r="B14" t="s">
        <v>75</v>
      </c>
      <c r="C14" t="s">
        <v>76</v>
      </c>
      <c r="D14" t="s">
        <v>3</v>
      </c>
      <c r="E14">
        <v>1</v>
      </c>
      <c r="F14">
        <v>0</v>
      </c>
      <c r="G14">
        <v>0</v>
      </c>
      <c r="H14">
        <v>0</v>
      </c>
      <c r="I14" t="s">
        <v>13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</v>
      </c>
      <c r="AE14">
        <v>52</v>
      </c>
      <c r="AF14">
        <v>16.55172413793104</v>
      </c>
      <c r="AG14">
        <v>16.29112530703574</v>
      </c>
      <c r="AH14">
        <v>10.04151410260773</v>
      </c>
      <c r="AI14">
        <f>5.306224982618603*1</f>
        <v>0</v>
      </c>
      <c r="AJ14">
        <f>0.9883107029457974*1</f>
        <v>0</v>
      </c>
      <c r="AK14">
        <v>1</v>
      </c>
      <c r="AL14">
        <v>0</v>
      </c>
      <c r="AM14">
        <v>0</v>
      </c>
    </row>
    <row r="15" spans="1:44">
      <c r="A15" t="s">
        <v>77</v>
      </c>
      <c r="B15" t="s">
        <v>78</v>
      </c>
      <c r="C15" t="s">
        <v>78</v>
      </c>
      <c r="D15" t="s">
        <v>5</v>
      </c>
      <c r="E15">
        <v>0</v>
      </c>
      <c r="F15">
        <v>0</v>
      </c>
      <c r="G15">
        <v>1</v>
      </c>
      <c r="H15">
        <v>0</v>
      </c>
      <c r="I15" t="s">
        <v>13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5.2</v>
      </c>
      <c r="AE15">
        <v>53</v>
      </c>
      <c r="AF15">
        <v>14.88764044943821</v>
      </c>
      <c r="AG15">
        <v>14.93780685044341</v>
      </c>
      <c r="AH15">
        <v>22.10332175448567</v>
      </c>
      <c r="AI15">
        <f>14.32638940265587*1</f>
        <v>0</v>
      </c>
      <c r="AJ15">
        <f>2.8665740945298936*1</f>
        <v>0</v>
      </c>
      <c r="AK15">
        <v>1</v>
      </c>
      <c r="AL15">
        <v>0</v>
      </c>
      <c r="AM15">
        <v>0</v>
      </c>
      <c r="AO15" t="s">
        <v>10</v>
      </c>
      <c r="AP15">
        <f>((AP12-AP13)+ABS((AP12-AP13)))/2*4</f>
        <v>0</v>
      </c>
    </row>
    <row r="16" spans="1:44">
      <c r="A16" t="s">
        <v>79</v>
      </c>
      <c r="B16" t="s">
        <v>80</v>
      </c>
      <c r="C16" t="s">
        <v>80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13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5.4</v>
      </c>
      <c r="AE16">
        <v>59</v>
      </c>
      <c r="AF16">
        <v>19.93191661232204</v>
      </c>
      <c r="AG16">
        <v>14.70752327932486</v>
      </c>
      <c r="AH16">
        <v>46.77999389499389</v>
      </c>
      <c r="AI16">
        <f>15.917778217171296*1</f>
        <v>0</v>
      </c>
      <c r="AJ16">
        <f>3.0452545564018028*1</f>
        <v>0</v>
      </c>
      <c r="AK16">
        <v>1</v>
      </c>
      <c r="AL16">
        <v>0</v>
      </c>
      <c r="AM16">
        <v>0</v>
      </c>
    </row>
    <row r="17" spans="1:43">
      <c r="A17" t="s">
        <v>81</v>
      </c>
      <c r="B17" t="s">
        <v>82</v>
      </c>
      <c r="C17" t="s">
        <v>82</v>
      </c>
      <c r="D17" t="s">
        <v>6</v>
      </c>
      <c r="E17">
        <v>0</v>
      </c>
      <c r="F17">
        <v>0</v>
      </c>
      <c r="G17">
        <v>0</v>
      </c>
      <c r="H17">
        <v>1</v>
      </c>
      <c r="I17" t="s">
        <v>13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8.800000000000001</v>
      </c>
      <c r="AE17">
        <v>63</v>
      </c>
      <c r="AF17">
        <v>23.70253164556962</v>
      </c>
      <c r="AG17">
        <v>24.54883604016566</v>
      </c>
      <c r="AH17">
        <v>12.39892610785857</v>
      </c>
      <c r="AI17">
        <f>10.062355258036709*1</f>
        <v>0</v>
      </c>
      <c r="AJ17">
        <f>1.9742853594052159*1</f>
        <v>0</v>
      </c>
      <c r="AK17">
        <v>1</v>
      </c>
      <c r="AL17">
        <v>0</v>
      </c>
      <c r="AM17">
        <v>0</v>
      </c>
      <c r="AO17" t="s">
        <v>11</v>
      </c>
      <c r="AP17">
        <f>AP3-AP15*5</f>
        <v>0</v>
      </c>
    </row>
    <row r="18" spans="1:43">
      <c r="A18" t="s">
        <v>83</v>
      </c>
      <c r="B18" t="s">
        <v>84</v>
      </c>
      <c r="C18" t="s">
        <v>84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14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4.9</v>
      </c>
      <c r="AE18">
        <v>75</v>
      </c>
      <c r="AF18">
        <v>11.08433734939759</v>
      </c>
      <c r="AG18">
        <v>9.323787442831911</v>
      </c>
      <c r="AH18">
        <v>18.69146608946609</v>
      </c>
      <c r="AI18">
        <f>9.77636739822826*1</f>
        <v>0</v>
      </c>
      <c r="AJ18">
        <f>1.9225023950098683*1</f>
        <v>0</v>
      </c>
      <c r="AK18">
        <v>1</v>
      </c>
      <c r="AL18">
        <v>0</v>
      </c>
      <c r="AM18">
        <v>0</v>
      </c>
    </row>
    <row r="19" spans="1:43">
      <c r="A19" t="s">
        <v>85</v>
      </c>
      <c r="B19" t="s">
        <v>86</v>
      </c>
      <c r="C19" t="s">
        <v>87</v>
      </c>
      <c r="D19" t="s">
        <v>6</v>
      </c>
      <c r="E19">
        <v>0</v>
      </c>
      <c r="F19">
        <v>0</v>
      </c>
      <c r="G19">
        <v>0</v>
      </c>
      <c r="H19">
        <v>1</v>
      </c>
      <c r="I19" t="s">
        <v>14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5.4</v>
      </c>
      <c r="AE19">
        <v>77</v>
      </c>
      <c r="AF19">
        <v>11.20689655172413</v>
      </c>
      <c r="AG19">
        <v>9.966855414378095</v>
      </c>
      <c r="AH19">
        <v>10.5739660925668</v>
      </c>
      <c r="AI19">
        <f>14.684100820975543*1</f>
        <v>0</v>
      </c>
      <c r="AJ19">
        <f>2.9828472544561473*1</f>
        <v>0</v>
      </c>
      <c r="AK19">
        <v>1</v>
      </c>
      <c r="AL19">
        <v>0</v>
      </c>
      <c r="AM19">
        <v>0</v>
      </c>
      <c r="AO19" t="s">
        <v>12</v>
      </c>
      <c r="AP19">
        <f>SUMPRODUCT(Table1[Selected],Table1[ARS])</f>
        <v>0</v>
      </c>
      <c r="AQ19">
        <v>3</v>
      </c>
    </row>
    <row r="20" spans="1:43">
      <c r="A20" t="s">
        <v>88</v>
      </c>
      <c r="B20" t="s">
        <v>89</v>
      </c>
      <c r="C20" t="s">
        <v>89</v>
      </c>
      <c r="D20" t="s">
        <v>4</v>
      </c>
      <c r="E20">
        <v>0</v>
      </c>
      <c r="F20">
        <v>1</v>
      </c>
      <c r="G20">
        <v>0</v>
      </c>
      <c r="H20">
        <v>0</v>
      </c>
      <c r="I20" t="s">
        <v>14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4.7</v>
      </c>
      <c r="AE20">
        <v>82</v>
      </c>
      <c r="AF20">
        <v>20.54495817993748</v>
      </c>
      <c r="AG20">
        <v>10.61665009624241</v>
      </c>
      <c r="AH20">
        <v>25.06157035633912</v>
      </c>
      <c r="AI20">
        <f>16.08514783088377*1</f>
        <v>0</v>
      </c>
      <c r="AJ20">
        <f>3.333255573945648*1</f>
        <v>0</v>
      </c>
      <c r="AK20">
        <v>1</v>
      </c>
      <c r="AL20">
        <v>1</v>
      </c>
      <c r="AM20">
        <v>1</v>
      </c>
      <c r="AO20" t="s">
        <v>13</v>
      </c>
      <c r="AP20">
        <f>SUMPRODUCT(Table1[Selected],Table1[AVL])</f>
        <v>0</v>
      </c>
      <c r="AQ20">
        <v>3</v>
      </c>
    </row>
    <row r="21" spans="1:43">
      <c r="A21" t="s">
        <v>90</v>
      </c>
      <c r="B21" t="s">
        <v>91</v>
      </c>
      <c r="C21" t="s">
        <v>91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14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5.5</v>
      </c>
      <c r="AE21">
        <v>83</v>
      </c>
      <c r="AF21">
        <v>17.6530612244898</v>
      </c>
      <c r="AG21">
        <v>12.17826548348396</v>
      </c>
      <c r="AH21">
        <v>45.07570414193589</v>
      </c>
      <c r="AI21">
        <f>17.26346391318807*1</f>
        <v>0</v>
      </c>
      <c r="AJ21">
        <f>3.3055663686518404*1</f>
        <v>0</v>
      </c>
      <c r="AK21">
        <v>1</v>
      </c>
      <c r="AL21">
        <v>0</v>
      </c>
      <c r="AM21">
        <v>0</v>
      </c>
      <c r="AO21" t="s">
        <v>14</v>
      </c>
      <c r="AP21">
        <f>SUMPRODUCT(Table1[Selected],Table1[BOU])</f>
        <v>0</v>
      </c>
      <c r="AQ21">
        <v>3</v>
      </c>
    </row>
    <row r="22" spans="1:43">
      <c r="A22" t="s">
        <v>92</v>
      </c>
      <c r="B22" t="s">
        <v>93</v>
      </c>
      <c r="C22" t="s">
        <v>94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14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</v>
      </c>
      <c r="AE22">
        <v>85</v>
      </c>
      <c r="AF22">
        <v>11.31147540983607</v>
      </c>
      <c r="AG22">
        <v>9.153068322340337</v>
      </c>
      <c r="AH22">
        <v>23.32838596491228</v>
      </c>
      <c r="AI22">
        <f>13.390285869109096*1</f>
        <v>0</v>
      </c>
      <c r="AJ22">
        <f>2.6524446584399084*1</f>
        <v>0</v>
      </c>
      <c r="AK22">
        <v>1</v>
      </c>
      <c r="AL22">
        <v>0</v>
      </c>
      <c r="AM22">
        <v>0</v>
      </c>
      <c r="AO22" t="s">
        <v>15</v>
      </c>
      <c r="AP22">
        <f>SUMPRODUCT(Table1[Selected],Table1[BRE])</f>
        <v>0</v>
      </c>
      <c r="AQ22">
        <v>3</v>
      </c>
    </row>
    <row r="23" spans="1:43">
      <c r="A23" t="s">
        <v>95</v>
      </c>
      <c r="B23" t="s">
        <v>96</v>
      </c>
      <c r="C23" t="s">
        <v>96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14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5.6</v>
      </c>
      <c r="AE23">
        <v>89</v>
      </c>
      <c r="AF23">
        <v>16.12068965517241</v>
      </c>
      <c r="AG23">
        <v>12.40301640661741</v>
      </c>
      <c r="AH23">
        <v>42.10970533170534</v>
      </c>
      <c r="AI23">
        <f>19.115156342930266*1</f>
        <v>0</v>
      </c>
      <c r="AJ23">
        <f>3.559537070666055*1</f>
        <v>0</v>
      </c>
      <c r="AK23">
        <v>1</v>
      </c>
      <c r="AL23">
        <v>0</v>
      </c>
      <c r="AM23">
        <v>0</v>
      </c>
      <c r="AO23" t="s">
        <v>16</v>
      </c>
      <c r="AP23">
        <f>SUMPRODUCT(Table1[Selected],Table1[BHA])</f>
        <v>0</v>
      </c>
      <c r="AQ23">
        <v>3</v>
      </c>
    </row>
    <row r="24" spans="1:43">
      <c r="A24" t="s">
        <v>97</v>
      </c>
      <c r="B24" t="s">
        <v>98</v>
      </c>
      <c r="C24" t="s">
        <v>98</v>
      </c>
      <c r="D24" t="s">
        <v>4</v>
      </c>
      <c r="E24">
        <v>0</v>
      </c>
      <c r="F24">
        <v>1</v>
      </c>
      <c r="G24">
        <v>0</v>
      </c>
      <c r="H24">
        <v>0</v>
      </c>
      <c r="I24" t="s">
        <v>14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4.5</v>
      </c>
      <c r="AE24">
        <v>92</v>
      </c>
      <c r="AF24">
        <v>11.9140625</v>
      </c>
      <c r="AG24">
        <v>10.17667335656521</v>
      </c>
      <c r="AH24">
        <v>15.2352136190777</v>
      </c>
      <c r="AI24">
        <f>8.50077344146676*1</f>
        <v>0</v>
      </c>
      <c r="AJ24">
        <f>1.775185053845432*1</f>
        <v>0</v>
      </c>
      <c r="AK24">
        <v>1</v>
      </c>
      <c r="AL24">
        <v>0</v>
      </c>
      <c r="AM24">
        <v>0</v>
      </c>
      <c r="AO24" t="s">
        <v>17</v>
      </c>
      <c r="AP24">
        <f>SUMPRODUCT(Table1[Selected],Table1[CHE])</f>
        <v>0</v>
      </c>
      <c r="AQ24">
        <v>3</v>
      </c>
    </row>
    <row r="25" spans="1:43">
      <c r="A25" t="s">
        <v>99</v>
      </c>
      <c r="B25" t="s">
        <v>100</v>
      </c>
      <c r="C25" t="s">
        <v>100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14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5.4</v>
      </c>
      <c r="AE25">
        <v>93</v>
      </c>
      <c r="AF25">
        <v>16.81818181818182</v>
      </c>
      <c r="AG25">
        <v>22.13766694658379</v>
      </c>
      <c r="AH25">
        <v>22.88333333333333</v>
      </c>
      <c r="AI25">
        <f>12.962421141671827*1</f>
        <v>0</v>
      </c>
      <c r="AJ25">
        <f>2.4020749048394467*1</f>
        <v>0</v>
      </c>
      <c r="AK25">
        <v>1</v>
      </c>
      <c r="AL25">
        <v>0</v>
      </c>
      <c r="AM25">
        <v>0</v>
      </c>
      <c r="AO25" t="s">
        <v>18</v>
      </c>
      <c r="AP25">
        <f>SUMPRODUCT(Table1[Selected],Table1[CRY])</f>
        <v>0</v>
      </c>
      <c r="AQ25">
        <v>3</v>
      </c>
    </row>
    <row r="26" spans="1:43">
      <c r="A26" t="s">
        <v>101</v>
      </c>
      <c r="B26" t="s">
        <v>102</v>
      </c>
      <c r="C26" t="s">
        <v>102</v>
      </c>
      <c r="D26" t="s">
        <v>4</v>
      </c>
      <c r="E26">
        <v>0</v>
      </c>
      <c r="F26">
        <v>1</v>
      </c>
      <c r="G26">
        <v>0</v>
      </c>
      <c r="H26">
        <v>0</v>
      </c>
      <c r="I26" t="s">
        <v>14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4.4</v>
      </c>
      <c r="AE26">
        <v>95</v>
      </c>
      <c r="AF26">
        <v>11.81034482758621</v>
      </c>
      <c r="AG26">
        <v>10.44632695204094</v>
      </c>
      <c r="AH26">
        <v>22.95154624002838</v>
      </c>
      <c r="AI26">
        <f>10.254876880144055*1</f>
        <v>0</v>
      </c>
      <c r="AJ26">
        <f>2.008412090884752*1</f>
        <v>0</v>
      </c>
      <c r="AK26">
        <v>1</v>
      </c>
      <c r="AL26">
        <v>0</v>
      </c>
      <c r="AM26">
        <v>0</v>
      </c>
      <c r="AO26" t="s">
        <v>19</v>
      </c>
      <c r="AP26">
        <f>SUMPRODUCT(Table1[Selected],Table1[EVE])</f>
        <v>0</v>
      </c>
      <c r="AQ26">
        <v>3</v>
      </c>
    </row>
    <row r="27" spans="1:43">
      <c r="A27" t="s">
        <v>103</v>
      </c>
      <c r="B27" t="s">
        <v>104</v>
      </c>
      <c r="C27" t="s">
        <v>104</v>
      </c>
      <c r="D27" t="s">
        <v>3</v>
      </c>
      <c r="E27">
        <v>1</v>
      </c>
      <c r="F27">
        <v>0</v>
      </c>
      <c r="G27">
        <v>0</v>
      </c>
      <c r="H27">
        <v>0</v>
      </c>
      <c r="I27" t="s">
        <v>14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4.5</v>
      </c>
      <c r="AE27">
        <v>96</v>
      </c>
      <c r="AF27">
        <v>18.58974358974359</v>
      </c>
      <c r="AG27">
        <v>18.2640448320085</v>
      </c>
      <c r="AH27">
        <v>29.55126727815058</v>
      </c>
      <c r="AI27">
        <f>19.09638110343356*1</f>
        <v>0</v>
      </c>
      <c r="AJ27">
        <f>3.9032533164108125*1</f>
        <v>0</v>
      </c>
      <c r="AK27">
        <v>1</v>
      </c>
      <c r="AL27">
        <v>0</v>
      </c>
      <c r="AM27">
        <v>0</v>
      </c>
      <c r="AO27" t="s">
        <v>20</v>
      </c>
      <c r="AP27">
        <f>SUMPRODUCT(Table1[Selected],Table1[FUL])</f>
        <v>0</v>
      </c>
      <c r="AQ27">
        <v>3</v>
      </c>
    </row>
    <row r="28" spans="1:43">
      <c r="A28" t="s">
        <v>105</v>
      </c>
      <c r="B28" t="s">
        <v>106</v>
      </c>
      <c r="C28" t="s">
        <v>106</v>
      </c>
      <c r="D28" t="s">
        <v>4</v>
      </c>
      <c r="E28">
        <v>0</v>
      </c>
      <c r="F28">
        <v>1</v>
      </c>
      <c r="G28">
        <v>0</v>
      </c>
      <c r="H28">
        <v>0</v>
      </c>
      <c r="I28" t="s">
        <v>15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4.6</v>
      </c>
      <c r="AE28">
        <v>106</v>
      </c>
      <c r="AF28">
        <v>12.8494623655914</v>
      </c>
      <c r="AG28">
        <v>10.60870472808593</v>
      </c>
      <c r="AH28">
        <v>12.13054389572482</v>
      </c>
      <c r="AI28">
        <f>13.42560765795281*1</f>
        <v>0</v>
      </c>
      <c r="AJ28">
        <f>2.6512483710023345*1</f>
        <v>0</v>
      </c>
      <c r="AK28">
        <v>1</v>
      </c>
      <c r="AL28">
        <v>0</v>
      </c>
      <c r="AM28">
        <v>0</v>
      </c>
      <c r="AO28" t="s">
        <v>21</v>
      </c>
      <c r="AP28">
        <f>SUMPRODUCT(Table1[Selected],Table1[IPS])</f>
        <v>0</v>
      </c>
      <c r="AQ28">
        <v>3</v>
      </c>
    </row>
    <row r="29" spans="1:43">
      <c r="A29" t="s">
        <v>107</v>
      </c>
      <c r="B29" t="s">
        <v>108</v>
      </c>
      <c r="C29" t="s">
        <v>108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15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</v>
      </c>
      <c r="AE29">
        <v>107</v>
      </c>
      <c r="AF29">
        <v>17.58955243560955</v>
      </c>
      <c r="AG29">
        <v>7.063901131173239</v>
      </c>
      <c r="AH29">
        <v>15.38829995978272</v>
      </c>
      <c r="AI29">
        <f>8.033215868956685*1</f>
        <v>0</v>
      </c>
      <c r="AJ29">
        <f>1.7025676192102643*1</f>
        <v>0</v>
      </c>
      <c r="AK29">
        <v>1</v>
      </c>
      <c r="AL29">
        <v>0</v>
      </c>
      <c r="AM29">
        <v>0</v>
      </c>
      <c r="AO29" t="s">
        <v>22</v>
      </c>
      <c r="AP29">
        <f>SUMPRODUCT(Table1[Selected],Table1[LEI])</f>
        <v>0</v>
      </c>
      <c r="AQ29">
        <v>3</v>
      </c>
    </row>
    <row r="30" spans="1:43">
      <c r="A30" t="s">
        <v>109</v>
      </c>
      <c r="B30" t="s">
        <v>110</v>
      </c>
      <c r="C30" t="s">
        <v>110</v>
      </c>
      <c r="D30" t="s">
        <v>3</v>
      </c>
      <c r="E30">
        <v>1</v>
      </c>
      <c r="F30">
        <v>0</v>
      </c>
      <c r="G30">
        <v>0</v>
      </c>
      <c r="H30">
        <v>0</v>
      </c>
      <c r="I30" t="s">
        <v>15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4.5</v>
      </c>
      <c r="AE30">
        <v>109</v>
      </c>
      <c r="AF30">
        <v>15.92592592592592</v>
      </c>
      <c r="AG30">
        <v>18.91417427214909</v>
      </c>
      <c r="AH30">
        <v>15.04653763335618</v>
      </c>
      <c r="AI30">
        <f>11.496712053090095*1</f>
        <v>0</v>
      </c>
      <c r="AJ30">
        <f>2.312277628117786*1</f>
        <v>0</v>
      </c>
      <c r="AK30">
        <v>1</v>
      </c>
      <c r="AL30">
        <v>0</v>
      </c>
      <c r="AM30">
        <v>0</v>
      </c>
      <c r="AO30" t="s">
        <v>23</v>
      </c>
      <c r="AP30">
        <f>SUMPRODUCT(Table1[Selected],Table1[LIV])</f>
        <v>0</v>
      </c>
      <c r="AQ30">
        <v>3</v>
      </c>
    </row>
    <row r="31" spans="1:43">
      <c r="A31" t="s">
        <v>111</v>
      </c>
      <c r="B31" t="s">
        <v>112</v>
      </c>
      <c r="C31" t="s">
        <v>112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15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</v>
      </c>
      <c r="AE31">
        <v>116</v>
      </c>
      <c r="AF31">
        <v>11.31578947368422</v>
      </c>
      <c r="AG31">
        <v>10.33701618776248</v>
      </c>
      <c r="AH31">
        <v>12.28888888888889</v>
      </c>
      <c r="AI31">
        <f>3.839290176366302*1</f>
        <v>0</v>
      </c>
      <c r="AJ31">
        <f>0.8044093377013122*1</f>
        <v>0</v>
      </c>
      <c r="AK31">
        <v>1</v>
      </c>
      <c r="AL31">
        <v>0</v>
      </c>
      <c r="AM31">
        <v>0</v>
      </c>
      <c r="AO31" t="s">
        <v>24</v>
      </c>
      <c r="AP31">
        <f>SUMPRODUCT(Table1[Selected],Table1[MCI])</f>
        <v>0</v>
      </c>
      <c r="AQ31">
        <v>3</v>
      </c>
    </row>
    <row r="32" spans="1:43">
      <c r="A32" t="s">
        <v>113</v>
      </c>
      <c r="B32" t="s">
        <v>114</v>
      </c>
      <c r="C32" t="s">
        <v>114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15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7.6</v>
      </c>
      <c r="AE32">
        <v>117</v>
      </c>
      <c r="AF32">
        <v>26.7860869154473</v>
      </c>
      <c r="AG32">
        <v>21.10284608368647</v>
      </c>
      <c r="AH32">
        <v>35.44881576284054</v>
      </c>
      <c r="AI32">
        <f>13.723249591207768*1</f>
        <v>0</v>
      </c>
      <c r="AJ32">
        <f>2.888831856745491*1</f>
        <v>0</v>
      </c>
      <c r="AK32">
        <v>1</v>
      </c>
      <c r="AL32">
        <v>0</v>
      </c>
      <c r="AM32">
        <v>0</v>
      </c>
      <c r="AO32" t="s">
        <v>25</v>
      </c>
      <c r="AP32">
        <f>SUMPRODUCT(Table1[Selected],Table1[MUN])</f>
        <v>0</v>
      </c>
      <c r="AQ32">
        <v>3</v>
      </c>
    </row>
    <row r="33" spans="1:43">
      <c r="A33" t="s">
        <v>115</v>
      </c>
      <c r="B33" t="s">
        <v>116</v>
      </c>
      <c r="C33" t="s">
        <v>116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15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4.8</v>
      </c>
      <c r="AE33">
        <v>119</v>
      </c>
      <c r="AF33">
        <v>13.92857142857143</v>
      </c>
      <c r="AG33">
        <v>15.31110137935102</v>
      </c>
      <c r="AH33">
        <v>9.393328185051582</v>
      </c>
      <c r="AI33">
        <f>9.096710409040629*1</f>
        <v>0</v>
      </c>
      <c r="AJ33">
        <f>1.7733112659826282*1</f>
        <v>0</v>
      </c>
      <c r="AK33">
        <v>1</v>
      </c>
      <c r="AL33">
        <v>0</v>
      </c>
      <c r="AM33">
        <v>0</v>
      </c>
      <c r="AO33" t="s">
        <v>26</v>
      </c>
      <c r="AP33">
        <f>SUMPRODUCT(Table1[Selected],Table1[NEW])</f>
        <v>0</v>
      </c>
      <c r="AQ33">
        <v>3</v>
      </c>
    </row>
    <row r="34" spans="1:43">
      <c r="A34" t="s">
        <v>117</v>
      </c>
      <c r="B34" t="s">
        <v>118</v>
      </c>
      <c r="C34" t="s">
        <v>118</v>
      </c>
      <c r="D34" t="s">
        <v>4</v>
      </c>
      <c r="E34">
        <v>0</v>
      </c>
      <c r="F34">
        <v>1</v>
      </c>
      <c r="G34">
        <v>0</v>
      </c>
      <c r="H34">
        <v>0</v>
      </c>
      <c r="I34" t="s">
        <v>15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4.5</v>
      </c>
      <c r="AE34">
        <v>122</v>
      </c>
      <c r="AF34">
        <v>14.5631067961165</v>
      </c>
      <c r="AG34">
        <v>18.17091025604149</v>
      </c>
      <c r="AH34">
        <v>7.441949978881094</v>
      </c>
      <c r="AI34">
        <f>6.192665133834531*1</f>
        <v>0</v>
      </c>
      <c r="AJ34">
        <f>1.3042501614234354*1</f>
        <v>0</v>
      </c>
      <c r="AK34">
        <v>1</v>
      </c>
      <c r="AL34">
        <v>0</v>
      </c>
      <c r="AM34">
        <v>0</v>
      </c>
      <c r="AO34" t="s">
        <v>27</v>
      </c>
      <c r="AP34">
        <f>SUMPRODUCT(Table1[Selected],Table1[NFO])</f>
        <v>0</v>
      </c>
      <c r="AQ34">
        <v>3</v>
      </c>
    </row>
    <row r="35" spans="1:43">
      <c r="A35" t="s">
        <v>119</v>
      </c>
      <c r="B35" t="s">
        <v>120</v>
      </c>
      <c r="C35" t="s">
        <v>120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15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5.1</v>
      </c>
      <c r="AE35">
        <v>124</v>
      </c>
      <c r="AF35">
        <v>13.26086956521739</v>
      </c>
      <c r="AG35">
        <v>10.78518656756293</v>
      </c>
      <c r="AH35">
        <v>20.07667328042328</v>
      </c>
      <c r="AI35">
        <f>20.481438696208002*1</f>
        <v>0</v>
      </c>
      <c r="AJ35">
        <f>4.026128527615039*1</f>
        <v>0</v>
      </c>
      <c r="AK35">
        <v>1</v>
      </c>
      <c r="AL35">
        <v>0</v>
      </c>
      <c r="AM35">
        <v>0</v>
      </c>
      <c r="AO35" t="s">
        <v>28</v>
      </c>
      <c r="AP35">
        <f>SUMPRODUCT(Table1[Selected],Table1[SOU])</f>
        <v>0</v>
      </c>
      <c r="AQ35">
        <v>3</v>
      </c>
    </row>
    <row r="36" spans="1:43">
      <c r="A36" t="s">
        <v>121</v>
      </c>
      <c r="B36" t="s">
        <v>122</v>
      </c>
      <c r="C36" t="s">
        <v>122</v>
      </c>
      <c r="D36" t="s">
        <v>6</v>
      </c>
      <c r="E36">
        <v>0</v>
      </c>
      <c r="F36">
        <v>0</v>
      </c>
      <c r="G36">
        <v>0</v>
      </c>
      <c r="H36">
        <v>1</v>
      </c>
      <c r="I36" t="s">
        <v>15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6.2</v>
      </c>
      <c r="AE36">
        <v>128</v>
      </c>
      <c r="AF36">
        <v>22.56550085874014</v>
      </c>
      <c r="AG36">
        <v>13.55324307542338</v>
      </c>
      <c r="AH36">
        <v>14.98704730805051</v>
      </c>
      <c r="AI36">
        <f>13.74017192132156*1</f>
        <v>0</v>
      </c>
      <c r="AJ36">
        <f>2.691030421109403*1</f>
        <v>0</v>
      </c>
      <c r="AK36">
        <v>1</v>
      </c>
      <c r="AL36">
        <v>1</v>
      </c>
      <c r="AM36">
        <v>1</v>
      </c>
      <c r="AO36" t="s">
        <v>29</v>
      </c>
      <c r="AP36">
        <f>SUMPRODUCT(Table1[Selected],Table1[TOT])</f>
        <v>0</v>
      </c>
      <c r="AQ36">
        <v>3</v>
      </c>
    </row>
    <row r="37" spans="1:43">
      <c r="A37" t="s">
        <v>123</v>
      </c>
      <c r="B37" t="s">
        <v>124</v>
      </c>
      <c r="C37" t="s">
        <v>124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16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</v>
      </c>
      <c r="AE37">
        <v>141</v>
      </c>
      <c r="AF37">
        <v>9.146341463414636</v>
      </c>
      <c r="AG37">
        <v>8.709890642650414</v>
      </c>
      <c r="AH37">
        <v>27</v>
      </c>
      <c r="AI37">
        <f>3.252107459424039*1</f>
        <v>0</v>
      </c>
      <c r="AJ37">
        <f>0.4751849623433658*1</f>
        <v>0</v>
      </c>
      <c r="AK37">
        <v>1</v>
      </c>
      <c r="AL37">
        <v>0</v>
      </c>
      <c r="AM37">
        <v>0</v>
      </c>
      <c r="AO37" t="s">
        <v>30</v>
      </c>
      <c r="AP37">
        <f>SUMPRODUCT(Table1[Selected],Table1[WHU])</f>
        <v>0</v>
      </c>
      <c r="AQ37">
        <v>3</v>
      </c>
    </row>
    <row r="38" spans="1:43">
      <c r="A38" t="s">
        <v>125</v>
      </c>
      <c r="B38" t="s">
        <v>126</v>
      </c>
      <c r="C38" t="s">
        <v>126</v>
      </c>
      <c r="D38" t="s">
        <v>4</v>
      </c>
      <c r="E38">
        <v>0</v>
      </c>
      <c r="F38">
        <v>1</v>
      </c>
      <c r="G38">
        <v>0</v>
      </c>
      <c r="H38">
        <v>0</v>
      </c>
      <c r="I38" t="s">
        <v>16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4.4</v>
      </c>
      <c r="AE38">
        <v>145</v>
      </c>
      <c r="AF38">
        <v>15.58252427184465</v>
      </c>
      <c r="AG38">
        <v>15.83875470313373</v>
      </c>
      <c r="AH38">
        <v>16.71588600736894</v>
      </c>
      <c r="AI38">
        <f>10.172376509049993*1</f>
        <v>0</v>
      </c>
      <c r="AJ38">
        <f>2.0330088966478344*1</f>
        <v>0</v>
      </c>
      <c r="AK38">
        <v>1</v>
      </c>
      <c r="AL38">
        <v>0</v>
      </c>
      <c r="AM38">
        <v>0</v>
      </c>
      <c r="AO38" t="s">
        <v>31</v>
      </c>
      <c r="AP38">
        <f>SUMPRODUCT(Table1[Selected],Table1[WOL])</f>
        <v>0</v>
      </c>
      <c r="AQ38">
        <v>3</v>
      </c>
    </row>
    <row r="39" spans="1:43">
      <c r="A39" t="s">
        <v>127</v>
      </c>
      <c r="B39" t="s">
        <v>128</v>
      </c>
      <c r="C39" t="s">
        <v>128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16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5.1</v>
      </c>
      <c r="AE39">
        <v>160</v>
      </c>
      <c r="AF39">
        <v>0</v>
      </c>
      <c r="AG39">
        <v>0</v>
      </c>
      <c r="AH39">
        <v>0</v>
      </c>
      <c r="AI39">
        <f>0.0*1</f>
        <v>0</v>
      </c>
      <c r="AJ39">
        <f>0.0*1</f>
        <v>0</v>
      </c>
      <c r="AK39">
        <v>1</v>
      </c>
      <c r="AL39">
        <v>0</v>
      </c>
      <c r="AM39">
        <v>0</v>
      </c>
    </row>
    <row r="40" spans="1:43">
      <c r="A40" t="s">
        <v>129</v>
      </c>
      <c r="B40" t="s">
        <v>130</v>
      </c>
      <c r="C40" t="s">
        <v>129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16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6.5</v>
      </c>
      <c r="AE40">
        <v>161</v>
      </c>
      <c r="AF40">
        <v>0</v>
      </c>
      <c r="AG40">
        <v>0</v>
      </c>
      <c r="AH40">
        <v>0</v>
      </c>
      <c r="AI40">
        <f>0.0*1</f>
        <v>0</v>
      </c>
      <c r="AJ40">
        <f>0.0*1</f>
        <v>0</v>
      </c>
      <c r="AK40">
        <v>1</v>
      </c>
      <c r="AL40">
        <v>0</v>
      </c>
      <c r="AM40">
        <v>0</v>
      </c>
    </row>
    <row r="41" spans="1:43">
      <c r="A41" t="s">
        <v>131</v>
      </c>
      <c r="B41" t="s">
        <v>132</v>
      </c>
      <c r="C41" t="s">
        <v>133</v>
      </c>
      <c r="D41" t="s">
        <v>4</v>
      </c>
      <c r="E41">
        <v>0</v>
      </c>
      <c r="F41">
        <v>1</v>
      </c>
      <c r="G41">
        <v>0</v>
      </c>
      <c r="H41">
        <v>0</v>
      </c>
      <c r="I41" t="s">
        <v>16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4.5</v>
      </c>
      <c r="AE41">
        <v>169</v>
      </c>
      <c r="AF41">
        <v>10.3921568627451</v>
      </c>
      <c r="AG41">
        <v>8.886782210392859</v>
      </c>
      <c r="AH41">
        <v>19.18181818181818</v>
      </c>
      <c r="AI41">
        <f>7.684292264500441*1</f>
        <v>0</v>
      </c>
      <c r="AJ41">
        <f>1.607549137832198*1</f>
        <v>0</v>
      </c>
      <c r="AK41">
        <v>1</v>
      </c>
      <c r="AL41">
        <v>0</v>
      </c>
      <c r="AM41">
        <v>0</v>
      </c>
    </row>
    <row r="42" spans="1:43">
      <c r="A42" t="s">
        <v>134</v>
      </c>
      <c r="B42" t="s">
        <v>135</v>
      </c>
      <c r="C42" t="s">
        <v>135</v>
      </c>
      <c r="D42" t="s">
        <v>4</v>
      </c>
      <c r="E42">
        <v>0</v>
      </c>
      <c r="F42">
        <v>1</v>
      </c>
      <c r="G42">
        <v>0</v>
      </c>
      <c r="H42">
        <v>0</v>
      </c>
      <c r="I42" t="s">
        <v>16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4.5</v>
      </c>
      <c r="AE42">
        <v>170</v>
      </c>
      <c r="AF42">
        <v>15.1196772223418</v>
      </c>
      <c r="AG42">
        <v>13.20936943865997</v>
      </c>
      <c r="AH42">
        <v>14.65602620896562</v>
      </c>
      <c r="AI42">
        <f>10.010822358829785*1</f>
        <v>0</v>
      </c>
      <c r="AJ42">
        <f>2.008211486916351*1</f>
        <v>0</v>
      </c>
      <c r="AK42">
        <v>1</v>
      </c>
      <c r="AL42">
        <v>0</v>
      </c>
      <c r="AM42">
        <v>0</v>
      </c>
    </row>
    <row r="43" spans="1:43">
      <c r="A43" t="s">
        <v>136</v>
      </c>
      <c r="B43" t="s">
        <v>137</v>
      </c>
      <c r="C43" t="s">
        <v>137</v>
      </c>
      <c r="D43" t="s">
        <v>3</v>
      </c>
      <c r="E43">
        <v>1</v>
      </c>
      <c r="F43">
        <v>0</v>
      </c>
      <c r="G43">
        <v>0</v>
      </c>
      <c r="H43">
        <v>0</v>
      </c>
      <c r="I43" t="s">
        <v>16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4.5</v>
      </c>
      <c r="AE43">
        <v>171</v>
      </c>
      <c r="AF43">
        <v>15.41666666666666</v>
      </c>
      <c r="AG43">
        <v>14.69683869120553</v>
      </c>
      <c r="AH43">
        <v>17.27712722462723</v>
      </c>
      <c r="AI43">
        <f>8.377747102808433*1</f>
        <v>0</v>
      </c>
      <c r="AJ43">
        <f>1.813347433903485*1</f>
        <v>0</v>
      </c>
      <c r="AK43">
        <v>1</v>
      </c>
      <c r="AL43">
        <v>0</v>
      </c>
      <c r="AM43">
        <v>0</v>
      </c>
    </row>
    <row r="44" spans="1:43">
      <c r="A44" t="s">
        <v>138</v>
      </c>
      <c r="B44" t="s">
        <v>139</v>
      </c>
      <c r="C44" t="s">
        <v>139</v>
      </c>
      <c r="D44" t="s">
        <v>6</v>
      </c>
      <c r="E44">
        <v>0</v>
      </c>
      <c r="F44">
        <v>0</v>
      </c>
      <c r="G44">
        <v>0</v>
      </c>
      <c r="H44">
        <v>1</v>
      </c>
      <c r="I44" t="s">
        <v>16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5.6</v>
      </c>
      <c r="AE44">
        <v>173</v>
      </c>
      <c r="AF44">
        <v>15.41979931434447</v>
      </c>
      <c r="AG44">
        <v>12.95811249962702</v>
      </c>
      <c r="AH44">
        <v>9.784615384615385</v>
      </c>
      <c r="AI44">
        <f>14.056531008412996*1</f>
        <v>0</v>
      </c>
      <c r="AJ44">
        <f>2.7247418380690274*1</f>
        <v>0</v>
      </c>
      <c r="AK44">
        <v>1</v>
      </c>
      <c r="AL44">
        <v>0</v>
      </c>
      <c r="AM44">
        <v>0</v>
      </c>
    </row>
    <row r="45" spans="1:43">
      <c r="A45" t="s">
        <v>140</v>
      </c>
      <c r="B45" t="s">
        <v>141</v>
      </c>
      <c r="C45" t="s">
        <v>141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16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4.7</v>
      </c>
      <c r="AE45">
        <v>174</v>
      </c>
      <c r="AF45">
        <v>0</v>
      </c>
      <c r="AG45">
        <v>0</v>
      </c>
      <c r="AH45">
        <v>0</v>
      </c>
      <c r="AI45">
        <f>0.0*1</f>
        <v>0</v>
      </c>
      <c r="AJ45">
        <f>0.0*1</f>
        <v>0</v>
      </c>
      <c r="AK45">
        <v>1</v>
      </c>
      <c r="AL45">
        <v>0</v>
      </c>
      <c r="AM45">
        <v>0</v>
      </c>
    </row>
    <row r="46" spans="1:43">
      <c r="A46" t="s">
        <v>142</v>
      </c>
      <c r="B46" t="s">
        <v>143</v>
      </c>
      <c r="C46" t="s">
        <v>144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17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4.9</v>
      </c>
      <c r="AE46">
        <v>191</v>
      </c>
      <c r="AF46">
        <v>15.40166869590333</v>
      </c>
      <c r="AG46">
        <v>8.280474864564649</v>
      </c>
      <c r="AH46">
        <v>15.33020970206969</v>
      </c>
      <c r="AI46">
        <f>13.580605697653754*1</f>
        <v>0</v>
      </c>
      <c r="AJ46">
        <f>2.9057939040851393*1</f>
        <v>0</v>
      </c>
      <c r="AK46">
        <v>1</v>
      </c>
      <c r="AL46">
        <v>0</v>
      </c>
      <c r="AM46">
        <v>0</v>
      </c>
    </row>
    <row r="47" spans="1:43">
      <c r="A47" t="s">
        <v>145</v>
      </c>
      <c r="B47" t="s">
        <v>146</v>
      </c>
      <c r="C47" t="s">
        <v>146</v>
      </c>
      <c r="D47" t="s">
        <v>4</v>
      </c>
      <c r="E47">
        <v>0</v>
      </c>
      <c r="F47">
        <v>1</v>
      </c>
      <c r="G47">
        <v>0</v>
      </c>
      <c r="H47">
        <v>0</v>
      </c>
      <c r="I47" t="s">
        <v>17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4.6</v>
      </c>
      <c r="AE47">
        <v>195</v>
      </c>
      <c r="AF47">
        <v>13.39285714285714</v>
      </c>
      <c r="AG47">
        <v>16.18546529154957</v>
      </c>
      <c r="AH47">
        <v>14.16190476190476</v>
      </c>
      <c r="AI47">
        <f>15.481781310948534*1</f>
        <v>0</v>
      </c>
      <c r="AJ47">
        <f>3.3111345422789773*1</f>
        <v>0</v>
      </c>
      <c r="AK47">
        <v>1</v>
      </c>
      <c r="AL47">
        <v>0</v>
      </c>
      <c r="AM47">
        <v>0</v>
      </c>
    </row>
    <row r="48" spans="1:43">
      <c r="A48" t="s">
        <v>147</v>
      </c>
      <c r="B48" t="s">
        <v>148</v>
      </c>
      <c r="C48" t="s">
        <v>149</v>
      </c>
      <c r="D48" t="s">
        <v>4</v>
      </c>
      <c r="E48">
        <v>0</v>
      </c>
      <c r="F48">
        <v>1</v>
      </c>
      <c r="G48">
        <v>0</v>
      </c>
      <c r="H48">
        <v>0</v>
      </c>
      <c r="I48" t="s">
        <v>17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5.2</v>
      </c>
      <c r="AE48">
        <v>196</v>
      </c>
      <c r="AF48">
        <v>13.0701754385965</v>
      </c>
      <c r="AG48">
        <v>11.8066823913528</v>
      </c>
      <c r="AH48">
        <v>21.86666666666667</v>
      </c>
      <c r="AI48">
        <f>14.861351074310837*1</f>
        <v>0</v>
      </c>
      <c r="AJ48">
        <f>2.759364322037858*1</f>
        <v>0</v>
      </c>
      <c r="AK48">
        <v>1</v>
      </c>
      <c r="AL48">
        <v>0</v>
      </c>
      <c r="AM48">
        <v>0</v>
      </c>
    </row>
    <row r="49" spans="1:39">
      <c r="A49" t="s">
        <v>150</v>
      </c>
      <c r="B49" t="s">
        <v>151</v>
      </c>
      <c r="C49" t="s">
        <v>150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17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5.1</v>
      </c>
      <c r="AE49">
        <v>201</v>
      </c>
      <c r="AF49">
        <v>14.46539096768294</v>
      </c>
      <c r="AG49">
        <v>11.05999184596416</v>
      </c>
      <c r="AH49">
        <v>15.816</v>
      </c>
      <c r="AI49">
        <f>27.115495127292114*1</f>
        <v>0</v>
      </c>
      <c r="AJ49">
        <f>5.190594979581672*1</f>
        <v>0</v>
      </c>
      <c r="AK49">
        <v>1</v>
      </c>
      <c r="AL49">
        <v>0</v>
      </c>
      <c r="AM49">
        <v>0</v>
      </c>
    </row>
    <row r="50" spans="1:39">
      <c r="A50" t="s">
        <v>152</v>
      </c>
      <c r="B50" t="s">
        <v>153</v>
      </c>
      <c r="C50" t="s">
        <v>153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17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6.3</v>
      </c>
      <c r="AE50">
        <v>210</v>
      </c>
      <c r="AF50">
        <v>17.08333333333334</v>
      </c>
      <c r="AG50">
        <v>22.69913825633314</v>
      </c>
      <c r="AH50">
        <v>23.42026203583729</v>
      </c>
      <c r="AI50">
        <f>4.751770443619775*1</f>
        <v>0</v>
      </c>
      <c r="AJ50">
        <f>0.8775553403651668*1</f>
        <v>0</v>
      </c>
      <c r="AK50">
        <v>1</v>
      </c>
      <c r="AL50">
        <v>0</v>
      </c>
      <c r="AM50">
        <v>0</v>
      </c>
    </row>
    <row r="51" spans="1:39">
      <c r="A51" t="s">
        <v>154</v>
      </c>
      <c r="B51" t="s">
        <v>155</v>
      </c>
      <c r="C51" t="s">
        <v>156</v>
      </c>
      <c r="D51" t="s">
        <v>6</v>
      </c>
      <c r="E51">
        <v>0</v>
      </c>
      <c r="F51">
        <v>0</v>
      </c>
      <c r="G51">
        <v>0</v>
      </c>
      <c r="H51">
        <v>1</v>
      </c>
      <c r="I51" t="s">
        <v>17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8.300000000000001</v>
      </c>
      <c r="AE51">
        <v>213</v>
      </c>
      <c r="AF51">
        <v>26.3740852174712</v>
      </c>
      <c r="AG51">
        <v>22.53807965958956</v>
      </c>
      <c r="AH51">
        <v>25.91295215588683</v>
      </c>
      <c r="AI51">
        <f>13.552135840935616*1</f>
        <v>0</v>
      </c>
      <c r="AJ51">
        <f>2.6353276040965534*1</f>
        <v>0</v>
      </c>
      <c r="AK51">
        <v>1</v>
      </c>
      <c r="AL51">
        <v>0</v>
      </c>
      <c r="AM51">
        <v>0</v>
      </c>
    </row>
    <row r="52" spans="1:39">
      <c r="A52" t="s">
        <v>157</v>
      </c>
      <c r="B52" t="s">
        <v>158</v>
      </c>
      <c r="C52" t="s">
        <v>158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5.8</v>
      </c>
      <c r="AE52">
        <v>214</v>
      </c>
      <c r="AF52">
        <v>11.48148148148149</v>
      </c>
      <c r="AG52">
        <v>8.153886229118761</v>
      </c>
      <c r="AH52">
        <v>4.514285714285714</v>
      </c>
      <c r="AI52">
        <f>8.980246291864363*1</f>
        <v>0</v>
      </c>
      <c r="AJ52">
        <f>1.7337455618671784*1</f>
        <v>0</v>
      </c>
      <c r="AK52">
        <v>1</v>
      </c>
      <c r="AL52">
        <v>0</v>
      </c>
      <c r="AM52">
        <v>0</v>
      </c>
    </row>
    <row r="53" spans="1:39">
      <c r="A53" t="s">
        <v>159</v>
      </c>
      <c r="B53" t="s">
        <v>160</v>
      </c>
      <c r="C53" t="s">
        <v>160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11.3</v>
      </c>
      <c r="AE53">
        <v>215</v>
      </c>
      <c r="AF53">
        <v>38.93410954901945</v>
      </c>
      <c r="AG53">
        <v>28.83136193585435</v>
      </c>
      <c r="AH53">
        <v>29.43166666666666</v>
      </c>
      <c r="AI53">
        <f>19.335471785512013*1</f>
        <v>0</v>
      </c>
      <c r="AJ53">
        <f>3.7357546317281916*1</f>
        <v>0</v>
      </c>
      <c r="AK53">
        <v>1</v>
      </c>
      <c r="AL53">
        <v>0</v>
      </c>
      <c r="AM53">
        <v>0</v>
      </c>
    </row>
    <row r="54" spans="1:39">
      <c r="A54" t="s">
        <v>161</v>
      </c>
      <c r="B54" t="s">
        <v>162</v>
      </c>
      <c r="C54" t="s">
        <v>162</v>
      </c>
      <c r="D54" t="s">
        <v>3</v>
      </c>
      <c r="E54">
        <v>1</v>
      </c>
      <c r="F54">
        <v>0</v>
      </c>
      <c r="G54">
        <v>0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4.8</v>
      </c>
      <c r="AE54">
        <v>218</v>
      </c>
      <c r="AF54">
        <v>17.97413793103448</v>
      </c>
      <c r="AG54">
        <v>16.86135524258657</v>
      </c>
      <c r="AH54">
        <v>24.23882398602074</v>
      </c>
      <c r="AI54">
        <f>13.13141613320979*1</f>
        <v>0</v>
      </c>
      <c r="AJ54">
        <f>2.5649096892988084*1</f>
        <v>0</v>
      </c>
      <c r="AK54">
        <v>1</v>
      </c>
      <c r="AL54">
        <v>0</v>
      </c>
      <c r="AM54">
        <v>0</v>
      </c>
    </row>
    <row r="55" spans="1:39">
      <c r="A55" t="s">
        <v>163</v>
      </c>
      <c r="B55" t="s">
        <v>164</v>
      </c>
      <c r="C55" t="s">
        <v>165</v>
      </c>
      <c r="D55" t="s">
        <v>5</v>
      </c>
      <c r="E55">
        <v>0</v>
      </c>
      <c r="F55">
        <v>0</v>
      </c>
      <c r="G55">
        <v>1</v>
      </c>
      <c r="H55">
        <v>0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6.2</v>
      </c>
      <c r="AE55">
        <v>222</v>
      </c>
      <c r="AF55">
        <v>13.37965620101298</v>
      </c>
      <c r="AG55">
        <v>15.48885133338555</v>
      </c>
      <c r="AH55">
        <v>5.276255982280198</v>
      </c>
      <c r="AI55">
        <f>14.76913333390814*1</f>
        <v>0</v>
      </c>
      <c r="AJ55">
        <f>2.950363465670678*1</f>
        <v>0</v>
      </c>
      <c r="AK55">
        <v>1</v>
      </c>
      <c r="AL55">
        <v>0</v>
      </c>
      <c r="AM55">
        <v>0</v>
      </c>
    </row>
    <row r="56" spans="1:39">
      <c r="A56" t="s">
        <v>166</v>
      </c>
      <c r="B56" t="s">
        <v>167</v>
      </c>
      <c r="C56" t="s">
        <v>167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6.6</v>
      </c>
      <c r="AE56">
        <v>237</v>
      </c>
      <c r="AF56">
        <v>19.29166666666667</v>
      </c>
      <c r="AG56">
        <v>16.65518213195504</v>
      </c>
      <c r="AH56">
        <v>11.24485930558792</v>
      </c>
      <c r="AI56">
        <f>6.6922797287141895*1</f>
        <v>0</v>
      </c>
      <c r="AJ56">
        <f>1.2616227218373521*1</f>
        <v>0</v>
      </c>
      <c r="AK56">
        <v>1</v>
      </c>
      <c r="AL56">
        <v>0</v>
      </c>
      <c r="AM56">
        <v>0</v>
      </c>
    </row>
    <row r="57" spans="1:39">
      <c r="A57" t="s">
        <v>147</v>
      </c>
      <c r="B57" t="s">
        <v>168</v>
      </c>
      <c r="C57" t="s">
        <v>168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18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4.5</v>
      </c>
      <c r="AE57">
        <v>238</v>
      </c>
      <c r="AF57">
        <v>14.82757571605253</v>
      </c>
      <c r="AG57">
        <v>14.92351940391042</v>
      </c>
      <c r="AH57">
        <v>7.775109384486958</v>
      </c>
      <c r="AI57">
        <f>8.7407201038266*1</f>
        <v>0</v>
      </c>
      <c r="AJ57">
        <f>1.9770568388254826*1</f>
        <v>0</v>
      </c>
      <c r="AK57">
        <v>1</v>
      </c>
      <c r="AL57">
        <v>0</v>
      </c>
      <c r="AM57">
        <v>0</v>
      </c>
    </row>
    <row r="58" spans="1:39">
      <c r="A58" t="s">
        <v>169</v>
      </c>
      <c r="B58" t="s">
        <v>170</v>
      </c>
      <c r="C58" t="s">
        <v>170</v>
      </c>
      <c r="D58" t="s">
        <v>3</v>
      </c>
      <c r="E58">
        <v>1</v>
      </c>
      <c r="F58">
        <v>0</v>
      </c>
      <c r="G58">
        <v>0</v>
      </c>
      <c r="H58">
        <v>0</v>
      </c>
      <c r="I58" t="s">
        <v>18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4.4</v>
      </c>
      <c r="AE58">
        <v>239</v>
      </c>
      <c r="AF58">
        <v>19.50511852082073</v>
      </c>
      <c r="AG58">
        <v>20.18717707660618</v>
      </c>
      <c r="AH58">
        <v>9.751819472646963</v>
      </c>
      <c r="AI58">
        <f>12.515079919410452*1</f>
        <v>0</v>
      </c>
      <c r="AJ58">
        <f>2.5242595636570995*1</f>
        <v>0</v>
      </c>
      <c r="AK58">
        <v>1</v>
      </c>
      <c r="AL58">
        <v>0</v>
      </c>
      <c r="AM58">
        <v>0</v>
      </c>
    </row>
    <row r="59" spans="1:39">
      <c r="A59" t="s">
        <v>171</v>
      </c>
      <c r="B59" t="s">
        <v>172</v>
      </c>
      <c r="C59" t="s">
        <v>172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4.9</v>
      </c>
      <c r="AE59">
        <v>241</v>
      </c>
      <c r="AF59">
        <v>10.51020408163266</v>
      </c>
      <c r="AG59">
        <v>9.470044033675972</v>
      </c>
      <c r="AH59">
        <v>8.682228949906554</v>
      </c>
      <c r="AI59">
        <f>14.675354968091513*1</f>
        <v>0</v>
      </c>
      <c r="AJ59">
        <f>2.5852424179667417*1</f>
        <v>0</v>
      </c>
      <c r="AK59">
        <v>1</v>
      </c>
      <c r="AL59">
        <v>0</v>
      </c>
      <c r="AM59">
        <v>0</v>
      </c>
    </row>
    <row r="60" spans="1:39">
      <c r="A60" t="s">
        <v>173</v>
      </c>
      <c r="B60" t="s">
        <v>174</v>
      </c>
      <c r="C60" t="s">
        <v>174</v>
      </c>
      <c r="D60" t="s">
        <v>6</v>
      </c>
      <c r="E60">
        <v>0</v>
      </c>
      <c r="F60">
        <v>0</v>
      </c>
      <c r="G60">
        <v>0</v>
      </c>
      <c r="H60">
        <v>1</v>
      </c>
      <c r="I60" t="s">
        <v>18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7.2</v>
      </c>
      <c r="AE60">
        <v>244</v>
      </c>
      <c r="AF60">
        <v>17.77418674860585</v>
      </c>
      <c r="AG60">
        <v>11.22054569168092</v>
      </c>
      <c r="AH60">
        <v>9.228571428571428</v>
      </c>
      <c r="AI60">
        <f>10.23688548980944*1</f>
        <v>0</v>
      </c>
      <c r="AJ60">
        <f>2.010314556025629*1</f>
        <v>0</v>
      </c>
      <c r="AK60">
        <v>1</v>
      </c>
      <c r="AL60">
        <v>0</v>
      </c>
      <c r="AM60">
        <v>0</v>
      </c>
    </row>
    <row r="61" spans="1:39">
      <c r="A61" t="s">
        <v>175</v>
      </c>
      <c r="B61" t="s">
        <v>176</v>
      </c>
      <c r="C61" t="s">
        <v>176</v>
      </c>
      <c r="D61" t="s">
        <v>4</v>
      </c>
      <c r="E61">
        <v>0</v>
      </c>
      <c r="F61">
        <v>1</v>
      </c>
      <c r="G61">
        <v>0</v>
      </c>
      <c r="H61">
        <v>0</v>
      </c>
      <c r="I61" t="s">
        <v>18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4.8</v>
      </c>
      <c r="AE61">
        <v>247</v>
      </c>
      <c r="AF61">
        <v>14.72222222222221</v>
      </c>
      <c r="AG61">
        <v>13.05556251278775</v>
      </c>
      <c r="AH61">
        <v>37.48560133654196</v>
      </c>
      <c r="AI61">
        <f>16.64496775619387*1</f>
        <v>0</v>
      </c>
      <c r="AJ61">
        <f>3.0611622450327993*1</f>
        <v>0</v>
      </c>
      <c r="AK61">
        <v>1</v>
      </c>
      <c r="AL61">
        <v>0</v>
      </c>
      <c r="AM61">
        <v>0</v>
      </c>
    </row>
    <row r="62" spans="1:39">
      <c r="A62" t="s">
        <v>177</v>
      </c>
      <c r="B62" t="s">
        <v>178</v>
      </c>
      <c r="C62" t="s">
        <v>178</v>
      </c>
      <c r="D62" t="s">
        <v>4</v>
      </c>
      <c r="E62">
        <v>0</v>
      </c>
      <c r="F62">
        <v>1</v>
      </c>
      <c r="G62">
        <v>0</v>
      </c>
      <c r="H62">
        <v>0</v>
      </c>
      <c r="I62" t="s">
        <v>18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4.7</v>
      </c>
      <c r="AE62">
        <v>248</v>
      </c>
      <c r="AF62">
        <v>17.5</v>
      </c>
      <c r="AG62">
        <v>16.04879656268674</v>
      </c>
      <c r="AH62">
        <v>21.41170550323717</v>
      </c>
      <c r="AI62">
        <f>26.079318531024967*1</f>
        <v>0</v>
      </c>
      <c r="AJ62">
        <f>5.271606058519716*1</f>
        <v>0</v>
      </c>
      <c r="AK62">
        <v>1</v>
      </c>
      <c r="AL62">
        <v>0</v>
      </c>
      <c r="AM62">
        <v>0</v>
      </c>
    </row>
    <row r="63" spans="1:39">
      <c r="A63" t="s">
        <v>179</v>
      </c>
      <c r="B63" t="s">
        <v>180</v>
      </c>
      <c r="C63" t="s">
        <v>181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18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5.8</v>
      </c>
      <c r="AE63">
        <v>255</v>
      </c>
      <c r="AF63">
        <v>23.3824224070539</v>
      </c>
      <c r="AG63">
        <v>12.21371278691677</v>
      </c>
      <c r="AH63">
        <v>20.02178425734812</v>
      </c>
      <c r="AI63">
        <f>21.807241917936977*1</f>
        <v>0</v>
      </c>
      <c r="AJ63">
        <f>3.531587502281081*1</f>
        <v>0</v>
      </c>
      <c r="AK63">
        <v>1</v>
      </c>
      <c r="AL63">
        <v>1</v>
      </c>
      <c r="AM63">
        <v>1</v>
      </c>
    </row>
    <row r="64" spans="1:39">
      <c r="A64" t="s">
        <v>182</v>
      </c>
      <c r="B64" t="s">
        <v>183</v>
      </c>
      <c r="C64" t="s">
        <v>183</v>
      </c>
      <c r="D64" t="s">
        <v>4</v>
      </c>
      <c r="E64">
        <v>0</v>
      </c>
      <c r="F64">
        <v>1</v>
      </c>
      <c r="G64">
        <v>0</v>
      </c>
      <c r="H64">
        <v>0</v>
      </c>
      <c r="I64" t="s">
        <v>18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4.5</v>
      </c>
      <c r="AE64">
        <v>260</v>
      </c>
      <c r="AF64">
        <v>0</v>
      </c>
      <c r="AG64">
        <v>0</v>
      </c>
      <c r="AH64">
        <v>0</v>
      </c>
      <c r="AI64">
        <f>0.0*1</f>
        <v>0</v>
      </c>
      <c r="AJ64">
        <f>0.0*1</f>
        <v>0</v>
      </c>
      <c r="AK64">
        <v>1</v>
      </c>
      <c r="AL64">
        <v>0</v>
      </c>
      <c r="AM64">
        <v>0</v>
      </c>
    </row>
    <row r="65" spans="1:39">
      <c r="A65" t="s">
        <v>184</v>
      </c>
      <c r="B65" t="s">
        <v>185</v>
      </c>
      <c r="C65" t="s">
        <v>186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19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5.1</v>
      </c>
      <c r="AE65">
        <v>264</v>
      </c>
      <c r="AF65">
        <v>15.54404145077722</v>
      </c>
      <c r="AG65">
        <v>16.63326987538386</v>
      </c>
      <c r="AH65">
        <v>12.53880913346045</v>
      </c>
      <c r="AI65">
        <f>11.333900150548368*1</f>
        <v>0</v>
      </c>
      <c r="AJ65">
        <f>2.3150971768700845*1</f>
        <v>0</v>
      </c>
      <c r="AK65">
        <v>1</v>
      </c>
      <c r="AL65">
        <v>0</v>
      </c>
      <c r="AM65">
        <v>0</v>
      </c>
    </row>
    <row r="66" spans="1:39">
      <c r="A66" t="s">
        <v>187</v>
      </c>
      <c r="B66" t="s">
        <v>188</v>
      </c>
      <c r="C66" t="s">
        <v>188</v>
      </c>
      <c r="D66" t="s">
        <v>6</v>
      </c>
      <c r="E66">
        <v>0</v>
      </c>
      <c r="F66">
        <v>0</v>
      </c>
      <c r="G66">
        <v>0</v>
      </c>
      <c r="H66">
        <v>1</v>
      </c>
      <c r="I66" t="s">
        <v>19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5.4</v>
      </c>
      <c r="AE66">
        <v>267</v>
      </c>
      <c r="AF66">
        <v>16.69263586997301</v>
      </c>
      <c r="AG66">
        <v>17.77625065800127</v>
      </c>
      <c r="AH66">
        <v>9.675166894392662</v>
      </c>
      <c r="AI66">
        <f>9.868948319201188*1</f>
        <v>0</v>
      </c>
      <c r="AJ66">
        <f>1.7118750537519527*1</f>
        <v>0</v>
      </c>
      <c r="AK66">
        <v>1</v>
      </c>
      <c r="AL66">
        <v>0</v>
      </c>
      <c r="AM66">
        <v>0</v>
      </c>
    </row>
    <row r="67" spans="1:39">
      <c r="A67" t="s">
        <v>189</v>
      </c>
      <c r="B67" t="s">
        <v>190</v>
      </c>
      <c r="C67" t="s">
        <v>191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19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4.8</v>
      </c>
      <c r="AE67">
        <v>269</v>
      </c>
      <c r="AF67">
        <v>11.58098548828682</v>
      </c>
      <c r="AG67">
        <v>9.037008313153539</v>
      </c>
      <c r="AH67">
        <v>12.31646769981405</v>
      </c>
      <c r="AI67">
        <f>8.84790446194109*1</f>
        <v>0</v>
      </c>
      <c r="AJ67">
        <f>1.7683533423642612*1</f>
        <v>0</v>
      </c>
      <c r="AK67">
        <v>1</v>
      </c>
      <c r="AL67">
        <v>0</v>
      </c>
      <c r="AM67">
        <v>0</v>
      </c>
    </row>
    <row r="68" spans="1:39">
      <c r="A68" t="s">
        <v>192</v>
      </c>
      <c r="B68" t="s">
        <v>193</v>
      </c>
      <c r="C68" t="s">
        <v>193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19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5.2</v>
      </c>
      <c r="AE68">
        <v>271</v>
      </c>
      <c r="AF68">
        <v>18.00000000000001</v>
      </c>
      <c r="AG68">
        <v>15.76582603359522</v>
      </c>
      <c r="AH68">
        <v>12.39878814759639</v>
      </c>
      <c r="AI68">
        <f>7.649115914516075*1</f>
        <v>0</v>
      </c>
      <c r="AJ68">
        <f>1.4622650716936976*1</f>
        <v>0</v>
      </c>
      <c r="AK68">
        <v>1</v>
      </c>
      <c r="AL68">
        <v>0</v>
      </c>
      <c r="AM68">
        <v>0</v>
      </c>
    </row>
    <row r="69" spans="1:39">
      <c r="A69" t="s">
        <v>194</v>
      </c>
      <c r="B69" t="s">
        <v>195</v>
      </c>
      <c r="C69" t="s">
        <v>195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19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5.2</v>
      </c>
      <c r="AE69">
        <v>277</v>
      </c>
      <c r="AF69">
        <v>16.41188634161401</v>
      </c>
      <c r="AG69">
        <v>15.02921413775199</v>
      </c>
      <c r="AH69">
        <v>22.03627008405532</v>
      </c>
      <c r="AI69">
        <f>13.932877570992622*1</f>
        <v>0</v>
      </c>
      <c r="AJ69">
        <f>2.738233592069902*1</f>
        <v>0</v>
      </c>
      <c r="AK69">
        <v>1</v>
      </c>
      <c r="AL69">
        <v>0</v>
      </c>
      <c r="AM69">
        <v>0</v>
      </c>
    </row>
    <row r="70" spans="1:39">
      <c r="A70" t="s">
        <v>196</v>
      </c>
      <c r="B70" t="s">
        <v>197</v>
      </c>
      <c r="C70" t="s">
        <v>197</v>
      </c>
      <c r="D70" t="s">
        <v>4</v>
      </c>
      <c r="E70">
        <v>0</v>
      </c>
      <c r="F70">
        <v>1</v>
      </c>
      <c r="G70">
        <v>0</v>
      </c>
      <c r="H70">
        <v>0</v>
      </c>
      <c r="I70" t="s">
        <v>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4.3</v>
      </c>
      <c r="AE70">
        <v>278</v>
      </c>
      <c r="AF70">
        <v>17.2112273188402</v>
      </c>
      <c r="AG70">
        <v>14.93071722568402</v>
      </c>
      <c r="AH70">
        <v>19.3384387955954</v>
      </c>
      <c r="AI70">
        <f>15.690545055339209*1</f>
        <v>0</v>
      </c>
      <c r="AJ70">
        <f>3.131752287752726*1</f>
        <v>0</v>
      </c>
      <c r="AK70">
        <v>1</v>
      </c>
      <c r="AL70">
        <v>1</v>
      </c>
      <c r="AM70">
        <v>1</v>
      </c>
    </row>
    <row r="71" spans="1:39">
      <c r="A71" t="s">
        <v>198</v>
      </c>
      <c r="B71" t="s">
        <v>199</v>
      </c>
      <c r="C71" t="s">
        <v>199</v>
      </c>
      <c r="D71" t="s">
        <v>6</v>
      </c>
      <c r="E71">
        <v>0</v>
      </c>
      <c r="F71">
        <v>0</v>
      </c>
      <c r="G71">
        <v>0</v>
      </c>
      <c r="H71">
        <v>1</v>
      </c>
      <c r="I71" t="s">
        <v>19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5.4</v>
      </c>
      <c r="AE71">
        <v>279</v>
      </c>
      <c r="AF71">
        <v>0</v>
      </c>
      <c r="AG71">
        <v>0</v>
      </c>
      <c r="AH71">
        <v>0</v>
      </c>
      <c r="AI71">
        <f>0.0*1</f>
        <v>0</v>
      </c>
      <c r="AJ71">
        <f>0.0*1</f>
        <v>0</v>
      </c>
      <c r="AK71">
        <v>1</v>
      </c>
      <c r="AL71">
        <v>0</v>
      </c>
      <c r="AM71">
        <v>0</v>
      </c>
    </row>
    <row r="72" spans="1:39">
      <c r="A72" t="s">
        <v>200</v>
      </c>
      <c r="B72" t="s">
        <v>201</v>
      </c>
      <c r="C72" t="s">
        <v>201</v>
      </c>
      <c r="D72" t="s">
        <v>3</v>
      </c>
      <c r="E72">
        <v>1</v>
      </c>
      <c r="F72">
        <v>0</v>
      </c>
      <c r="G72">
        <v>0</v>
      </c>
      <c r="H72">
        <v>0</v>
      </c>
      <c r="I72" t="s">
        <v>19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4.9</v>
      </c>
      <c r="AE72">
        <v>281</v>
      </c>
      <c r="AF72">
        <v>18.45132743362831</v>
      </c>
      <c r="AG72">
        <v>19.01991078662022</v>
      </c>
      <c r="AH72">
        <v>33.90088566741023</v>
      </c>
      <c r="AI72">
        <f>16.22488913344029*1</f>
        <v>0</v>
      </c>
      <c r="AJ72">
        <f>3.3582057972396546*1</f>
        <v>0</v>
      </c>
      <c r="AK72">
        <v>1</v>
      </c>
      <c r="AL72">
        <v>1</v>
      </c>
      <c r="AM72">
        <v>1</v>
      </c>
    </row>
    <row r="73" spans="1:39">
      <c r="A73" t="s">
        <v>202</v>
      </c>
      <c r="B73" t="s">
        <v>203</v>
      </c>
      <c r="C73" t="s">
        <v>203</v>
      </c>
      <c r="D73" t="s">
        <v>4</v>
      </c>
      <c r="E73">
        <v>0</v>
      </c>
      <c r="F73">
        <v>1</v>
      </c>
      <c r="G73">
        <v>0</v>
      </c>
      <c r="H73">
        <v>0</v>
      </c>
      <c r="I73" t="s">
        <v>19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4.8</v>
      </c>
      <c r="AE73">
        <v>282</v>
      </c>
      <c r="AF73">
        <v>14.32106902325494</v>
      </c>
      <c r="AG73">
        <v>14.3344908615509</v>
      </c>
      <c r="AH73">
        <v>20.58913052536774</v>
      </c>
      <c r="AI73">
        <f>13.870516875470617*1</f>
        <v>0</v>
      </c>
      <c r="AJ73">
        <f>2.6727097640176534*1</f>
        <v>0</v>
      </c>
      <c r="AK73">
        <v>1</v>
      </c>
      <c r="AL73">
        <v>1</v>
      </c>
      <c r="AM73">
        <v>1</v>
      </c>
    </row>
    <row r="74" spans="1:39">
      <c r="A74" t="s">
        <v>204</v>
      </c>
      <c r="B74" t="s">
        <v>205</v>
      </c>
      <c r="C74" t="s">
        <v>205</v>
      </c>
      <c r="D74" t="s">
        <v>4</v>
      </c>
      <c r="E74">
        <v>0</v>
      </c>
      <c r="F74">
        <v>1</v>
      </c>
      <c r="G74">
        <v>0</v>
      </c>
      <c r="H74">
        <v>0</v>
      </c>
      <c r="I74" t="s">
        <v>19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4.7</v>
      </c>
      <c r="AE74">
        <v>284</v>
      </c>
      <c r="AF74">
        <v>13.22222222222222</v>
      </c>
      <c r="AG74">
        <v>11.55234589989607</v>
      </c>
      <c r="AH74">
        <v>51.09124317208668</v>
      </c>
      <c r="AI74">
        <f>21.369829744494098*1</f>
        <v>0</v>
      </c>
      <c r="AJ74">
        <f>4.4322184575429775*1</f>
        <v>0</v>
      </c>
      <c r="AK74">
        <v>1</v>
      </c>
      <c r="AL74">
        <v>0</v>
      </c>
      <c r="AM74">
        <v>0</v>
      </c>
    </row>
    <row r="75" spans="1:39">
      <c r="A75" t="s">
        <v>206</v>
      </c>
      <c r="B75" t="s">
        <v>207</v>
      </c>
      <c r="C75" t="s">
        <v>207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19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</v>
      </c>
      <c r="AE75">
        <v>291</v>
      </c>
      <c r="AF75">
        <v>9.750000000000004</v>
      </c>
      <c r="AG75">
        <v>7.886543250230302</v>
      </c>
      <c r="AH75">
        <v>9.658118709259579</v>
      </c>
      <c r="AI75">
        <f>8.424065461069418*1</f>
        <v>0</v>
      </c>
      <c r="AJ75">
        <f>1.6566790532062936*1</f>
        <v>0</v>
      </c>
      <c r="AK75">
        <v>1</v>
      </c>
      <c r="AL75">
        <v>0</v>
      </c>
      <c r="AM75">
        <v>0</v>
      </c>
    </row>
    <row r="76" spans="1:39">
      <c r="A76" t="s">
        <v>208</v>
      </c>
      <c r="B76" t="s">
        <v>209</v>
      </c>
      <c r="C76" t="s">
        <v>208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20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</v>
      </c>
      <c r="AE76">
        <v>297</v>
      </c>
      <c r="AF76">
        <v>17.1764705882353</v>
      </c>
      <c r="AG76">
        <v>18.24460694030275</v>
      </c>
      <c r="AH76">
        <v>12.625</v>
      </c>
      <c r="AI76">
        <f>8.744662786192533*1</f>
        <v>0</v>
      </c>
      <c r="AJ76">
        <f>1.7320661392440477*1</f>
        <v>0</v>
      </c>
      <c r="AK76">
        <v>1</v>
      </c>
      <c r="AL76">
        <v>0</v>
      </c>
      <c r="AM76">
        <v>0</v>
      </c>
    </row>
    <row r="77" spans="1:39">
      <c r="A77" t="s">
        <v>210</v>
      </c>
      <c r="B77" t="s">
        <v>211</v>
      </c>
      <c r="C77" t="s">
        <v>211</v>
      </c>
      <c r="D77" t="s">
        <v>4</v>
      </c>
      <c r="E77">
        <v>0</v>
      </c>
      <c r="F77">
        <v>1</v>
      </c>
      <c r="G77">
        <v>0</v>
      </c>
      <c r="H77">
        <v>0</v>
      </c>
      <c r="I77" t="s">
        <v>20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4.5</v>
      </c>
      <c r="AE77">
        <v>298</v>
      </c>
      <c r="AF77">
        <v>10.58129800096672</v>
      </c>
      <c r="AG77">
        <v>9.21070460652696</v>
      </c>
      <c r="AH77">
        <v>12.20752257817716</v>
      </c>
      <c r="AI77">
        <f>9.414472530993862*1</f>
        <v>0</v>
      </c>
      <c r="AJ77">
        <f>1.6352279951293363*1</f>
        <v>0</v>
      </c>
      <c r="AK77">
        <v>1</v>
      </c>
      <c r="AL77">
        <v>0</v>
      </c>
      <c r="AM77">
        <v>0</v>
      </c>
    </row>
    <row r="78" spans="1:39">
      <c r="A78" t="s">
        <v>212</v>
      </c>
      <c r="B78" t="s">
        <v>213</v>
      </c>
      <c r="C78" t="s">
        <v>213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20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5.8</v>
      </c>
      <c r="AE78">
        <v>304</v>
      </c>
      <c r="AF78">
        <v>19.39138436318206</v>
      </c>
      <c r="AG78">
        <v>12.76465136322292</v>
      </c>
      <c r="AH78">
        <v>12.1699120435055</v>
      </c>
      <c r="AI78">
        <f>15.172930775862973*1</f>
        <v>0</v>
      </c>
      <c r="AJ78">
        <f>3.0584016848336883*1</f>
        <v>0</v>
      </c>
      <c r="AK78">
        <v>1</v>
      </c>
      <c r="AL78">
        <v>0</v>
      </c>
      <c r="AM78">
        <v>0</v>
      </c>
    </row>
    <row r="79" spans="1:39">
      <c r="A79" t="s">
        <v>214</v>
      </c>
      <c r="B79" t="s">
        <v>215</v>
      </c>
      <c r="C79" t="s">
        <v>215</v>
      </c>
      <c r="D79" t="s">
        <v>3</v>
      </c>
      <c r="E79">
        <v>1</v>
      </c>
      <c r="F79">
        <v>0</v>
      </c>
      <c r="G79">
        <v>0</v>
      </c>
      <c r="H79">
        <v>0</v>
      </c>
      <c r="I79" t="s">
        <v>20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</v>
      </c>
      <c r="AE79">
        <v>305</v>
      </c>
      <c r="AF79">
        <v>17.79419058278271</v>
      </c>
      <c r="AG79">
        <v>18.5685441977198</v>
      </c>
      <c r="AH79">
        <v>17.94159973052346</v>
      </c>
      <c r="AI79">
        <f>14.81430800440614*1</f>
        <v>0</v>
      </c>
      <c r="AJ79">
        <f>2.925215154281056*1</f>
        <v>0</v>
      </c>
      <c r="AK79">
        <v>1</v>
      </c>
      <c r="AL79">
        <v>0</v>
      </c>
      <c r="AM79">
        <v>0</v>
      </c>
    </row>
    <row r="80" spans="1:39">
      <c r="A80" t="s">
        <v>216</v>
      </c>
      <c r="B80" t="s">
        <v>217</v>
      </c>
      <c r="C80" t="s">
        <v>218</v>
      </c>
      <c r="D80" t="s">
        <v>6</v>
      </c>
      <c r="E80">
        <v>0</v>
      </c>
      <c r="F80">
        <v>0</v>
      </c>
      <c r="G80">
        <v>0</v>
      </c>
      <c r="H80">
        <v>1</v>
      </c>
      <c r="I80" t="s">
        <v>20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5.5</v>
      </c>
      <c r="AE80">
        <v>308</v>
      </c>
      <c r="AF80">
        <v>16.8496071347046</v>
      </c>
      <c r="AG80">
        <v>19.00585739040405</v>
      </c>
      <c r="AH80">
        <v>18.14549783549784</v>
      </c>
      <c r="AI80">
        <f>9.455211658657078*1</f>
        <v>0</v>
      </c>
      <c r="AJ80">
        <f>1.9830372548506787*1</f>
        <v>0</v>
      </c>
      <c r="AK80">
        <v>1</v>
      </c>
      <c r="AL80">
        <v>0</v>
      </c>
      <c r="AM80">
        <v>0</v>
      </c>
    </row>
    <row r="81" spans="1:39">
      <c r="A81" t="s">
        <v>219</v>
      </c>
      <c r="B81" t="s">
        <v>220</v>
      </c>
      <c r="C81" t="s">
        <v>219</v>
      </c>
      <c r="D81" t="s">
        <v>6</v>
      </c>
      <c r="E81">
        <v>0</v>
      </c>
      <c r="F81">
        <v>0</v>
      </c>
      <c r="G81">
        <v>0</v>
      </c>
      <c r="H81">
        <v>1</v>
      </c>
      <c r="I81" t="s">
        <v>20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5.5</v>
      </c>
      <c r="AE81">
        <v>309</v>
      </c>
      <c r="AF81">
        <v>17.5315506495661</v>
      </c>
      <c r="AG81">
        <v>19.81559915451992</v>
      </c>
      <c r="AH81">
        <v>5.427894833866969</v>
      </c>
      <c r="AI81">
        <f>6.1872136288293005*1</f>
        <v>0</v>
      </c>
      <c r="AJ81">
        <f>1.207705405705311*1</f>
        <v>0</v>
      </c>
      <c r="AK81">
        <v>1</v>
      </c>
      <c r="AL81">
        <v>0</v>
      </c>
      <c r="AM81">
        <v>0</v>
      </c>
    </row>
    <row r="82" spans="1:39">
      <c r="A82" t="s">
        <v>221</v>
      </c>
      <c r="B82" t="s">
        <v>222</v>
      </c>
      <c r="C82" t="s">
        <v>222</v>
      </c>
      <c r="D82" t="s">
        <v>4</v>
      </c>
      <c r="E82">
        <v>0</v>
      </c>
      <c r="F82">
        <v>1</v>
      </c>
      <c r="G82">
        <v>0</v>
      </c>
      <c r="H82">
        <v>0</v>
      </c>
      <c r="I82" t="s">
        <v>20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4.9</v>
      </c>
      <c r="AE82">
        <v>312</v>
      </c>
      <c r="AF82">
        <v>13.39130434782608</v>
      </c>
      <c r="AG82">
        <v>12.12511931782135</v>
      </c>
      <c r="AH82">
        <v>22.80465805588476</v>
      </c>
      <c r="AI82">
        <f>16.778071930787362*1</f>
        <v>0</v>
      </c>
      <c r="AJ82">
        <f>3.411501951609513*1</f>
        <v>0</v>
      </c>
      <c r="AK82">
        <v>1</v>
      </c>
      <c r="AL82">
        <v>0</v>
      </c>
      <c r="AM82">
        <v>0</v>
      </c>
    </row>
    <row r="83" spans="1:39">
      <c r="A83" t="s">
        <v>223</v>
      </c>
      <c r="B83" t="s">
        <v>224</v>
      </c>
      <c r="C83" t="s">
        <v>224</v>
      </c>
      <c r="D83" t="s">
        <v>4</v>
      </c>
      <c r="E83">
        <v>0</v>
      </c>
      <c r="F83">
        <v>1</v>
      </c>
      <c r="G83">
        <v>0</v>
      </c>
      <c r="H83">
        <v>0</v>
      </c>
      <c r="I83" t="s">
        <v>20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4.5</v>
      </c>
      <c r="AE83">
        <v>314</v>
      </c>
      <c r="AF83">
        <v>11.53737424753761</v>
      </c>
      <c r="AG83">
        <v>12.42960339540449</v>
      </c>
      <c r="AH83">
        <v>17.76206197468411</v>
      </c>
      <c r="AI83">
        <f>8.384528914148767*1</f>
        <v>0</v>
      </c>
      <c r="AJ83">
        <f>1.3999366068108765*1</f>
        <v>0</v>
      </c>
      <c r="AK83">
        <v>1</v>
      </c>
      <c r="AL83">
        <v>0</v>
      </c>
      <c r="AM83">
        <v>0</v>
      </c>
    </row>
    <row r="84" spans="1:39">
      <c r="A84" t="s">
        <v>225</v>
      </c>
      <c r="B84" t="s">
        <v>226</v>
      </c>
      <c r="C84" t="s">
        <v>226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20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5.2</v>
      </c>
      <c r="AE84">
        <v>316</v>
      </c>
      <c r="AF84">
        <v>13.3644859813084</v>
      </c>
      <c r="AG84">
        <v>13.30515134983723</v>
      </c>
      <c r="AH84">
        <v>15.28181880556505</v>
      </c>
      <c r="AI84">
        <f>18.65159316403299*1</f>
        <v>0</v>
      </c>
      <c r="AJ84">
        <f>3.783279664864962*1</f>
        <v>0</v>
      </c>
      <c r="AK84">
        <v>1</v>
      </c>
      <c r="AL84">
        <v>0</v>
      </c>
      <c r="AM84">
        <v>0</v>
      </c>
    </row>
    <row r="85" spans="1:39">
      <c r="A85" t="s">
        <v>227</v>
      </c>
      <c r="B85" t="s">
        <v>228</v>
      </c>
      <c r="C85" t="s">
        <v>228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21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5.1</v>
      </c>
      <c r="AE85">
        <v>328</v>
      </c>
      <c r="AF85">
        <v>0</v>
      </c>
      <c r="AG85">
        <v>0</v>
      </c>
      <c r="AH85">
        <v>0</v>
      </c>
      <c r="AI85">
        <f>0.0*1</f>
        <v>0</v>
      </c>
      <c r="AJ85">
        <f>0.0*1</f>
        <v>0</v>
      </c>
      <c r="AK85">
        <v>1</v>
      </c>
      <c r="AL85">
        <v>0</v>
      </c>
      <c r="AM85">
        <v>0</v>
      </c>
    </row>
    <row r="86" spans="1:39">
      <c r="A86" t="s">
        <v>229</v>
      </c>
      <c r="B86" t="s">
        <v>230</v>
      </c>
      <c r="C86" t="s">
        <v>230</v>
      </c>
      <c r="D86" t="s">
        <v>3</v>
      </c>
      <c r="E86">
        <v>1</v>
      </c>
      <c r="F86">
        <v>0</v>
      </c>
      <c r="G86">
        <v>0</v>
      </c>
      <c r="H86">
        <v>0</v>
      </c>
      <c r="I86" t="s">
        <v>21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4.4</v>
      </c>
      <c r="AE86">
        <v>349</v>
      </c>
      <c r="AF86">
        <v>17.06243381122862</v>
      </c>
      <c r="AG86">
        <v>35.5021412688123</v>
      </c>
      <c r="AH86">
        <v>13.44318767002978</v>
      </c>
      <c r="AI86">
        <f>10.63172298495603*1</f>
        <v>0</v>
      </c>
      <c r="AJ86">
        <f>1.739712040883674*1</f>
        <v>0</v>
      </c>
      <c r="AK86">
        <v>1</v>
      </c>
      <c r="AL86">
        <v>0</v>
      </c>
      <c r="AM86">
        <v>0</v>
      </c>
    </row>
    <row r="87" spans="1:39">
      <c r="A87" t="s">
        <v>231</v>
      </c>
      <c r="B87" t="s">
        <v>232</v>
      </c>
      <c r="C87" t="s">
        <v>232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21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5.8</v>
      </c>
      <c r="AE87">
        <v>351</v>
      </c>
      <c r="AF87">
        <v>0</v>
      </c>
      <c r="AG87">
        <v>0</v>
      </c>
      <c r="AH87">
        <v>0</v>
      </c>
      <c r="AI87">
        <f>0.0*1</f>
        <v>0</v>
      </c>
      <c r="AJ87">
        <f>0.0*1</f>
        <v>0</v>
      </c>
      <c r="AK87">
        <v>1</v>
      </c>
      <c r="AL87">
        <v>0</v>
      </c>
      <c r="AM87">
        <v>0</v>
      </c>
    </row>
    <row r="88" spans="1:39">
      <c r="A88" t="s">
        <v>233</v>
      </c>
      <c r="B88" t="s">
        <v>234</v>
      </c>
      <c r="C88" t="s">
        <v>234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4.9</v>
      </c>
      <c r="AE88">
        <v>356</v>
      </c>
      <c r="AF88">
        <v>12.84313725490195</v>
      </c>
      <c r="AG88">
        <v>11.58367793869876</v>
      </c>
      <c r="AH88">
        <v>6.904734432234432</v>
      </c>
      <c r="AI88">
        <f>7.524568368596267*1</f>
        <v>0</v>
      </c>
      <c r="AJ88">
        <f>1.476949932221936*1</f>
        <v>0</v>
      </c>
      <c r="AK88">
        <v>1</v>
      </c>
      <c r="AL88">
        <v>0</v>
      </c>
      <c r="AM88">
        <v>0</v>
      </c>
    </row>
    <row r="89" spans="1:39">
      <c r="A89" t="s">
        <v>200</v>
      </c>
      <c r="B89" t="s">
        <v>235</v>
      </c>
      <c r="C89" t="s">
        <v>236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22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5.2</v>
      </c>
      <c r="AE89">
        <v>357</v>
      </c>
      <c r="AF89">
        <v>13.97560975609757</v>
      </c>
      <c r="AG89">
        <v>13.44949096329026</v>
      </c>
      <c r="AH89">
        <v>15.02301883622701</v>
      </c>
      <c r="AI89">
        <f>12.031223021661827*1</f>
        <v>0</v>
      </c>
      <c r="AJ89">
        <f>2.4184977791402247*1</f>
        <v>0</v>
      </c>
      <c r="AK89">
        <v>1</v>
      </c>
      <c r="AL89">
        <v>0</v>
      </c>
      <c r="AM89">
        <v>0</v>
      </c>
    </row>
    <row r="90" spans="1:39">
      <c r="A90" t="s">
        <v>237</v>
      </c>
      <c r="B90" t="s">
        <v>238</v>
      </c>
      <c r="C90" t="s">
        <v>238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22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5.2</v>
      </c>
      <c r="AE90">
        <v>364</v>
      </c>
      <c r="AF90">
        <v>15.08565751459844</v>
      </c>
      <c r="AG90">
        <v>16.9579884237113</v>
      </c>
      <c r="AH90">
        <v>6.001924081594361</v>
      </c>
      <c r="AI90">
        <f>10.455520310937843*1</f>
        <v>0</v>
      </c>
      <c r="AJ90">
        <f>2.248952335758315*1</f>
        <v>0</v>
      </c>
      <c r="AK90">
        <v>1</v>
      </c>
      <c r="AL90">
        <v>0</v>
      </c>
      <c r="AM90">
        <v>0</v>
      </c>
    </row>
    <row r="91" spans="1:39">
      <c r="A91" t="s">
        <v>239</v>
      </c>
      <c r="B91" t="s">
        <v>240</v>
      </c>
      <c r="C91" t="s">
        <v>240</v>
      </c>
      <c r="D91" t="s">
        <v>3</v>
      </c>
      <c r="E91">
        <v>1</v>
      </c>
      <c r="F91">
        <v>0</v>
      </c>
      <c r="G91">
        <v>0</v>
      </c>
      <c r="H91">
        <v>0</v>
      </c>
      <c r="I91" t="s">
        <v>22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4.5</v>
      </c>
      <c r="AE91">
        <v>367</v>
      </c>
      <c r="AF91">
        <v>0</v>
      </c>
      <c r="AG91">
        <v>0</v>
      </c>
      <c r="AH91">
        <v>0</v>
      </c>
      <c r="AI91">
        <f>0.0*1</f>
        <v>0</v>
      </c>
      <c r="AJ91">
        <f>0.0*1</f>
        <v>0</v>
      </c>
      <c r="AK91">
        <v>1</v>
      </c>
      <c r="AL91">
        <v>0</v>
      </c>
      <c r="AM91">
        <v>0</v>
      </c>
    </row>
    <row r="92" spans="1:39">
      <c r="A92" t="s">
        <v>241</v>
      </c>
      <c r="B92" t="s">
        <v>242</v>
      </c>
      <c r="C92" t="s">
        <v>242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5.1</v>
      </c>
      <c r="AE92">
        <v>372</v>
      </c>
      <c r="AF92">
        <v>0</v>
      </c>
      <c r="AG92">
        <v>0</v>
      </c>
      <c r="AH92">
        <v>0</v>
      </c>
      <c r="AI92">
        <f>0.0*1</f>
        <v>0</v>
      </c>
      <c r="AJ92">
        <f>0.0*1</f>
        <v>0</v>
      </c>
      <c r="AK92">
        <v>1</v>
      </c>
      <c r="AL92">
        <v>0</v>
      </c>
      <c r="AM92">
        <v>0</v>
      </c>
    </row>
    <row r="93" spans="1:39">
      <c r="A93" t="s">
        <v>243</v>
      </c>
      <c r="B93" t="s">
        <v>244</v>
      </c>
      <c r="C93" t="s">
        <v>244</v>
      </c>
      <c r="D93" t="s">
        <v>6</v>
      </c>
      <c r="E93">
        <v>0</v>
      </c>
      <c r="F93">
        <v>0</v>
      </c>
      <c r="G93">
        <v>0</v>
      </c>
      <c r="H93">
        <v>1</v>
      </c>
      <c r="I93" t="s">
        <v>22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5.6</v>
      </c>
      <c r="AE93">
        <v>380</v>
      </c>
      <c r="AF93">
        <v>18.2387402753684</v>
      </c>
      <c r="AG93">
        <v>24.01334481569453</v>
      </c>
      <c r="AH93">
        <v>15.50675769539752</v>
      </c>
      <c r="AI93">
        <f>20.592949572882816*0.75</f>
        <v>0</v>
      </c>
      <c r="AJ93">
        <f>3.845134903950492*0.75</f>
        <v>0</v>
      </c>
      <c r="AK93">
        <v>0.75</v>
      </c>
      <c r="AL93">
        <v>0</v>
      </c>
      <c r="AM93">
        <v>0</v>
      </c>
    </row>
    <row r="94" spans="1:39">
      <c r="A94" t="s">
        <v>245</v>
      </c>
      <c r="B94" t="s">
        <v>246</v>
      </c>
      <c r="C94" t="s">
        <v>246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4.8</v>
      </c>
      <c r="AE94">
        <v>388</v>
      </c>
      <c r="AF94">
        <v>0</v>
      </c>
      <c r="AG94">
        <v>0</v>
      </c>
      <c r="AH94">
        <v>0</v>
      </c>
      <c r="AI94">
        <f>0.0*1</f>
        <v>0</v>
      </c>
      <c r="AJ94">
        <f>0.0*1</f>
        <v>0</v>
      </c>
      <c r="AK94">
        <v>1</v>
      </c>
      <c r="AL94">
        <v>0</v>
      </c>
      <c r="AM94">
        <v>0</v>
      </c>
    </row>
    <row r="95" spans="1:39">
      <c r="A95" t="s">
        <v>247</v>
      </c>
      <c r="B95" t="s">
        <v>248</v>
      </c>
      <c r="C95" t="s">
        <v>248</v>
      </c>
      <c r="D95" t="s">
        <v>4</v>
      </c>
      <c r="E95">
        <v>0</v>
      </c>
      <c r="F95">
        <v>1</v>
      </c>
      <c r="G95">
        <v>0</v>
      </c>
      <c r="H95">
        <v>0</v>
      </c>
      <c r="I95" t="s">
        <v>23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7.1</v>
      </c>
      <c r="AE95">
        <v>391</v>
      </c>
      <c r="AF95">
        <v>25.04738777612994</v>
      </c>
      <c r="AG95">
        <v>28.96068419437601</v>
      </c>
      <c r="AH95">
        <v>20.97813656893903</v>
      </c>
      <c r="AI95">
        <f>10.547946790821*1</f>
        <v>0</v>
      </c>
      <c r="AJ95">
        <f>1.868471090490341*1</f>
        <v>0</v>
      </c>
      <c r="AK95">
        <v>1</v>
      </c>
      <c r="AL95">
        <v>0</v>
      </c>
      <c r="AM95">
        <v>0</v>
      </c>
    </row>
    <row r="96" spans="1:39">
      <c r="A96" t="s">
        <v>249</v>
      </c>
      <c r="B96" t="s">
        <v>250</v>
      </c>
      <c r="C96" t="s">
        <v>250</v>
      </c>
      <c r="D96" t="s">
        <v>6</v>
      </c>
      <c r="E96">
        <v>0</v>
      </c>
      <c r="F96">
        <v>0</v>
      </c>
      <c r="G96">
        <v>0</v>
      </c>
      <c r="H96">
        <v>1</v>
      </c>
      <c r="I96" t="s">
        <v>23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7.2</v>
      </c>
      <c r="AE96">
        <v>400</v>
      </c>
      <c r="AF96">
        <v>14.98914864905802</v>
      </c>
      <c r="AG96">
        <v>15.4388372518615</v>
      </c>
      <c r="AH96">
        <v>37.28571141502176</v>
      </c>
      <c r="AI96">
        <f>22.411473479371296*1</f>
        <v>0</v>
      </c>
      <c r="AJ96">
        <f>3.615258299310571*1</f>
        <v>0</v>
      </c>
      <c r="AK96">
        <v>1</v>
      </c>
      <c r="AL96">
        <v>0</v>
      </c>
      <c r="AM96">
        <v>0</v>
      </c>
    </row>
    <row r="97" spans="1:39">
      <c r="A97" t="s">
        <v>251</v>
      </c>
      <c r="B97" t="s">
        <v>252</v>
      </c>
      <c r="C97" t="s">
        <v>252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23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5.3</v>
      </c>
      <c r="AE97">
        <v>403</v>
      </c>
      <c r="AF97">
        <v>11.64948453608247</v>
      </c>
      <c r="AG97">
        <v>9.633496784160101</v>
      </c>
      <c r="AH97">
        <v>21.36101519825204</v>
      </c>
      <c r="AI97">
        <f>3.5839426015699676*1</f>
        <v>0</v>
      </c>
      <c r="AJ97">
        <f>0.8446215282699555*1</f>
        <v>0</v>
      </c>
      <c r="AK97">
        <v>1</v>
      </c>
      <c r="AL97">
        <v>0</v>
      </c>
      <c r="AM97">
        <v>0</v>
      </c>
    </row>
    <row r="98" spans="1:39">
      <c r="A98" t="s">
        <v>253</v>
      </c>
      <c r="B98" t="s">
        <v>254</v>
      </c>
      <c r="C98" t="s">
        <v>255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23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7.5</v>
      </c>
      <c r="AE98">
        <v>406</v>
      </c>
      <c r="AF98">
        <v>20.12987012987012</v>
      </c>
      <c r="AG98">
        <v>12.96051328425613</v>
      </c>
      <c r="AH98">
        <v>24.50521553065671</v>
      </c>
      <c r="AI98">
        <f>10.668618751020905*1</f>
        <v>0</v>
      </c>
      <c r="AJ98">
        <f>2.1041524402701253*1</f>
        <v>0</v>
      </c>
      <c r="AK98">
        <v>1</v>
      </c>
      <c r="AL98">
        <v>0</v>
      </c>
      <c r="AM98">
        <v>0</v>
      </c>
    </row>
    <row r="99" spans="1:39">
      <c r="A99" t="s">
        <v>256</v>
      </c>
      <c r="B99" t="s">
        <v>257</v>
      </c>
      <c r="C99" t="s">
        <v>258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23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13.5</v>
      </c>
      <c r="AE99">
        <v>407</v>
      </c>
      <c r="AF99">
        <v>37.04613286670129</v>
      </c>
      <c r="AG99">
        <v>35.8815372649797</v>
      </c>
      <c r="AH99">
        <v>56.44827387648084</v>
      </c>
      <c r="AI99">
        <f>46.02484297913346*1</f>
        <v>0</v>
      </c>
      <c r="AJ99">
        <f>8.539404998803208*1</f>
        <v>0</v>
      </c>
      <c r="AK99">
        <v>1</v>
      </c>
      <c r="AL99">
        <v>1</v>
      </c>
      <c r="AM99">
        <v>1</v>
      </c>
    </row>
    <row r="100" spans="1:39">
      <c r="A100" t="s">
        <v>259</v>
      </c>
      <c r="B100" t="s">
        <v>260</v>
      </c>
      <c r="C100" t="s">
        <v>260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23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6.2</v>
      </c>
      <c r="AE100">
        <v>408</v>
      </c>
      <c r="AF100">
        <v>15.70808821869037</v>
      </c>
      <c r="AG100">
        <v>15.63592130682317</v>
      </c>
      <c r="AH100">
        <v>23.01321851076838</v>
      </c>
      <c r="AI100">
        <f>14.75885174047167*1</f>
        <v>0</v>
      </c>
      <c r="AJ100">
        <f>3.173413338269521*1</f>
        <v>0</v>
      </c>
      <c r="AK100">
        <v>1</v>
      </c>
      <c r="AL100">
        <v>0</v>
      </c>
      <c r="AM100">
        <v>0</v>
      </c>
    </row>
    <row r="101" spans="1:39">
      <c r="A101" t="s">
        <v>261</v>
      </c>
      <c r="B101" t="s">
        <v>262</v>
      </c>
      <c r="C101" t="s">
        <v>262</v>
      </c>
      <c r="D101" t="s">
        <v>5</v>
      </c>
      <c r="E101">
        <v>0</v>
      </c>
      <c r="F101">
        <v>0</v>
      </c>
      <c r="G101">
        <v>1</v>
      </c>
      <c r="H101">
        <v>0</v>
      </c>
      <c r="I101" t="s">
        <v>23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6.3</v>
      </c>
      <c r="AE101">
        <v>415</v>
      </c>
      <c r="AF101">
        <v>16.12244897959184</v>
      </c>
      <c r="AG101">
        <v>12.06187303272525</v>
      </c>
      <c r="AH101">
        <v>36.26172671996945</v>
      </c>
      <c r="AI101">
        <f>17.119417237072327*1</f>
        <v>0</v>
      </c>
      <c r="AJ101">
        <f>3.3238294264136137*1</f>
        <v>0</v>
      </c>
      <c r="AK101">
        <v>1</v>
      </c>
      <c r="AL101">
        <v>0</v>
      </c>
      <c r="AM101">
        <v>0</v>
      </c>
    </row>
    <row r="102" spans="1:39">
      <c r="A102" t="s">
        <v>263</v>
      </c>
      <c r="B102" t="s">
        <v>264</v>
      </c>
      <c r="C102" t="s">
        <v>263</v>
      </c>
      <c r="D102" t="s">
        <v>4</v>
      </c>
      <c r="E102">
        <v>0</v>
      </c>
      <c r="F102">
        <v>1</v>
      </c>
      <c r="G102">
        <v>0</v>
      </c>
      <c r="H102">
        <v>0</v>
      </c>
      <c r="I102" t="s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6.5</v>
      </c>
      <c r="AE102">
        <v>417</v>
      </c>
      <c r="AF102">
        <v>19.88848445552147</v>
      </c>
      <c r="AG102">
        <v>22.11914164806773</v>
      </c>
      <c r="AH102">
        <v>8.408390235573499</v>
      </c>
      <c r="AI102">
        <f>11.029088116036352*1</f>
        <v>0</v>
      </c>
      <c r="AJ102">
        <f>1.8726239832456972*1</f>
        <v>0</v>
      </c>
      <c r="AK102">
        <v>1</v>
      </c>
      <c r="AL102">
        <v>0</v>
      </c>
      <c r="AM102">
        <v>0</v>
      </c>
    </row>
    <row r="103" spans="1:39">
      <c r="A103" t="s">
        <v>265</v>
      </c>
      <c r="B103" t="s">
        <v>266</v>
      </c>
      <c r="C103" t="s">
        <v>265</v>
      </c>
      <c r="D103" t="s">
        <v>5</v>
      </c>
      <c r="E103">
        <v>0</v>
      </c>
      <c r="F103">
        <v>0</v>
      </c>
      <c r="G103">
        <v>1</v>
      </c>
      <c r="H103">
        <v>0</v>
      </c>
      <c r="I103" t="s">
        <v>24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6.3</v>
      </c>
      <c r="AE103">
        <v>425</v>
      </c>
      <c r="AF103">
        <v>19.60429360838556</v>
      </c>
      <c r="AG103">
        <v>21.77616689012226</v>
      </c>
      <c r="AH103">
        <v>20.32453385918527</v>
      </c>
      <c r="AI103">
        <f>16.702862385115996*1</f>
        <v>0</v>
      </c>
      <c r="AJ103">
        <f>3.6243125111093706*1</f>
        <v>0</v>
      </c>
      <c r="AK103">
        <v>1</v>
      </c>
      <c r="AL103">
        <v>0</v>
      </c>
      <c r="AM103">
        <v>0</v>
      </c>
    </row>
    <row r="104" spans="1:39">
      <c r="A104" t="s">
        <v>267</v>
      </c>
      <c r="B104" t="s">
        <v>268</v>
      </c>
      <c r="C104" t="s">
        <v>268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6.2</v>
      </c>
      <c r="AE104">
        <v>429</v>
      </c>
      <c r="AF104">
        <v>17.19512195121952</v>
      </c>
      <c r="AG104">
        <v>20.34309561157998</v>
      </c>
      <c r="AH104">
        <v>13.63053938477759</v>
      </c>
      <c r="AI104">
        <f>19.62505954379508*1</f>
        <v>0</v>
      </c>
      <c r="AJ104">
        <f>3.249797164345578*1</f>
        <v>0</v>
      </c>
      <c r="AK104">
        <v>1</v>
      </c>
      <c r="AL104">
        <v>0</v>
      </c>
      <c r="AM104">
        <v>0</v>
      </c>
    </row>
    <row r="105" spans="1:39">
      <c r="A105" t="s">
        <v>269</v>
      </c>
      <c r="B105" t="s">
        <v>270</v>
      </c>
      <c r="C105" t="s">
        <v>271</v>
      </c>
      <c r="D105" t="s">
        <v>3</v>
      </c>
      <c r="E105">
        <v>1</v>
      </c>
      <c r="F105">
        <v>0</v>
      </c>
      <c r="G105">
        <v>0</v>
      </c>
      <c r="H105">
        <v>0</v>
      </c>
      <c r="I105" t="s">
        <v>24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5.3</v>
      </c>
      <c r="AE105">
        <v>430</v>
      </c>
      <c r="AF105">
        <v>16.04508962592748</v>
      </c>
      <c r="AG105">
        <v>19.2198329833334</v>
      </c>
      <c r="AH105">
        <v>4.583816738816739</v>
      </c>
      <c r="AI105">
        <f>5.478853610311307*1</f>
        <v>0</v>
      </c>
      <c r="AJ105">
        <f>1.0521144014162431*1</f>
        <v>0</v>
      </c>
      <c r="AK105">
        <v>1</v>
      </c>
      <c r="AL105">
        <v>0</v>
      </c>
      <c r="AM105">
        <v>0</v>
      </c>
    </row>
    <row r="106" spans="1:39">
      <c r="A106" t="s">
        <v>272</v>
      </c>
      <c r="B106" t="s">
        <v>273</v>
      </c>
      <c r="C106" t="s">
        <v>273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9.199999999999999</v>
      </c>
      <c r="AE106">
        <v>431</v>
      </c>
      <c r="AF106">
        <v>20.65399620312014</v>
      </c>
      <c r="AG106">
        <v>20.34307450889934</v>
      </c>
      <c r="AH106">
        <v>30.36486850849174</v>
      </c>
      <c r="AI106">
        <f>8.902080363175454*1</f>
        <v>0</v>
      </c>
      <c r="AJ106">
        <f>1.4283033311434912*1</f>
        <v>0</v>
      </c>
      <c r="AK106">
        <v>1</v>
      </c>
      <c r="AL106">
        <v>0</v>
      </c>
      <c r="AM106">
        <v>0</v>
      </c>
    </row>
    <row r="107" spans="1:39">
      <c r="A107" t="s">
        <v>274</v>
      </c>
      <c r="B107" t="s">
        <v>275</v>
      </c>
      <c r="C107" t="s">
        <v>275</v>
      </c>
      <c r="D107" t="s">
        <v>4</v>
      </c>
      <c r="E107">
        <v>0</v>
      </c>
      <c r="F107">
        <v>1</v>
      </c>
      <c r="G107">
        <v>0</v>
      </c>
      <c r="H107">
        <v>0</v>
      </c>
      <c r="I107" t="s">
        <v>24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6</v>
      </c>
      <c r="AE107">
        <v>433</v>
      </c>
      <c r="AF107">
        <v>19.09090909090909</v>
      </c>
      <c r="AG107">
        <v>16.51518770180641</v>
      </c>
      <c r="AH107">
        <v>15.59270728075039</v>
      </c>
      <c r="AI107">
        <f>9.17586730988069*1</f>
        <v>0</v>
      </c>
      <c r="AJ107">
        <f>1.6050558755105895*1</f>
        <v>0</v>
      </c>
      <c r="AK107">
        <v>1</v>
      </c>
      <c r="AL107">
        <v>0</v>
      </c>
      <c r="AM107">
        <v>0</v>
      </c>
    </row>
    <row r="108" spans="1:39">
      <c r="A108" t="s">
        <v>276</v>
      </c>
      <c r="B108" t="s">
        <v>277</v>
      </c>
      <c r="C108" t="s">
        <v>277</v>
      </c>
      <c r="D108" t="s">
        <v>6</v>
      </c>
      <c r="E108">
        <v>0</v>
      </c>
      <c r="F108">
        <v>0</v>
      </c>
      <c r="G108">
        <v>0</v>
      </c>
      <c r="H108">
        <v>1</v>
      </c>
      <c r="I108" t="s">
        <v>24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14.8</v>
      </c>
      <c r="AE108">
        <v>434</v>
      </c>
      <c r="AF108">
        <v>36.66666666666666</v>
      </c>
      <c r="AG108">
        <v>51.43075940118674</v>
      </c>
      <c r="AH108">
        <v>18.42800499107668</v>
      </c>
      <c r="AI108">
        <f>14.875543127932724*1</f>
        <v>0</v>
      </c>
      <c r="AJ108">
        <f>2.825709279916319*1</f>
        <v>0</v>
      </c>
      <c r="AK108">
        <v>1</v>
      </c>
      <c r="AL108">
        <v>0</v>
      </c>
      <c r="AM108">
        <v>0</v>
      </c>
    </row>
    <row r="109" spans="1:39">
      <c r="A109" t="s">
        <v>278</v>
      </c>
      <c r="B109" t="s">
        <v>279</v>
      </c>
      <c r="C109" t="s">
        <v>279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5.4</v>
      </c>
      <c r="AE109">
        <v>437</v>
      </c>
      <c r="AF109">
        <v>12.32558139534884</v>
      </c>
      <c r="AG109">
        <v>8.905456683210387</v>
      </c>
      <c r="AH109">
        <v>8.699999999999999</v>
      </c>
      <c r="AI109">
        <f>4.888252817236866*1</f>
        <v>0</v>
      </c>
      <c r="AJ109">
        <f>0.9255657896803771*1</f>
        <v>0</v>
      </c>
      <c r="AK109">
        <v>1</v>
      </c>
      <c r="AL109">
        <v>0</v>
      </c>
      <c r="AM109">
        <v>0</v>
      </c>
    </row>
    <row r="110" spans="1:39">
      <c r="A110" t="s">
        <v>280</v>
      </c>
      <c r="B110" t="s">
        <v>281</v>
      </c>
      <c r="C110" t="s">
        <v>280</v>
      </c>
      <c r="D110" t="s">
        <v>4</v>
      </c>
      <c r="E110">
        <v>0</v>
      </c>
      <c r="F110">
        <v>1</v>
      </c>
      <c r="G110">
        <v>0</v>
      </c>
      <c r="H110">
        <v>0</v>
      </c>
      <c r="I110" t="s">
        <v>24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5.4</v>
      </c>
      <c r="AE110">
        <v>443</v>
      </c>
      <c r="AF110">
        <v>14.30769230769231</v>
      </c>
      <c r="AG110">
        <v>19.30700555706541</v>
      </c>
      <c r="AH110">
        <v>9.201192525961433</v>
      </c>
      <c r="AI110">
        <f>9.53706228749984*1</f>
        <v>0</v>
      </c>
      <c r="AJ110">
        <f>2.162952056423107*1</f>
        <v>0</v>
      </c>
      <c r="AK110">
        <v>1</v>
      </c>
      <c r="AL110">
        <v>0</v>
      </c>
      <c r="AM110">
        <v>0</v>
      </c>
    </row>
    <row r="111" spans="1:39">
      <c r="A111" t="s">
        <v>282</v>
      </c>
      <c r="B111" t="s">
        <v>283</v>
      </c>
      <c r="C111" t="s">
        <v>282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25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5.4</v>
      </c>
      <c r="AE111">
        <v>456</v>
      </c>
      <c r="AF111">
        <v>20.56787499782505</v>
      </c>
      <c r="AG111">
        <v>16.77474829719582</v>
      </c>
      <c r="AH111">
        <v>32.05333333333333</v>
      </c>
      <c r="AI111">
        <f>29.47546225083341*1</f>
        <v>0</v>
      </c>
      <c r="AJ111">
        <f>6.125610033327042*1</f>
        <v>0</v>
      </c>
      <c r="AK111">
        <v>1</v>
      </c>
      <c r="AL111">
        <v>1</v>
      </c>
      <c r="AM111">
        <v>1</v>
      </c>
    </row>
    <row r="112" spans="1:39">
      <c r="A112" t="s">
        <v>284</v>
      </c>
      <c r="B112" t="s">
        <v>285</v>
      </c>
      <c r="C112" t="s">
        <v>286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8.4</v>
      </c>
      <c r="AE112">
        <v>458</v>
      </c>
      <c r="AF112">
        <v>22.8235294117647</v>
      </c>
      <c r="AG112">
        <v>24.54836015460156</v>
      </c>
      <c r="AH112">
        <v>9.808170339598036</v>
      </c>
      <c r="AI112">
        <f>33.848274688861274*0</f>
        <v>0</v>
      </c>
      <c r="AJ112">
        <f>5.693061040802815*0</f>
        <v>0</v>
      </c>
      <c r="AK112">
        <v>0</v>
      </c>
      <c r="AL112">
        <v>0</v>
      </c>
      <c r="AM112">
        <v>0</v>
      </c>
    </row>
    <row r="113" spans="1:39">
      <c r="A113" t="s">
        <v>287</v>
      </c>
      <c r="B113" t="s">
        <v>288</v>
      </c>
      <c r="C113" t="s">
        <v>288</v>
      </c>
      <c r="D113" t="s">
        <v>6</v>
      </c>
      <c r="E113">
        <v>0</v>
      </c>
      <c r="F113">
        <v>0</v>
      </c>
      <c r="G113">
        <v>0</v>
      </c>
      <c r="H113">
        <v>1</v>
      </c>
      <c r="I113" t="s">
        <v>25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6.9</v>
      </c>
      <c r="AE113">
        <v>467</v>
      </c>
      <c r="AF113">
        <v>16.37193968461365</v>
      </c>
      <c r="AG113">
        <v>20.36420395763095</v>
      </c>
      <c r="AH113">
        <v>10.46208878423164</v>
      </c>
      <c r="AI113">
        <f>7.776074174882188*1</f>
        <v>0</v>
      </c>
      <c r="AJ113">
        <f>1.2913539081245755*1</f>
        <v>0</v>
      </c>
      <c r="AK113">
        <v>1</v>
      </c>
      <c r="AL113">
        <v>0</v>
      </c>
      <c r="AM113">
        <v>0</v>
      </c>
    </row>
    <row r="114" spans="1:39">
      <c r="A114" t="s">
        <v>289</v>
      </c>
      <c r="B114" t="s">
        <v>290</v>
      </c>
      <c r="C114" t="s">
        <v>76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25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4.4</v>
      </c>
      <c r="AE114">
        <v>472</v>
      </c>
      <c r="AF114">
        <v>13.4</v>
      </c>
      <c r="AG114">
        <v>16.50372551820445</v>
      </c>
      <c r="AH114">
        <v>8.14794780752065</v>
      </c>
      <c r="AI114">
        <f>10.674923844668973*1</f>
        <v>0</v>
      </c>
      <c r="AJ114">
        <f>2.3917759550016116*1</f>
        <v>0</v>
      </c>
      <c r="AK114">
        <v>1</v>
      </c>
      <c r="AL114">
        <v>0</v>
      </c>
      <c r="AM114">
        <v>0</v>
      </c>
    </row>
    <row r="115" spans="1:39">
      <c r="A115" t="s">
        <v>99</v>
      </c>
      <c r="B115" t="s">
        <v>291</v>
      </c>
      <c r="C115" t="s">
        <v>291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6.7</v>
      </c>
      <c r="AE115">
        <v>477</v>
      </c>
      <c r="AF115">
        <v>21.82741116751268</v>
      </c>
      <c r="AG115">
        <v>24.19966746196072</v>
      </c>
      <c r="AH115">
        <v>15.58860759989223</v>
      </c>
      <c r="AI115">
        <f>18.439174212907332*1</f>
        <v>0</v>
      </c>
      <c r="AJ115">
        <f>3.687170930348025*1</f>
        <v>0</v>
      </c>
      <c r="AK115">
        <v>1</v>
      </c>
      <c r="AL115">
        <v>0</v>
      </c>
      <c r="AM115">
        <v>0</v>
      </c>
    </row>
    <row r="116" spans="1:39">
      <c r="A116" t="s">
        <v>292</v>
      </c>
      <c r="B116" t="s">
        <v>293</v>
      </c>
      <c r="C116" t="s">
        <v>293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26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6.1</v>
      </c>
      <c r="AE116">
        <v>492</v>
      </c>
      <c r="AF116">
        <v>19.73480880100202</v>
      </c>
      <c r="AG116">
        <v>19.10882390688067</v>
      </c>
      <c r="AH116">
        <v>7.453501549960794</v>
      </c>
      <c r="AI116">
        <f>10.513337430176865*1</f>
        <v>0</v>
      </c>
      <c r="AJ116">
        <f>1.979621696323135*1</f>
        <v>0</v>
      </c>
      <c r="AK116">
        <v>1</v>
      </c>
      <c r="AL116">
        <v>0</v>
      </c>
      <c r="AM116">
        <v>0</v>
      </c>
    </row>
    <row r="117" spans="1:39">
      <c r="A117" t="s">
        <v>284</v>
      </c>
      <c r="B117" t="s">
        <v>294</v>
      </c>
      <c r="C117" t="s">
        <v>295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26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6.1</v>
      </c>
      <c r="AE117">
        <v>494</v>
      </c>
      <c r="AF117">
        <v>18.57142857142857</v>
      </c>
      <c r="AG117">
        <v>19.15291096345161</v>
      </c>
      <c r="AH117">
        <v>21.30972730710163</v>
      </c>
      <c r="AI117">
        <f>16.493281808578217*1</f>
        <v>0</v>
      </c>
      <c r="AJ117">
        <f>3.3980259901814*1</f>
        <v>0</v>
      </c>
      <c r="AK117">
        <v>1</v>
      </c>
      <c r="AL117">
        <v>0</v>
      </c>
      <c r="AM117">
        <v>0</v>
      </c>
    </row>
    <row r="118" spans="1:39">
      <c r="A118" t="s">
        <v>296</v>
      </c>
      <c r="B118" t="s">
        <v>297</v>
      </c>
      <c r="C118" t="s">
        <v>297</v>
      </c>
      <c r="D118" t="s">
        <v>4</v>
      </c>
      <c r="E118">
        <v>0</v>
      </c>
      <c r="F118">
        <v>1</v>
      </c>
      <c r="G118">
        <v>0</v>
      </c>
      <c r="H118">
        <v>0</v>
      </c>
      <c r="I118" t="s">
        <v>26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4.4</v>
      </c>
      <c r="AE118">
        <v>495</v>
      </c>
      <c r="AF118">
        <v>14.84734660971087</v>
      </c>
      <c r="AG118">
        <v>14.88911598239035</v>
      </c>
      <c r="AH118">
        <v>26.78241049069494</v>
      </c>
      <c r="AI118">
        <f>14.841686534372958*1</f>
        <v>0</v>
      </c>
      <c r="AJ118">
        <f>2.9953208816794583*1</f>
        <v>0</v>
      </c>
      <c r="AK118">
        <v>1</v>
      </c>
      <c r="AL118">
        <v>0</v>
      </c>
      <c r="AM118">
        <v>0</v>
      </c>
    </row>
    <row r="119" spans="1:39">
      <c r="A119" t="s">
        <v>298</v>
      </c>
      <c r="B119" t="s">
        <v>299</v>
      </c>
      <c r="C119" t="s">
        <v>299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26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7.3</v>
      </c>
      <c r="AE119">
        <v>497</v>
      </c>
      <c r="AF119">
        <v>26.66867373485391</v>
      </c>
      <c r="AG119">
        <v>15.92529158794572</v>
      </c>
      <c r="AH119">
        <v>34.27351327994185</v>
      </c>
      <c r="AI119">
        <f>33.95769309110105*1</f>
        <v>0</v>
      </c>
      <c r="AJ119">
        <f>6.185010379248742*1</f>
        <v>0</v>
      </c>
      <c r="AK119">
        <v>1</v>
      </c>
      <c r="AL119">
        <v>0</v>
      </c>
      <c r="AM119">
        <v>0</v>
      </c>
    </row>
    <row r="120" spans="1:39">
      <c r="A120" t="s">
        <v>125</v>
      </c>
      <c r="B120" t="s">
        <v>300</v>
      </c>
      <c r="C120" t="s">
        <v>300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26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4.7</v>
      </c>
      <c r="AE120">
        <v>498</v>
      </c>
      <c r="AF120">
        <v>14.04761904761904</v>
      </c>
      <c r="AG120">
        <v>12.53615288205697</v>
      </c>
      <c r="AH120">
        <v>38</v>
      </c>
      <c r="AI120">
        <f>17.924929955720074*1</f>
        <v>0</v>
      </c>
      <c r="AJ120">
        <f>3.477559716749966*1</f>
        <v>0</v>
      </c>
      <c r="AK120">
        <v>1</v>
      </c>
      <c r="AL120">
        <v>1</v>
      </c>
      <c r="AM120">
        <v>1</v>
      </c>
    </row>
    <row r="121" spans="1:39">
      <c r="A121" t="s">
        <v>301</v>
      </c>
      <c r="B121" t="s">
        <v>302</v>
      </c>
      <c r="C121" t="s">
        <v>302</v>
      </c>
      <c r="D121" t="s">
        <v>6</v>
      </c>
      <c r="E121">
        <v>0</v>
      </c>
      <c r="F121">
        <v>0</v>
      </c>
      <c r="G121">
        <v>0</v>
      </c>
      <c r="H121">
        <v>1</v>
      </c>
      <c r="I121" t="s">
        <v>26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9.1</v>
      </c>
      <c r="AE121">
        <v>500</v>
      </c>
      <c r="AF121">
        <v>28.30769230769231</v>
      </c>
      <c r="AG121">
        <v>26.52047465360803</v>
      </c>
      <c r="AH121">
        <v>70.79781746031745</v>
      </c>
      <c r="AI121">
        <f>50.58012589585908*1</f>
        <v>0</v>
      </c>
      <c r="AJ121">
        <f>9.634030894129726*1</f>
        <v>0</v>
      </c>
      <c r="AK121">
        <v>1</v>
      </c>
      <c r="AL121">
        <v>1</v>
      </c>
      <c r="AM121">
        <v>1</v>
      </c>
    </row>
    <row r="122" spans="1:39">
      <c r="A122" t="s">
        <v>303</v>
      </c>
      <c r="B122" t="s">
        <v>304</v>
      </c>
      <c r="C122" t="s">
        <v>305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5</v>
      </c>
      <c r="AE122">
        <v>501</v>
      </c>
      <c r="AF122">
        <v>23.03157033577417</v>
      </c>
      <c r="AG122">
        <v>9.717495251848295</v>
      </c>
      <c r="AH122">
        <v>59.8888888888889</v>
      </c>
      <c r="AI122">
        <f>45.422341071627024*1</f>
        <v>0</v>
      </c>
      <c r="AJ122">
        <f>9.066257903540519*1</f>
        <v>0</v>
      </c>
      <c r="AK122">
        <v>1</v>
      </c>
      <c r="AL122">
        <v>1</v>
      </c>
      <c r="AM122">
        <v>1</v>
      </c>
    </row>
    <row r="123" spans="1:39">
      <c r="A123" t="s">
        <v>306</v>
      </c>
      <c r="B123" t="s">
        <v>307</v>
      </c>
      <c r="C123" t="s">
        <v>308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6</v>
      </c>
      <c r="AE123">
        <v>502</v>
      </c>
      <c r="AF123">
        <v>15.02365047281569</v>
      </c>
      <c r="AG123">
        <v>11.3590115574705</v>
      </c>
      <c r="AH123">
        <v>36.18361454587027</v>
      </c>
      <c r="AI123">
        <f>22.193822249037204*1</f>
        <v>0</v>
      </c>
      <c r="AJ123">
        <f>4.760530708700316*1</f>
        <v>0</v>
      </c>
      <c r="AK123">
        <v>1</v>
      </c>
      <c r="AL123">
        <v>0</v>
      </c>
      <c r="AM123">
        <v>0</v>
      </c>
    </row>
    <row r="124" spans="1:39">
      <c r="A124" t="s">
        <v>309</v>
      </c>
      <c r="B124" t="s">
        <v>310</v>
      </c>
      <c r="C124" t="s">
        <v>310</v>
      </c>
      <c r="D124" t="s">
        <v>4</v>
      </c>
      <c r="E124">
        <v>0</v>
      </c>
      <c r="F124">
        <v>1</v>
      </c>
      <c r="G124">
        <v>0</v>
      </c>
      <c r="H124">
        <v>0</v>
      </c>
      <c r="I124" t="s">
        <v>26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4.5</v>
      </c>
      <c r="AE124">
        <v>508</v>
      </c>
      <c r="AF124">
        <v>11.33723437703452</v>
      </c>
      <c r="AG124">
        <v>13.39021566040481</v>
      </c>
      <c r="AH124">
        <v>14.31110306989557</v>
      </c>
      <c r="AI124">
        <f>12.016570815594548*1</f>
        <v>0</v>
      </c>
      <c r="AJ124">
        <f>2.14392867034795*1</f>
        <v>0</v>
      </c>
      <c r="AK124">
        <v>1</v>
      </c>
      <c r="AL124">
        <v>0</v>
      </c>
      <c r="AM124">
        <v>0</v>
      </c>
    </row>
    <row r="125" spans="1:39">
      <c r="A125" t="s">
        <v>311</v>
      </c>
      <c r="B125" t="s">
        <v>312</v>
      </c>
      <c r="C125" t="s">
        <v>312</v>
      </c>
      <c r="D125" t="s">
        <v>4</v>
      </c>
      <c r="E125">
        <v>0</v>
      </c>
      <c r="F125">
        <v>1</v>
      </c>
      <c r="G125">
        <v>0</v>
      </c>
      <c r="H125">
        <v>0</v>
      </c>
      <c r="I125" t="s">
        <v>26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5.4</v>
      </c>
      <c r="AE125">
        <v>514</v>
      </c>
      <c r="AF125">
        <v>18.44228207119244</v>
      </c>
      <c r="AG125">
        <v>14.39413574863838</v>
      </c>
      <c r="AH125">
        <v>27.30203909671732</v>
      </c>
      <c r="AI125">
        <f>19.421039354060362*1</f>
        <v>0</v>
      </c>
      <c r="AJ125">
        <f>3.5678768325656773*1</f>
        <v>0</v>
      </c>
      <c r="AK125">
        <v>1</v>
      </c>
      <c r="AL125">
        <v>0</v>
      </c>
      <c r="AM125">
        <v>0</v>
      </c>
    </row>
    <row r="126" spans="1:39">
      <c r="A126" t="s">
        <v>313</v>
      </c>
      <c r="B126" t="s">
        <v>314</v>
      </c>
      <c r="C126" t="s">
        <v>314</v>
      </c>
      <c r="D126" t="s">
        <v>4</v>
      </c>
      <c r="E126">
        <v>0</v>
      </c>
      <c r="F126">
        <v>1</v>
      </c>
      <c r="G126">
        <v>0</v>
      </c>
      <c r="H126">
        <v>0</v>
      </c>
      <c r="I126" t="s">
        <v>27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5.1</v>
      </c>
      <c r="AE126">
        <v>524</v>
      </c>
      <c r="AF126">
        <v>18.3695652173913</v>
      </c>
      <c r="AG126">
        <v>13.07924454034881</v>
      </c>
      <c r="AH126">
        <v>42.83327900307272</v>
      </c>
      <c r="AI126">
        <f>28.36899128826509*1</f>
        <v>0</v>
      </c>
      <c r="AJ126">
        <f>5.817480108143086*1</f>
        <v>0</v>
      </c>
      <c r="AK126">
        <v>1</v>
      </c>
      <c r="AL126">
        <v>1</v>
      </c>
      <c r="AM126">
        <v>1</v>
      </c>
    </row>
    <row r="127" spans="1:39">
      <c r="A127" t="s">
        <v>315</v>
      </c>
      <c r="B127" t="s">
        <v>316</v>
      </c>
      <c r="C127" t="s">
        <v>316</v>
      </c>
      <c r="D127" t="s">
        <v>5</v>
      </c>
      <c r="E127">
        <v>0</v>
      </c>
      <c r="F127">
        <v>0</v>
      </c>
      <c r="G127">
        <v>1</v>
      </c>
      <c r="H127">
        <v>0</v>
      </c>
      <c r="I127" t="s">
        <v>27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5</v>
      </c>
      <c r="AE127">
        <v>525</v>
      </c>
      <c r="AF127">
        <v>10</v>
      </c>
      <c r="AG127">
        <v>7.559288000804329</v>
      </c>
      <c r="AH127">
        <v>23.24</v>
      </c>
      <c r="AI127">
        <f>17.598650911428685*1</f>
        <v>0</v>
      </c>
      <c r="AJ127">
        <f>3.546346892718557*1</f>
        <v>0</v>
      </c>
      <c r="AK127">
        <v>1</v>
      </c>
      <c r="AL127">
        <v>0</v>
      </c>
      <c r="AM127">
        <v>0</v>
      </c>
    </row>
    <row r="128" spans="1:39">
      <c r="A128" t="s">
        <v>298</v>
      </c>
      <c r="B128" t="s">
        <v>317</v>
      </c>
      <c r="C128" t="s">
        <v>317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5.1</v>
      </c>
      <c r="AE128">
        <v>534</v>
      </c>
      <c r="AF128">
        <v>16.28116765822386</v>
      </c>
      <c r="AG128">
        <v>13.11491343517556</v>
      </c>
      <c r="AH128">
        <v>23.71428571428572</v>
      </c>
      <c r="AI128">
        <f>21.633724162351534*1</f>
        <v>0</v>
      </c>
      <c r="AJ128">
        <f>5.063429593756899*1</f>
        <v>0</v>
      </c>
      <c r="AK128">
        <v>1</v>
      </c>
      <c r="AL128">
        <v>0</v>
      </c>
      <c r="AM128">
        <v>0</v>
      </c>
    </row>
    <row r="129" spans="1:39">
      <c r="A129" t="s">
        <v>79</v>
      </c>
      <c r="B129" t="s">
        <v>318</v>
      </c>
      <c r="C129" t="s">
        <v>318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6.3</v>
      </c>
      <c r="AE129">
        <v>535</v>
      </c>
      <c r="AF129">
        <v>21.00163075641751</v>
      </c>
      <c r="AG129">
        <v>13.98478406892132</v>
      </c>
      <c r="AH129">
        <v>36.55</v>
      </c>
      <c r="AI129">
        <f>21.362084731067085*1</f>
        <v>0</v>
      </c>
      <c r="AJ129">
        <f>4.589932298598923*1</f>
        <v>0</v>
      </c>
      <c r="AK129">
        <v>1</v>
      </c>
      <c r="AL129">
        <v>0</v>
      </c>
      <c r="AM129">
        <v>0</v>
      </c>
    </row>
    <row r="130" spans="1:39">
      <c r="A130" t="s">
        <v>319</v>
      </c>
      <c r="B130" t="s">
        <v>320</v>
      </c>
      <c r="C130" t="s">
        <v>320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5.3</v>
      </c>
      <c r="AE130">
        <v>536</v>
      </c>
      <c r="AF130">
        <v>15.08849557522124</v>
      </c>
      <c r="AG130">
        <v>13.95564652866727</v>
      </c>
      <c r="AH130">
        <v>17.39011743564762</v>
      </c>
      <c r="AI130">
        <f>14.165365478044079*1</f>
        <v>0</v>
      </c>
      <c r="AJ130">
        <f>3.0104205578883585*1</f>
        <v>0</v>
      </c>
      <c r="AK130">
        <v>1</v>
      </c>
      <c r="AL130">
        <v>0</v>
      </c>
      <c r="AM130">
        <v>0</v>
      </c>
    </row>
    <row r="131" spans="1:39">
      <c r="A131" t="s">
        <v>321</v>
      </c>
      <c r="B131" t="s">
        <v>322</v>
      </c>
      <c r="C131" t="s">
        <v>321</v>
      </c>
      <c r="D131" t="s">
        <v>4</v>
      </c>
      <c r="E131">
        <v>0</v>
      </c>
      <c r="F131">
        <v>1</v>
      </c>
      <c r="G131">
        <v>0</v>
      </c>
      <c r="H131">
        <v>0</v>
      </c>
      <c r="I131" t="s">
        <v>27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4.6</v>
      </c>
      <c r="AE131">
        <v>538</v>
      </c>
      <c r="AF131">
        <v>12.6</v>
      </c>
      <c r="AG131">
        <v>10.51175772887349</v>
      </c>
      <c r="AH131">
        <v>29.2</v>
      </c>
      <c r="AI131">
        <f>10.820683684319993*1</f>
        <v>0</v>
      </c>
      <c r="AJ131">
        <f>2.1587703659573494*1</f>
        <v>0</v>
      </c>
      <c r="AK131">
        <v>1</v>
      </c>
      <c r="AL131">
        <v>0</v>
      </c>
      <c r="AM131">
        <v>0</v>
      </c>
    </row>
    <row r="132" spans="1:39">
      <c r="A132" t="s">
        <v>323</v>
      </c>
      <c r="B132" t="s">
        <v>324</v>
      </c>
      <c r="C132" t="s">
        <v>325</v>
      </c>
      <c r="D132" t="s">
        <v>4</v>
      </c>
      <c r="E132">
        <v>0</v>
      </c>
      <c r="F132">
        <v>1</v>
      </c>
      <c r="G132">
        <v>0</v>
      </c>
      <c r="H132">
        <v>0</v>
      </c>
      <c r="I132" t="s">
        <v>27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4.3</v>
      </c>
      <c r="AE132">
        <v>539</v>
      </c>
      <c r="AF132">
        <v>9.464285714285714</v>
      </c>
      <c r="AG132">
        <v>7.182254199444657</v>
      </c>
      <c r="AH132">
        <v>30.92</v>
      </c>
      <c r="AI132">
        <f>15.9721165537405*1</f>
        <v>0</v>
      </c>
      <c r="AJ132">
        <f>3.246801182897452*1</f>
        <v>0</v>
      </c>
      <c r="AK132">
        <v>1</v>
      </c>
      <c r="AL132">
        <v>0</v>
      </c>
      <c r="AM132">
        <v>0</v>
      </c>
    </row>
    <row r="133" spans="1:39">
      <c r="A133" t="s">
        <v>326</v>
      </c>
      <c r="B133" t="s">
        <v>327</v>
      </c>
      <c r="C133" t="s">
        <v>327</v>
      </c>
      <c r="D133" t="s">
        <v>3</v>
      </c>
      <c r="E133">
        <v>1</v>
      </c>
      <c r="F133">
        <v>0</v>
      </c>
      <c r="G133">
        <v>0</v>
      </c>
      <c r="H133">
        <v>0</v>
      </c>
      <c r="I133" t="s">
        <v>27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4.8</v>
      </c>
      <c r="AE133">
        <v>545</v>
      </c>
      <c r="AF133">
        <v>21.88023173010552</v>
      </c>
      <c r="AG133">
        <v>16.0417186030144</v>
      </c>
      <c r="AH133">
        <v>32.01818181818182</v>
      </c>
      <c r="AI133">
        <f>9.20568000366072*1</f>
        <v>0</v>
      </c>
      <c r="AJ133">
        <f>1.9354042213361558*1</f>
        <v>0</v>
      </c>
      <c r="AK133">
        <v>1</v>
      </c>
      <c r="AL133">
        <v>1</v>
      </c>
      <c r="AM133">
        <v>1</v>
      </c>
    </row>
    <row r="134" spans="1:39">
      <c r="A134" t="s">
        <v>328</v>
      </c>
      <c r="B134" t="s">
        <v>329</v>
      </c>
      <c r="C134" t="s">
        <v>329</v>
      </c>
      <c r="D134" t="s">
        <v>6</v>
      </c>
      <c r="E134">
        <v>0</v>
      </c>
      <c r="F134">
        <v>0</v>
      </c>
      <c r="G134">
        <v>0</v>
      </c>
      <c r="H134">
        <v>1</v>
      </c>
      <c r="I134" t="s">
        <v>27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6.6</v>
      </c>
      <c r="AE134">
        <v>548</v>
      </c>
      <c r="AF134">
        <v>18.17275862811593</v>
      </c>
      <c r="AG134">
        <v>16.68525182961135</v>
      </c>
      <c r="AH134">
        <v>11.40698688770332</v>
      </c>
      <c r="AI134">
        <f>7.092199977526459*1</f>
        <v>0</v>
      </c>
      <c r="AJ134">
        <f>1.2575403349567462*1</f>
        <v>0</v>
      </c>
      <c r="AK134">
        <v>1</v>
      </c>
      <c r="AL134">
        <v>0</v>
      </c>
      <c r="AM134">
        <v>0</v>
      </c>
    </row>
    <row r="135" spans="1:39">
      <c r="A135" t="s">
        <v>330</v>
      </c>
      <c r="B135" t="s">
        <v>331</v>
      </c>
      <c r="C135" t="s">
        <v>331</v>
      </c>
      <c r="D135" t="s">
        <v>4</v>
      </c>
      <c r="E135">
        <v>0</v>
      </c>
      <c r="F135">
        <v>1</v>
      </c>
      <c r="G135">
        <v>0</v>
      </c>
      <c r="H135">
        <v>0</v>
      </c>
      <c r="I135" t="s">
        <v>27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4.7</v>
      </c>
      <c r="AE135">
        <v>552</v>
      </c>
      <c r="AF135">
        <v>0</v>
      </c>
      <c r="AG135">
        <v>0</v>
      </c>
      <c r="AH135">
        <v>0</v>
      </c>
      <c r="AI135">
        <f>0.0*1</f>
        <v>0</v>
      </c>
      <c r="AJ135">
        <f>0.0*1</f>
        <v>0</v>
      </c>
      <c r="AK135">
        <v>1</v>
      </c>
      <c r="AL135">
        <v>0</v>
      </c>
      <c r="AM135">
        <v>0</v>
      </c>
    </row>
    <row r="136" spans="1:39">
      <c r="A136" t="s">
        <v>332</v>
      </c>
      <c r="B136" t="s">
        <v>333</v>
      </c>
      <c r="C136" t="s">
        <v>333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28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4.9</v>
      </c>
      <c r="AE136">
        <v>562</v>
      </c>
      <c r="AF136">
        <v>0</v>
      </c>
      <c r="AG136">
        <v>0</v>
      </c>
      <c r="AH136">
        <v>0</v>
      </c>
      <c r="AI136">
        <f>0.0*1</f>
        <v>0</v>
      </c>
      <c r="AJ136">
        <f>0.0*1</f>
        <v>0</v>
      </c>
      <c r="AK136">
        <v>1</v>
      </c>
      <c r="AL136">
        <v>0</v>
      </c>
      <c r="AM136">
        <v>0</v>
      </c>
    </row>
    <row r="137" spans="1:39">
      <c r="A137" t="s">
        <v>334</v>
      </c>
      <c r="B137" t="s">
        <v>335</v>
      </c>
      <c r="C137" t="s">
        <v>335</v>
      </c>
      <c r="D137" t="s">
        <v>4</v>
      </c>
      <c r="E137">
        <v>0</v>
      </c>
      <c r="F137">
        <v>1</v>
      </c>
      <c r="G137">
        <v>0</v>
      </c>
      <c r="H137">
        <v>0</v>
      </c>
      <c r="I137" t="s">
        <v>28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4.1</v>
      </c>
      <c r="AE137">
        <v>571</v>
      </c>
      <c r="AF137">
        <v>0</v>
      </c>
      <c r="AG137">
        <v>0</v>
      </c>
      <c r="AH137">
        <v>0</v>
      </c>
      <c r="AI137">
        <f>0.0*1</f>
        <v>0</v>
      </c>
      <c r="AJ137">
        <f>0.0*1</f>
        <v>0</v>
      </c>
      <c r="AK137">
        <v>1</v>
      </c>
      <c r="AL137">
        <v>0</v>
      </c>
      <c r="AM137">
        <v>0</v>
      </c>
    </row>
    <row r="138" spans="1:39">
      <c r="A138" t="s">
        <v>336</v>
      </c>
      <c r="B138" t="s">
        <v>337</v>
      </c>
      <c r="C138" t="s">
        <v>336</v>
      </c>
      <c r="D138" t="s">
        <v>4</v>
      </c>
      <c r="E138">
        <v>0</v>
      </c>
      <c r="F138">
        <v>1</v>
      </c>
      <c r="G138">
        <v>0</v>
      </c>
      <c r="H138">
        <v>0</v>
      </c>
      <c r="I138" t="s">
        <v>28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4.3</v>
      </c>
      <c r="AE138">
        <v>584</v>
      </c>
      <c r="AF138">
        <v>0</v>
      </c>
      <c r="AG138">
        <v>0</v>
      </c>
      <c r="AH138">
        <v>0</v>
      </c>
      <c r="AI138">
        <f>0.0*1</f>
        <v>0</v>
      </c>
      <c r="AJ138">
        <f>0.0*1</f>
        <v>0</v>
      </c>
      <c r="AK138">
        <v>1</v>
      </c>
      <c r="AL138">
        <v>0</v>
      </c>
      <c r="AM138">
        <v>0</v>
      </c>
    </row>
    <row r="139" spans="1:39">
      <c r="A139" t="s">
        <v>338</v>
      </c>
      <c r="B139" t="s">
        <v>339</v>
      </c>
      <c r="C139" t="s">
        <v>339</v>
      </c>
      <c r="D139" t="s">
        <v>4</v>
      </c>
      <c r="E139">
        <v>0</v>
      </c>
      <c r="F139">
        <v>1</v>
      </c>
      <c r="G139">
        <v>0</v>
      </c>
      <c r="H139">
        <v>0</v>
      </c>
      <c r="I139" t="s">
        <v>28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4.3</v>
      </c>
      <c r="AE139">
        <v>586</v>
      </c>
      <c r="AF139">
        <v>9.998977655605593</v>
      </c>
      <c r="AG139">
        <v>12.39629763103873</v>
      </c>
      <c r="AH139">
        <v>14.1796024311851</v>
      </c>
      <c r="AI139">
        <f>9.829864960432246*1</f>
        <v>0</v>
      </c>
      <c r="AJ139">
        <f>1.9449957048727329*1</f>
        <v>0</v>
      </c>
      <c r="AK139">
        <v>1</v>
      </c>
      <c r="AL139">
        <v>0</v>
      </c>
      <c r="AM139">
        <v>0</v>
      </c>
    </row>
    <row r="140" spans="1:39">
      <c r="A140" t="s">
        <v>340</v>
      </c>
      <c r="B140" t="s">
        <v>341</v>
      </c>
      <c r="C140" t="s">
        <v>341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28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4.8</v>
      </c>
      <c r="AE140">
        <v>589</v>
      </c>
      <c r="AF140">
        <v>8.05555552916182</v>
      </c>
      <c r="AG140">
        <v>7.167308919426569</v>
      </c>
      <c r="AH140">
        <v>11.09701024787334</v>
      </c>
      <c r="AI140">
        <f>9.823511025610372*1</f>
        <v>0</v>
      </c>
      <c r="AJ140">
        <f>2.009955532687597*1</f>
        <v>0</v>
      </c>
      <c r="AK140">
        <v>1</v>
      </c>
      <c r="AL140">
        <v>0</v>
      </c>
      <c r="AM140">
        <v>0</v>
      </c>
    </row>
    <row r="141" spans="1:39">
      <c r="A141" t="s">
        <v>342</v>
      </c>
      <c r="B141" t="s">
        <v>343</v>
      </c>
      <c r="C141" t="s">
        <v>344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28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5</v>
      </c>
      <c r="AE141">
        <v>592</v>
      </c>
      <c r="AF141">
        <v>0</v>
      </c>
      <c r="AG141">
        <v>0</v>
      </c>
      <c r="AH141">
        <v>0</v>
      </c>
      <c r="AI141">
        <f>0.0*1</f>
        <v>0</v>
      </c>
      <c r="AJ141">
        <f>0.0*1</f>
        <v>0</v>
      </c>
      <c r="AK141">
        <v>1</v>
      </c>
      <c r="AL141">
        <v>0</v>
      </c>
      <c r="AM141">
        <v>0</v>
      </c>
    </row>
    <row r="142" spans="1:39">
      <c r="A142" t="s">
        <v>187</v>
      </c>
      <c r="B142" t="s">
        <v>345</v>
      </c>
      <c r="C142" t="s">
        <v>346</v>
      </c>
      <c r="D142" t="s">
        <v>6</v>
      </c>
      <c r="E142">
        <v>0</v>
      </c>
      <c r="F142">
        <v>0</v>
      </c>
      <c r="G142">
        <v>0</v>
      </c>
      <c r="H142">
        <v>1</v>
      </c>
      <c r="I142" t="s">
        <v>29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7.5</v>
      </c>
      <c r="AE142">
        <v>594</v>
      </c>
      <c r="AF142">
        <v>0</v>
      </c>
      <c r="AG142">
        <v>0</v>
      </c>
      <c r="AH142">
        <v>0</v>
      </c>
      <c r="AI142">
        <f>0.0*1</f>
        <v>0</v>
      </c>
      <c r="AJ142">
        <f>0.0*1</f>
        <v>0</v>
      </c>
      <c r="AK142">
        <v>1</v>
      </c>
      <c r="AL142">
        <v>0</v>
      </c>
      <c r="AM142">
        <v>0</v>
      </c>
    </row>
    <row r="143" spans="1:39">
      <c r="A143" t="s">
        <v>347</v>
      </c>
      <c r="B143" t="s">
        <v>348</v>
      </c>
      <c r="C143" t="s">
        <v>348</v>
      </c>
      <c r="D143" t="s">
        <v>5</v>
      </c>
      <c r="E143">
        <v>0</v>
      </c>
      <c r="F143">
        <v>0</v>
      </c>
      <c r="G143">
        <v>1</v>
      </c>
      <c r="H143">
        <v>0</v>
      </c>
      <c r="I143" t="s">
        <v>29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6.5</v>
      </c>
      <c r="AE143">
        <v>608</v>
      </c>
      <c r="AF143">
        <v>18.01136363636363</v>
      </c>
      <c r="AG143">
        <v>13.27130059602873</v>
      </c>
      <c r="AH143">
        <v>18.57716678257597</v>
      </c>
      <c r="AI143">
        <f>8.238124268693456*1</f>
        <v>0</v>
      </c>
      <c r="AJ143">
        <f>1.5763329383581735*1</f>
        <v>0</v>
      </c>
      <c r="AK143">
        <v>1</v>
      </c>
      <c r="AL143">
        <v>0</v>
      </c>
      <c r="AM143">
        <v>0</v>
      </c>
    </row>
    <row r="144" spans="1:39">
      <c r="A144" t="s">
        <v>349</v>
      </c>
      <c r="B144" t="s">
        <v>350</v>
      </c>
      <c r="C144" t="s">
        <v>350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29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6.4</v>
      </c>
      <c r="AE144">
        <v>609</v>
      </c>
      <c r="AF144">
        <v>19.58333333333334</v>
      </c>
      <c r="AG144">
        <v>17.33856706129679</v>
      </c>
      <c r="AH144">
        <v>19.48323315397874</v>
      </c>
      <c r="AI144">
        <f>14.412353675087923*1</f>
        <v>0</v>
      </c>
      <c r="AJ144">
        <f>3.0208235987597307*1</f>
        <v>0</v>
      </c>
      <c r="AK144">
        <v>1</v>
      </c>
      <c r="AL144">
        <v>0</v>
      </c>
      <c r="AM144">
        <v>0</v>
      </c>
    </row>
    <row r="145" spans="1:39">
      <c r="A145" t="s">
        <v>202</v>
      </c>
      <c r="B145" t="s">
        <v>351</v>
      </c>
      <c r="C145" t="s">
        <v>351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29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7.7</v>
      </c>
      <c r="AE145">
        <v>611</v>
      </c>
      <c r="AF145">
        <v>25.10697945465624</v>
      </c>
      <c r="AG145">
        <v>22.29456371278781</v>
      </c>
      <c r="AH145">
        <v>29.05877238512582</v>
      </c>
      <c r="AI145">
        <f>24.740081728486317*1</f>
        <v>0</v>
      </c>
      <c r="AJ145">
        <f>5.303733608135575*1</f>
        <v>0</v>
      </c>
      <c r="AK145">
        <v>1</v>
      </c>
      <c r="AL145">
        <v>0</v>
      </c>
      <c r="AM145">
        <v>0</v>
      </c>
    </row>
    <row r="146" spans="1:39">
      <c r="A146" t="s">
        <v>163</v>
      </c>
      <c r="B146" t="s">
        <v>352</v>
      </c>
      <c r="C146" t="s">
        <v>353</v>
      </c>
      <c r="D146" t="s">
        <v>4</v>
      </c>
      <c r="E146">
        <v>0</v>
      </c>
      <c r="F146">
        <v>1</v>
      </c>
      <c r="G146">
        <v>0</v>
      </c>
      <c r="H146">
        <v>0</v>
      </c>
      <c r="I146" t="s">
        <v>29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5.5</v>
      </c>
      <c r="AE146">
        <v>612</v>
      </c>
      <c r="AF146">
        <v>18.63636363636364</v>
      </c>
      <c r="AG146">
        <v>20.82596808436743</v>
      </c>
      <c r="AH146">
        <v>11.78673467034183</v>
      </c>
      <c r="AI146">
        <f>17.269401187140787*1</f>
        <v>0</v>
      </c>
      <c r="AJ146">
        <f>3.0051493830285088*1</f>
        <v>0</v>
      </c>
      <c r="AK146">
        <v>1</v>
      </c>
      <c r="AL146">
        <v>0</v>
      </c>
      <c r="AM146">
        <v>0</v>
      </c>
    </row>
    <row r="147" spans="1:39">
      <c r="A147" t="s">
        <v>354</v>
      </c>
      <c r="B147" t="s">
        <v>180</v>
      </c>
      <c r="C147" t="s">
        <v>355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29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4.8</v>
      </c>
      <c r="AE147">
        <v>616</v>
      </c>
      <c r="AF147">
        <v>11.06557377049181</v>
      </c>
      <c r="AG147">
        <v>10.57068244014509</v>
      </c>
      <c r="AH147">
        <v>11.09230769230769</v>
      </c>
      <c r="AI147">
        <f>8.380209871929788*1</f>
        <v>0</v>
      </c>
      <c r="AJ147">
        <f>1.7636404894669877*1</f>
        <v>0</v>
      </c>
      <c r="AK147">
        <v>1</v>
      </c>
      <c r="AL147">
        <v>0</v>
      </c>
      <c r="AM147">
        <v>0</v>
      </c>
    </row>
    <row r="148" spans="1:39">
      <c r="A148" t="s">
        <v>356</v>
      </c>
      <c r="B148" t="s">
        <v>357</v>
      </c>
      <c r="C148" t="s">
        <v>356</v>
      </c>
      <c r="D148" t="s">
        <v>5</v>
      </c>
      <c r="E148">
        <v>0</v>
      </c>
      <c r="F148">
        <v>0</v>
      </c>
      <c r="G148">
        <v>1</v>
      </c>
      <c r="H148">
        <v>0</v>
      </c>
      <c r="I148" t="s">
        <v>29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9.800000000000001</v>
      </c>
      <c r="AE148">
        <v>619</v>
      </c>
      <c r="AF148">
        <v>26.74553994363304</v>
      </c>
      <c r="AG148">
        <v>36.38156917776055</v>
      </c>
      <c r="AH148">
        <v>16.66247446817015</v>
      </c>
      <c r="AI148">
        <f>11.019613262659739*1</f>
        <v>0</v>
      </c>
      <c r="AJ148">
        <f>2.209232943705089*1</f>
        <v>0</v>
      </c>
      <c r="AK148">
        <v>1</v>
      </c>
      <c r="AL148">
        <v>1</v>
      </c>
      <c r="AM148">
        <v>0</v>
      </c>
    </row>
    <row r="149" spans="1:39">
      <c r="A149" t="s">
        <v>358</v>
      </c>
      <c r="B149" t="s">
        <v>359</v>
      </c>
      <c r="C149" t="s">
        <v>359</v>
      </c>
      <c r="D149" t="s">
        <v>4</v>
      </c>
      <c r="E149">
        <v>0</v>
      </c>
      <c r="F149">
        <v>1</v>
      </c>
      <c r="G149">
        <v>0</v>
      </c>
      <c r="H149">
        <v>0</v>
      </c>
      <c r="I149" t="s">
        <v>30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4.6</v>
      </c>
      <c r="AE149">
        <v>635</v>
      </c>
      <c r="AF149">
        <v>16.31428571428571</v>
      </c>
      <c r="AG149">
        <v>16.52337127547271</v>
      </c>
      <c r="AH149">
        <v>21.91423935353058</v>
      </c>
      <c r="AI149">
        <f>30.67935365924159*1</f>
        <v>0</v>
      </c>
      <c r="AJ149">
        <f>6.12508589594198*1</f>
        <v>0</v>
      </c>
      <c r="AK149">
        <v>1</v>
      </c>
      <c r="AL149">
        <v>0</v>
      </c>
      <c r="AM149">
        <v>0</v>
      </c>
    </row>
    <row r="150" spans="1:39">
      <c r="A150" t="s">
        <v>360</v>
      </c>
      <c r="B150" t="s">
        <v>361</v>
      </c>
      <c r="C150" t="s">
        <v>361</v>
      </c>
      <c r="D150" t="s">
        <v>5</v>
      </c>
      <c r="E150">
        <v>0</v>
      </c>
      <c r="F150">
        <v>0</v>
      </c>
      <c r="G150">
        <v>1</v>
      </c>
      <c r="H150">
        <v>0</v>
      </c>
      <c r="I150" t="s">
        <v>30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7.5</v>
      </c>
      <c r="AE150">
        <v>639</v>
      </c>
      <c r="AF150">
        <v>22.40955510582273</v>
      </c>
      <c r="AG150">
        <v>23.70931670061359</v>
      </c>
      <c r="AH150">
        <v>56.04636053658139</v>
      </c>
      <c r="AI150">
        <f>14.395862391431937*1</f>
        <v>0</v>
      </c>
      <c r="AJ150">
        <f>2.900503132985709*1</f>
        <v>0</v>
      </c>
      <c r="AK150">
        <v>1</v>
      </c>
      <c r="AL150">
        <v>0</v>
      </c>
      <c r="AM150">
        <v>0</v>
      </c>
    </row>
    <row r="151" spans="1:39">
      <c r="A151" t="s">
        <v>362</v>
      </c>
      <c r="B151" t="s">
        <v>363</v>
      </c>
      <c r="C151" t="s">
        <v>362</v>
      </c>
      <c r="D151" t="s">
        <v>4</v>
      </c>
      <c r="E151">
        <v>0</v>
      </c>
      <c r="F151">
        <v>1</v>
      </c>
      <c r="G151">
        <v>0</v>
      </c>
      <c r="H151">
        <v>0</v>
      </c>
      <c r="I151" t="s">
        <v>30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4.4</v>
      </c>
      <c r="AE151">
        <v>643</v>
      </c>
      <c r="AF151">
        <v>11.24446071763511</v>
      </c>
      <c r="AG151">
        <v>8.538276690651328</v>
      </c>
      <c r="AH151">
        <v>16.46666666666667</v>
      </c>
      <c r="AI151">
        <f>16.088754689284286*1</f>
        <v>0</v>
      </c>
      <c r="AJ151">
        <f>3.2081862653565443*1</f>
        <v>0</v>
      </c>
      <c r="AK151">
        <v>1</v>
      </c>
      <c r="AL151">
        <v>0</v>
      </c>
      <c r="AM151">
        <v>0</v>
      </c>
    </row>
    <row r="152" spans="1:39">
      <c r="A152" t="s">
        <v>364</v>
      </c>
      <c r="B152" t="s">
        <v>365</v>
      </c>
      <c r="C152" t="s">
        <v>365</v>
      </c>
      <c r="D152" t="s">
        <v>5</v>
      </c>
      <c r="E152">
        <v>0</v>
      </c>
      <c r="F152">
        <v>0</v>
      </c>
      <c r="G152">
        <v>1</v>
      </c>
      <c r="H152">
        <v>0</v>
      </c>
      <c r="I152" t="s">
        <v>30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6.2</v>
      </c>
      <c r="AE152">
        <v>648</v>
      </c>
      <c r="AF152">
        <v>20.34214924980525</v>
      </c>
      <c r="AG152">
        <v>14.32447208342649</v>
      </c>
      <c r="AH152">
        <v>22.56180799184476</v>
      </c>
      <c r="AI152">
        <f>14.072395162364039*1</f>
        <v>0</v>
      </c>
      <c r="AJ152">
        <f>2.6650658993472294*1</f>
        <v>0</v>
      </c>
      <c r="AK152">
        <v>1</v>
      </c>
      <c r="AL152">
        <v>0</v>
      </c>
      <c r="AM152">
        <v>0</v>
      </c>
    </row>
    <row r="153" spans="1:39">
      <c r="A153" t="s">
        <v>366</v>
      </c>
      <c r="B153" t="s">
        <v>367</v>
      </c>
      <c r="C153" t="s">
        <v>368</v>
      </c>
      <c r="D153" t="s">
        <v>5</v>
      </c>
      <c r="E153">
        <v>0</v>
      </c>
      <c r="F153">
        <v>0</v>
      </c>
      <c r="G153">
        <v>1</v>
      </c>
      <c r="H153">
        <v>0</v>
      </c>
      <c r="I153" t="s">
        <v>30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5.7</v>
      </c>
      <c r="AE153">
        <v>650</v>
      </c>
      <c r="AF153">
        <v>16.19277894858119</v>
      </c>
      <c r="AG153">
        <v>20.38329449809358</v>
      </c>
      <c r="AH153">
        <v>21.70225306871205</v>
      </c>
      <c r="AI153">
        <f>13.3094027235488*1</f>
        <v>0</v>
      </c>
      <c r="AJ153">
        <f>3.1573489883663712*1</f>
        <v>0</v>
      </c>
      <c r="AK153">
        <v>1</v>
      </c>
      <c r="AL153">
        <v>0</v>
      </c>
      <c r="AM153">
        <v>0</v>
      </c>
    </row>
    <row r="154" spans="1:39">
      <c r="A154" t="s">
        <v>369</v>
      </c>
      <c r="B154" t="s">
        <v>370</v>
      </c>
      <c r="C154" t="s">
        <v>370</v>
      </c>
      <c r="D154" t="s">
        <v>4</v>
      </c>
      <c r="E154">
        <v>0</v>
      </c>
      <c r="F154">
        <v>1</v>
      </c>
      <c r="G154">
        <v>0</v>
      </c>
      <c r="H154">
        <v>0</v>
      </c>
      <c r="I154" t="s">
        <v>30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4.4</v>
      </c>
      <c r="AE154">
        <v>651</v>
      </c>
      <c r="AF154">
        <v>12.25840915364706</v>
      </c>
      <c r="AG154">
        <v>11.90756745047041</v>
      </c>
      <c r="AH154">
        <v>14.92</v>
      </c>
      <c r="AI154">
        <f>10.297011215599554*1</f>
        <v>0</v>
      </c>
      <c r="AJ154">
        <f>2.7113496393863405*1</f>
        <v>0</v>
      </c>
      <c r="AK154">
        <v>1</v>
      </c>
      <c r="AL154">
        <v>0</v>
      </c>
      <c r="AM154">
        <v>0</v>
      </c>
    </row>
    <row r="155" spans="1:39">
      <c r="A155" t="s">
        <v>371</v>
      </c>
      <c r="B155" t="s">
        <v>372</v>
      </c>
      <c r="C155" t="s">
        <v>372</v>
      </c>
      <c r="D155" t="s">
        <v>5</v>
      </c>
      <c r="E155">
        <v>0</v>
      </c>
      <c r="F155">
        <v>0</v>
      </c>
      <c r="G155">
        <v>1</v>
      </c>
      <c r="H155">
        <v>0</v>
      </c>
      <c r="I155" t="s">
        <v>30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4.9</v>
      </c>
      <c r="AE155">
        <v>653</v>
      </c>
      <c r="AF155">
        <v>16.2962962962963</v>
      </c>
      <c r="AG155">
        <v>18.71912495197877</v>
      </c>
      <c r="AH155">
        <v>10.06666666666667</v>
      </c>
      <c r="AI155">
        <f>15.666930340505512*1</f>
        <v>0</v>
      </c>
      <c r="AJ155">
        <f>2.955376035379993*1</f>
        <v>0</v>
      </c>
      <c r="AK155">
        <v>1</v>
      </c>
      <c r="AL155">
        <v>0</v>
      </c>
      <c r="AM155">
        <v>0</v>
      </c>
    </row>
    <row r="156" spans="1:39">
      <c r="A156" t="s">
        <v>373</v>
      </c>
      <c r="B156" t="s">
        <v>374</v>
      </c>
      <c r="C156" t="s">
        <v>374</v>
      </c>
      <c r="D156" t="s">
        <v>5</v>
      </c>
      <c r="E156">
        <v>0</v>
      </c>
      <c r="F156">
        <v>0</v>
      </c>
      <c r="G156">
        <v>1</v>
      </c>
      <c r="H156">
        <v>0</v>
      </c>
      <c r="I156" t="s">
        <v>31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4.9</v>
      </c>
      <c r="AE156">
        <v>668</v>
      </c>
      <c r="AF156">
        <v>10.39473684210527</v>
      </c>
      <c r="AG156">
        <v>15.32460793256062</v>
      </c>
      <c r="AH156">
        <v>7.896978997684032</v>
      </c>
      <c r="AI156">
        <f>7.415265742871073*1</f>
        <v>0</v>
      </c>
      <c r="AJ156">
        <f>1.5287475258250227*1</f>
        <v>0</v>
      </c>
      <c r="AK156">
        <v>1</v>
      </c>
      <c r="AL156">
        <v>0</v>
      </c>
      <c r="AM156">
        <v>0</v>
      </c>
    </row>
    <row r="157" spans="1:39">
      <c r="A157" t="s">
        <v>375</v>
      </c>
      <c r="B157" t="s">
        <v>376</v>
      </c>
      <c r="C157" t="s">
        <v>377</v>
      </c>
      <c r="D157" t="s">
        <v>6</v>
      </c>
      <c r="E157">
        <v>0</v>
      </c>
      <c r="F157">
        <v>0</v>
      </c>
      <c r="G157">
        <v>0</v>
      </c>
      <c r="H157">
        <v>1</v>
      </c>
      <c r="I157" t="s">
        <v>31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7.1</v>
      </c>
      <c r="AE157">
        <v>674</v>
      </c>
      <c r="AF157">
        <v>32.74094653643461</v>
      </c>
      <c r="AG157">
        <v>17.58881796525964</v>
      </c>
      <c r="AH157">
        <v>43.44501577607111</v>
      </c>
      <c r="AI157">
        <f>20.466426884227452*1</f>
        <v>0</v>
      </c>
      <c r="AJ157">
        <f>4.037955250866558*1</f>
        <v>0</v>
      </c>
      <c r="AK157">
        <v>1</v>
      </c>
      <c r="AL157">
        <v>1</v>
      </c>
      <c r="AM157">
        <v>1</v>
      </c>
    </row>
    <row r="158" spans="1:39">
      <c r="A158" t="s">
        <v>378</v>
      </c>
      <c r="B158" t="s">
        <v>379</v>
      </c>
      <c r="C158" t="s">
        <v>380</v>
      </c>
      <c r="D158" t="s">
        <v>5</v>
      </c>
      <c r="E158">
        <v>0</v>
      </c>
      <c r="F158">
        <v>0</v>
      </c>
      <c r="G158">
        <v>1</v>
      </c>
      <c r="H158">
        <v>0</v>
      </c>
      <c r="I158" t="s">
        <v>31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5.3</v>
      </c>
      <c r="AE158">
        <v>681</v>
      </c>
      <c r="AF158">
        <v>12.67857142857143</v>
      </c>
      <c r="AG158">
        <v>12.18455732229308</v>
      </c>
      <c r="AH158">
        <v>35.62598601261139</v>
      </c>
      <c r="AI158">
        <f>29.334838090815214*1</f>
        <v>0</v>
      </c>
      <c r="AJ158">
        <f>5.763083185234859*1</f>
        <v>0</v>
      </c>
      <c r="AK158">
        <v>1</v>
      </c>
      <c r="AL158">
        <v>0</v>
      </c>
      <c r="AM158">
        <v>1</v>
      </c>
    </row>
    <row r="159" spans="1:39">
      <c r="A159" t="s">
        <v>381</v>
      </c>
      <c r="B159" t="s">
        <v>382</v>
      </c>
      <c r="C159" t="s">
        <v>383</v>
      </c>
      <c r="D159" t="s">
        <v>5</v>
      </c>
      <c r="E159">
        <v>0</v>
      </c>
      <c r="F159">
        <v>0</v>
      </c>
      <c r="G159">
        <v>1</v>
      </c>
      <c r="H159">
        <v>0</v>
      </c>
      <c r="I159" t="s">
        <v>31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4.9</v>
      </c>
      <c r="AE159">
        <v>686</v>
      </c>
      <c r="AF159">
        <v>11.90503955000956</v>
      </c>
      <c r="AG159">
        <v>9.56584613030296</v>
      </c>
      <c r="AH159">
        <v>11.68571428571429</v>
      </c>
      <c r="AI159">
        <f>18.211075118453394*1</f>
        <v>0</v>
      </c>
      <c r="AJ159">
        <f>3.8324747659509866*1</f>
        <v>0</v>
      </c>
      <c r="AK159">
        <v>1</v>
      </c>
      <c r="AL159">
        <v>0</v>
      </c>
      <c r="AM159">
        <v>0</v>
      </c>
    </row>
    <row r="160" spans="1:39">
      <c r="A160" t="s">
        <v>384</v>
      </c>
      <c r="B160" t="s">
        <v>385</v>
      </c>
      <c r="C160" t="s">
        <v>386</v>
      </c>
      <c r="D160" t="s">
        <v>5</v>
      </c>
      <c r="E160">
        <v>0</v>
      </c>
      <c r="F160">
        <v>0</v>
      </c>
      <c r="G160">
        <v>1</v>
      </c>
      <c r="H160">
        <v>0</v>
      </c>
      <c r="I160" t="s">
        <v>31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5</v>
      </c>
      <c r="AE160">
        <v>690</v>
      </c>
      <c r="AF160">
        <v>11.65217391304347</v>
      </c>
      <c r="AG160">
        <v>10.4390794830588</v>
      </c>
      <c r="AH160">
        <v>11.75002870026894</v>
      </c>
      <c r="AI160">
        <f>9.034124525556848*1</f>
        <v>0</v>
      </c>
      <c r="AJ160">
        <f>1.803530337940236*1</f>
        <v>0</v>
      </c>
      <c r="AK160">
        <v>1</v>
      </c>
      <c r="AL160">
        <v>0</v>
      </c>
      <c r="AM160">
        <v>0</v>
      </c>
    </row>
    <row r="161" spans="1:39">
      <c r="A161" t="s">
        <v>387</v>
      </c>
      <c r="B161" t="s">
        <v>388</v>
      </c>
      <c r="C161" t="s">
        <v>389</v>
      </c>
      <c r="D161" t="s">
        <v>4</v>
      </c>
      <c r="E161">
        <v>0</v>
      </c>
      <c r="F161">
        <v>1</v>
      </c>
      <c r="G161">
        <v>0</v>
      </c>
      <c r="H161">
        <v>0</v>
      </c>
      <c r="I161" t="s">
        <v>31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4.5</v>
      </c>
      <c r="AE161">
        <v>692</v>
      </c>
      <c r="AF161">
        <v>18.69731683978652</v>
      </c>
      <c r="AG161">
        <v>15.99441376202493</v>
      </c>
      <c r="AH161">
        <v>23.92306904545225</v>
      </c>
      <c r="AI161">
        <f>19.806770922334223*1</f>
        <v>0</v>
      </c>
      <c r="AJ161">
        <f>3.1602032719552247*1</f>
        <v>0</v>
      </c>
      <c r="AK161">
        <v>1</v>
      </c>
      <c r="AL161">
        <v>0</v>
      </c>
      <c r="AM161">
        <v>0</v>
      </c>
    </row>
    <row r="162" spans="1:39">
      <c r="A162" t="s">
        <v>390</v>
      </c>
      <c r="B162" t="s">
        <v>391</v>
      </c>
      <c r="C162" t="s">
        <v>391</v>
      </c>
      <c r="D162" t="s">
        <v>6</v>
      </c>
      <c r="E162">
        <v>0</v>
      </c>
      <c r="F162">
        <v>0</v>
      </c>
      <c r="G162">
        <v>0</v>
      </c>
      <c r="H162">
        <v>1</v>
      </c>
      <c r="I162" t="s">
        <v>31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</v>
      </c>
      <c r="AD162">
        <v>5.6</v>
      </c>
      <c r="AE162">
        <v>698</v>
      </c>
      <c r="AF162">
        <v>0</v>
      </c>
      <c r="AG162">
        <v>0</v>
      </c>
      <c r="AH162">
        <v>0</v>
      </c>
      <c r="AI162">
        <f>0.0*1</f>
        <v>0</v>
      </c>
      <c r="AJ162">
        <f>0.0*1</f>
        <v>0</v>
      </c>
      <c r="AK162">
        <v>1</v>
      </c>
      <c r="AL162">
        <v>0</v>
      </c>
      <c r="AM162">
        <v>0</v>
      </c>
    </row>
    <row r="163" spans="1:39">
      <c r="A163" t="s">
        <v>392</v>
      </c>
      <c r="B163" t="s">
        <v>393</v>
      </c>
      <c r="C163" t="s">
        <v>394</v>
      </c>
      <c r="D163" t="s">
        <v>4</v>
      </c>
      <c r="E163">
        <v>0</v>
      </c>
      <c r="F163">
        <v>1</v>
      </c>
      <c r="G163">
        <v>0</v>
      </c>
      <c r="H163">
        <v>0</v>
      </c>
      <c r="I163" t="s">
        <v>31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4.3</v>
      </c>
      <c r="AE163">
        <v>699</v>
      </c>
      <c r="AF163">
        <v>11.61971830985915</v>
      </c>
      <c r="AG163">
        <v>11.84085226296319</v>
      </c>
      <c r="AH163">
        <v>19.90368681020979</v>
      </c>
      <c r="AI163">
        <f>19.44533963249541*1</f>
        <v>0</v>
      </c>
      <c r="AJ163">
        <f>3.8251952664590565*1</f>
        <v>0</v>
      </c>
      <c r="AK163">
        <v>1</v>
      </c>
      <c r="AL163">
        <v>0</v>
      </c>
      <c r="AM16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2024-12-29T19:25:32Z</dcterms:created>
  <dcterms:modified xsi:type="dcterms:W3CDTF">2024-12-29T19:25:32Z</dcterms:modified>
</cp:coreProperties>
</file>