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3537BF9D-8E1B-4E4F-982A-6D3B82DF1373}" xr6:coauthVersionLast="47" xr6:coauthVersionMax="47" xr10:uidLastSave="{00000000-0000-0000-0000-000000000000}"/>
  <bookViews>
    <workbookView xWindow="240" yWindow="760" windowWidth="1858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6" i="1" l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80" i="1"/>
  <c r="AH80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73" i="1"/>
  <c r="AH173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79" i="1"/>
  <c r="AH79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45" i="1"/>
  <c r="AH45" i="1"/>
  <c r="AI73" i="1"/>
  <c r="AH73" i="1"/>
  <c r="AI40" i="1"/>
  <c r="AH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27" i="1"/>
  <c r="AH27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142" i="1"/>
  <c r="AH142" i="1"/>
  <c r="AI141" i="1"/>
  <c r="AH141" i="1"/>
  <c r="AI150" i="1"/>
  <c r="AH150" i="1"/>
  <c r="AI77" i="1"/>
  <c r="AH77" i="1"/>
  <c r="AI76" i="1"/>
  <c r="AH76" i="1"/>
  <c r="AI75" i="1"/>
  <c r="AH75" i="1"/>
  <c r="AI74" i="1"/>
  <c r="AH74" i="1"/>
  <c r="AI159" i="1"/>
  <c r="AH159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113" i="1"/>
  <c r="AH113" i="1"/>
  <c r="AI44" i="1"/>
  <c r="AH44" i="1"/>
  <c r="AI43" i="1"/>
  <c r="AH43" i="1"/>
  <c r="AI42" i="1"/>
  <c r="AH42" i="1"/>
  <c r="AI41" i="1"/>
  <c r="AH41" i="1"/>
  <c r="AI78" i="1"/>
  <c r="AH78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140" i="1"/>
  <c r="AH140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O2" i="1" s="1"/>
  <c r="AI3" i="1"/>
  <c r="AH3" i="1"/>
  <c r="AI2" i="1"/>
  <c r="AH2" i="1"/>
  <c r="AO17" i="1" l="1"/>
</calcChain>
</file>

<file path=xl/sharedStrings.xml><?xml version="1.0" encoding="utf-8"?>
<sst xmlns="http://schemas.openxmlformats.org/spreadsheetml/2006/main" count="1045" uniqueCount="455">
  <si>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</si>
  <si>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</si>
  <si>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</si>
  <si>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</si>
  <si>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</si>
  <si>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</si>
  <si>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</si>
  <si>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</si>
  <si>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</si>
  <si>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</si>
  <si>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</si>
  <si>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</si>
  <si>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</si>
  <si>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</si>
  <si>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</si>
  <si>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</si>
  <si>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</si>
  <si>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</si>
  <si>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</si>
  <si>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</si>
  <si>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</si>
  <si>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</si>
  <si>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</si>
  <si>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</si>
  <si>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</si>
  <si>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</si>
  <si>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</si>
  <si>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</si>
  <si>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</si>
  <si>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</si>
  <si>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</si>
  <si>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</si>
  <si>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</si>
  <si>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</si>
  <si>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</si>
  <si>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</si>
  <si>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</si>
  <si>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</si>
  <si>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</si>
  <si>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</si>
  <si>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</si>
  <si>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</si>
  <si>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</si>
  <si>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</si>
  <si>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</si>
  <si>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</si>
  <si>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</si>
  <si>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</si>
  <si>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</si>
  <si>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</si>
  <si>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</si>
  <si>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</si>
  <si>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</si>
  <si>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</si>
  <si>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</si>
  <si>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</si>
  <si>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</si>
  <si>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</si>
  <si>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</si>
  <si>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</si>
  <si>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</si>
  <si>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</si>
  <si>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</si>
  <si>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</si>
  <si>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</si>
  <si>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</si>
  <si>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</si>
  <si>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</si>
  <si>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</si>
  <si>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</si>
  <si>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</si>
  <si>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</si>
  <si>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</si>
  <si>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</si>
  <si>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</si>
  <si>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</si>
  <si>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</si>
  <si>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</si>
  <si>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</si>
  <si>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</si>
  <si>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</si>
  <si>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</si>
  <si>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</si>
  <si>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</si>
  <si>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</si>
  <si>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</si>
  <si>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Rogers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</si>
  <si>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</si>
  <si>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</si>
  <si>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</si>
  <si>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</si>
  <si>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</si>
  <si>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</si>
  <si>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</si>
  <si>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</si>
  <si>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</si>
  <si>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</si>
  <si>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</si>
  <si>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</si>
  <si>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</si>
  <si>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</si>
  <si>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</si>
  <si>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</si>
  <si>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</si>
  <si>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</si>
  <si>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</si>
  <si>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</si>
  <si>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</si>
  <si>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</si>
  <si>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</si>
  <si>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</si>
  <si>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</si>
  <si>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</si>
  <si>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</si>
  <si>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</si>
  <si>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</si>
  <si>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</si>
  <si>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</si>
  <si>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</si>
  <si>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</si>
  <si>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</si>
  <si>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</si>
  <si>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</si>
  <si>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</si>
  <si>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</si>
  <si>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</si>
  <si>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</si>
  <si>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</si>
  <si>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</si>
  <si>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</si>
  <si>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</si>
  <si>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</si>
  <si>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</si>
  <si>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</si>
  <si>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</si>
  <si>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</si>
  <si>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</si>
  <si>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</si>
  <si>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</si>
  <si>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</si>
  <si>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</si>
  <si>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</si>
  <si>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</si>
  <si>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</si>
  <si>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</si>
  <si>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</si>
  <si>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Pervis</t>
  </si>
  <si>
    <t>Estupiñán</t>
  </si>
  <si>
    <t>Estupiñan</t>
  </si>
  <si>
    <t>Jan Paul</t>
  </si>
  <si>
    <t>van Hecke</t>
  </si>
  <si>
    <t>Van Hecke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</si>
  <si>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</si>
  <si>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</si>
  <si>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</si>
  <si>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</si>
  <si>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</si>
  <si>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</si>
  <si>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</si>
  <si>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</si>
  <si>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</si>
  <si>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</si>
  <si>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</si>
  <si>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</si>
  <si>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</si>
  <si>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</si>
  <si>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</si>
  <si>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</si>
  <si>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</si>
  <si>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</si>
  <si>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</si>
  <si>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</si>
  <si>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</si>
  <si>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</si>
  <si>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</si>
  <si>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</si>
  <si>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</si>
  <si>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</si>
  <si>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</si>
  <si>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</si>
  <si>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</si>
  <si>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</si>
  <si>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</si>
  <si>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</si>
  <si>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</si>
  <si>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</si>
  <si>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</si>
  <si>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</si>
  <si>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</si>
  <si>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</si>
  <si>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</si>
  <si>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</si>
  <si>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</si>
  <si>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</si>
  <si>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</si>
  <si>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</si>
  <si>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</si>
  <si>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</si>
  <si>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</si>
  <si>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</si>
  <si>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</si>
  <si>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</si>
  <si>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</si>
  <si>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</si>
  <si>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</si>
  <si>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</si>
  <si>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</si>
  <si>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</si>
  <si>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</si>
  <si>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</si>
  <si>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</si>
  <si>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</si>
  <si>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</si>
  <si>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</si>
  <si>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</si>
  <si>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</si>
  <si>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</si>
  <si>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</si>
  <si>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</si>
  <si>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</si>
  <si>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</si>
  <si>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</si>
  <si>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</si>
  <si>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</si>
  <si>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</si>
  <si>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</si>
  <si>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</si>
  <si>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</si>
  <si>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</si>
  <si>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</si>
  <si>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</si>
  <si>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</si>
  <si>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</si>
  <si>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</si>
  <si>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</si>
  <si>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</si>
  <si>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</si>
  <si>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</si>
  <si>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</si>
  <si>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</si>
  <si>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</si>
  <si>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</si>
  <si>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</si>
  <si>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</si>
  <si>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</si>
  <si>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</si>
  <si>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</si>
  <si>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</si>
  <si>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</si>
  <si>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</si>
  <si>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Sander</t>
  </si>
  <si>
    <t>Berge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</si>
  <si>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</si>
  <si>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</si>
  <si>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</si>
  <si>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</si>
  <si>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</si>
  <si>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</si>
  <si>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</si>
  <si>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</si>
  <si>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Wout</t>
  </si>
  <si>
    <t>Faes</t>
  </si>
  <si>
    <t>Victor</t>
  </si>
  <si>
    <t>Kristiansen</t>
  </si>
  <si>
    <t>Wilfred</t>
  </si>
  <si>
    <t>Ndidi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</si>
  <si>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</si>
  <si>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</si>
  <si>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</si>
  <si>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</si>
  <si>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</si>
  <si>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</si>
  <si>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</si>
  <si>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</si>
  <si>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</si>
  <si>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</si>
  <si>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</si>
  <si>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</si>
  <si>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</si>
  <si>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</si>
  <si>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</si>
  <si>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</si>
  <si>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</si>
  <si>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</si>
  <si>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</si>
  <si>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</si>
  <si>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</si>
  <si>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</si>
  <si>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</si>
  <si>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</si>
  <si>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</si>
  <si>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</si>
  <si>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</si>
  <si>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</si>
  <si>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</si>
  <si>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</si>
  <si>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Jérémy</t>
  </si>
  <si>
    <t>Doku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</si>
  <si>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</si>
  <si>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</si>
  <si>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</si>
  <si>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</si>
  <si>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</si>
  <si>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</si>
  <si>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</si>
  <si>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</si>
  <si>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</si>
  <si>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</si>
  <si>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</si>
  <si>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</si>
  <si>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</si>
  <si>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</si>
  <si>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</si>
  <si>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</si>
  <si>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</si>
  <si>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</si>
  <si>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</si>
  <si>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</si>
  <si>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</si>
  <si>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</si>
  <si>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</si>
  <si>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</si>
  <si>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Rasmus</t>
  </si>
  <si>
    <t>Højlund</t>
  </si>
  <si>
    <t>Lisandro</t>
  </si>
  <si>
    <t>Martínez</t>
  </si>
  <si>
    <t>André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</si>
  <si>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</si>
  <si>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</si>
  <si>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</si>
  <si>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</si>
  <si>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</si>
  <si>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</si>
  <si>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</si>
  <si>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</si>
  <si>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</si>
  <si>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</si>
  <si>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</si>
  <si>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</si>
  <si>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</si>
  <si>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</si>
  <si>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</si>
  <si>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</si>
  <si>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</si>
  <si>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</si>
  <si>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</si>
  <si>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</si>
  <si>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</si>
  <si>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</si>
  <si>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Nick</t>
  </si>
  <si>
    <t>Pope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</si>
  <si>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</si>
  <si>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</si>
  <si>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</si>
  <si>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</si>
  <si>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</si>
  <si>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</si>
  <si>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</si>
  <si>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</si>
  <si>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</si>
  <si>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</si>
  <si>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</si>
  <si>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</si>
  <si>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</si>
  <si>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</si>
  <si>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</si>
  <si>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</si>
  <si>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</si>
  <si>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</si>
  <si>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</si>
  <si>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</si>
  <si>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</si>
  <si>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</si>
  <si>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</si>
  <si>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</si>
  <si>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</si>
  <si>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</si>
  <si>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</si>
  <si>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</si>
  <si>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</si>
  <si>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</si>
  <si>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</si>
  <si>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</si>
  <si>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</si>
  <si>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</si>
  <si>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</si>
  <si>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</si>
  <si>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</si>
  <si>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</si>
  <si>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</si>
  <si>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</si>
  <si>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</si>
  <si>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</si>
  <si>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</si>
  <si>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</si>
  <si>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</si>
  <si>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</si>
  <si>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</si>
  <si>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</si>
  <si>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</si>
  <si>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</si>
  <si>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</si>
  <si>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</si>
  <si>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</si>
  <si>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</si>
  <si>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</si>
  <si>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</si>
  <si>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</si>
  <si>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</si>
  <si>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</si>
  <si>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</si>
  <si>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Michail</t>
  </si>
  <si>
    <t>Antonio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</si>
  <si>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</si>
  <si>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</si>
  <si>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</si>
  <si>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</si>
  <si>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</si>
  <si>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</si>
  <si>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</si>
  <si>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</si>
  <si>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</si>
  <si>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</si>
  <si>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</si>
  <si>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</si>
  <si>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</si>
  <si>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</si>
  <si>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</si>
  <si>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</si>
  <si>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</si>
  <si>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</si>
  <si>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</si>
  <si>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</si>
  <si>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</si>
  <si>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</si>
  <si>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</si>
  <si>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Craig</t>
  </si>
  <si>
    <t>Dawson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</si>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</sst>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96" totalsRowShown="0">
  <autoFilter ref="A1:AL196" xr:uid="{00000000-0009-0000-0100-000001000000}">
    <filterColumn colId="37">
      <filters>
        <filter val="1"/>
      </filters>
    </filterColumn>
  </autoFilter>
  <sortState xmlns:xlrd2="http://schemas.microsoft.com/office/spreadsheetml/2017/richdata2" ref="A27:AL189">
    <sortCondition descending="1" ref="AI1:AI196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6"/>
  <sheetViews>
    <sheetView tabSelected="1" workbookViewId="0">
      <selection activeCell="C40" sqref="C40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47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6.8</v>
      </c>
      <c r="AE2">
        <v>1</v>
      </c>
      <c r="AF2">
        <v>72.965741645804883</v>
      </c>
      <c r="AG2">
        <v>76.731893364905119</v>
      </c>
      <c r="AH2">
        <f>24.8854532105684*1</f>
        <v>24.8854532105684</v>
      </c>
      <c r="AI2">
        <f>1.10297320162246*1</f>
        <v>1.10297320162246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1134.282853991944</v>
      </c>
      <c r="AP2" t="s">
        <v>1</v>
      </c>
    </row>
    <row r="3" spans="1:43" hidden="1" x14ac:dyDescent="0.2">
      <c r="A3" t="s">
        <v>45</v>
      </c>
      <c r="B3" t="s">
        <v>48</v>
      </c>
      <c r="C3" t="s">
        <v>45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6.4</v>
      </c>
      <c r="AE3">
        <v>2</v>
      </c>
      <c r="AF3">
        <v>77.66256414635275</v>
      </c>
      <c r="AG3">
        <v>81.152922534153134</v>
      </c>
      <c r="AH3">
        <f>62.1299791890394*1</f>
        <v>62.129979189039403</v>
      </c>
      <c r="AI3">
        <f>3.1648299302821*1</f>
        <v>3.1648299302820999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7.9</v>
      </c>
      <c r="AE4">
        <v>3</v>
      </c>
      <c r="AF4">
        <v>76.152780609789517</v>
      </c>
      <c r="AG4">
        <v>57.949231231445133</v>
      </c>
      <c r="AH4">
        <f>57.6413276742214*1</f>
        <v>57.641327674221401</v>
      </c>
      <c r="AI4">
        <f>3.3047540153073*1</f>
        <v>3.3047540153072998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98.2</v>
      </c>
      <c r="AP4">
        <v>100.6</v>
      </c>
    </row>
    <row r="5" spans="1:43" hidden="1" x14ac:dyDescent="0.2">
      <c r="A5" t="s">
        <v>45</v>
      </c>
      <c r="B5" t="s">
        <v>51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83.600000000000009</v>
      </c>
      <c r="AG5">
        <v>77.20646130190444</v>
      </c>
      <c r="AH5">
        <f>38.8992510507206*1</f>
        <v>38.899251050720601</v>
      </c>
      <c r="AI5">
        <f>1.89955831520377*1</f>
        <v>1.8995583152037701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78.294969467786032</v>
      </c>
      <c r="AG6">
        <v>72.543349894263869</v>
      </c>
      <c r="AH6">
        <f>50.2707717867933*1</f>
        <v>50.270771786793297</v>
      </c>
      <c r="AI6">
        <f>2.74692066786451*1</f>
        <v>2.7469206678645102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67.608090141549042</v>
      </c>
      <c r="AG7">
        <v>55.914077619531177</v>
      </c>
      <c r="AH7">
        <f>33.2493616205215*1</f>
        <v>33.249361620521498</v>
      </c>
      <c r="AI7">
        <f>1.75209190266767*1</f>
        <v>1.75209190266767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10.3</v>
      </c>
      <c r="AE8">
        <v>13</v>
      </c>
      <c r="AF8">
        <v>121.91794083746819</v>
      </c>
      <c r="AG8">
        <v>96.724562469390577</v>
      </c>
      <c r="AH8">
        <f>103.622467892054*0.578947368421052</f>
        <v>59.991955095399618</v>
      </c>
      <c r="AI8">
        <f>5.36654319815514*0.578947368421052</f>
        <v>3.1069460620898148</v>
      </c>
      <c r="AJ8">
        <v>0.57894736842105265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80.037500000000009</v>
      </c>
      <c r="AG9">
        <v>79.273591381347302</v>
      </c>
      <c r="AH9">
        <f>58.624560282285*1</f>
        <v>58.624560282285003</v>
      </c>
      <c r="AI9">
        <f>3.10439310552868*1</f>
        <v>3.10439310552868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62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46.4794092641975</v>
      </c>
      <c r="AG10">
        <v>38.84780224777689</v>
      </c>
      <c r="AH10">
        <f>42.3463200350534*1</f>
        <v>42.346320035053402</v>
      </c>
      <c r="AI10">
        <f>2.04211533761432*1</f>
        <v>2.04211533761432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72.798913043478294</v>
      </c>
      <c r="AG11">
        <v>72.107412750881252</v>
      </c>
      <c r="AH11">
        <f>33.3127683427414*1</f>
        <v>33.3127683427414</v>
      </c>
      <c r="AI11">
        <f>1.65222600286595*1</f>
        <v>1.6522260028659499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6.2</v>
      </c>
      <c r="AE12">
        <v>33</v>
      </c>
      <c r="AF12">
        <v>59.069306930693081</v>
      </c>
      <c r="AG12">
        <v>55.445882640002537</v>
      </c>
      <c r="AH12">
        <f>22.5015019713688*1</f>
        <v>22.5015019713688</v>
      </c>
      <c r="AI12">
        <f>1.18363112714653*1</f>
        <v>1.1836311271465301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34</v>
      </c>
      <c r="AF13">
        <v>53.538806155446068</v>
      </c>
      <c r="AG13">
        <v>76.66216531349383</v>
      </c>
      <c r="AH13">
        <f>28.8604802877258*1</f>
        <v>28.8604802877258</v>
      </c>
      <c r="AI13">
        <f>1.30315045918551*1</f>
        <v>1.3031504591855101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41</v>
      </c>
      <c r="AF14">
        <v>45.576295426109667</v>
      </c>
      <c r="AG14">
        <v>64.019131750041808</v>
      </c>
      <c r="AH14">
        <f>26.6711294323009*1</f>
        <v>26.671129432300901</v>
      </c>
      <c r="AI14">
        <f>1.33483655022643*1</f>
        <v>1.3348365502264301</v>
      </c>
      <c r="AJ14">
        <v>1</v>
      </c>
      <c r="AK14">
        <v>0</v>
      </c>
      <c r="AL14"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5.8</v>
      </c>
      <c r="AE15">
        <v>43</v>
      </c>
      <c r="AF15">
        <v>40.150943396226417</v>
      </c>
      <c r="AG15">
        <v>45.139951445411072</v>
      </c>
      <c r="AH15">
        <f>51.9174460482648*1</f>
        <v>51.9174460482648</v>
      </c>
      <c r="AI15">
        <f>2.58988601528796*1</f>
        <v>2.5898860152879601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77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49</v>
      </c>
      <c r="AF16">
        <v>51.977011494252856</v>
      </c>
      <c r="AG16">
        <v>58.227808534437997</v>
      </c>
      <c r="AH16">
        <f>26.3288690216135*1</f>
        <v>26.3288690216135</v>
      </c>
      <c r="AI16">
        <f>1.36279791328703*1</f>
        <v>1.36279791328703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80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52</v>
      </c>
      <c r="AF17">
        <v>62.613636363636381</v>
      </c>
      <c r="AG17">
        <v>62.552003144634028</v>
      </c>
      <c r="AH17">
        <f>31.1391944063182*1</f>
        <v>31.1391944063182</v>
      </c>
      <c r="AI17">
        <f>1.45627624877488*1</f>
        <v>1.4562762487748799</v>
      </c>
      <c r="AJ17">
        <v>1</v>
      </c>
      <c r="AK17">
        <v>0</v>
      </c>
      <c r="AL17">
        <v>0</v>
      </c>
      <c r="AN17" t="s">
        <v>11</v>
      </c>
      <c r="AO17">
        <f>AO2-AO15*19</f>
        <v>1134.282853991944</v>
      </c>
    </row>
    <row r="18" spans="1:42" hidden="1" x14ac:dyDescent="0.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5.2</v>
      </c>
      <c r="AE18">
        <v>53</v>
      </c>
      <c r="AF18">
        <v>56.46927374301675</v>
      </c>
      <c r="AG18">
        <v>56.597063264775898</v>
      </c>
      <c r="AH18">
        <f>29.8115656742321*1</f>
        <v>29.811565674232099</v>
      </c>
      <c r="AI18">
        <f>1.56678679492599*1</f>
        <v>1.5667867949259899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83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4.3</v>
      </c>
      <c r="AE19">
        <v>57</v>
      </c>
      <c r="AF19">
        <v>47.297872340425528</v>
      </c>
      <c r="AG19">
        <v>50.181035082198328</v>
      </c>
      <c r="AH19">
        <f>19.079939156922*1</f>
        <v>19.079939156921998</v>
      </c>
      <c r="AI19">
        <f>1.02751518568681*1</f>
        <v>1.0275151856868101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85</v>
      </c>
      <c r="B20" t="s">
        <v>86</v>
      </c>
      <c r="C20" t="s">
        <v>86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5.5</v>
      </c>
      <c r="AE20">
        <v>59</v>
      </c>
      <c r="AF20">
        <v>0</v>
      </c>
      <c r="AG20">
        <v>0</v>
      </c>
      <c r="AH20">
        <f>0*1</f>
        <v>0</v>
      </c>
      <c r="AI20">
        <f>0*1</f>
        <v>0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62</v>
      </c>
      <c r="AF21">
        <v>49.227947952121497</v>
      </c>
      <c r="AG21">
        <v>63.16707754554637</v>
      </c>
      <c r="AH21">
        <f>25.434073036976*1</f>
        <v>25.434073036975999</v>
      </c>
      <c r="AI21">
        <f>1.14888926861685*1</f>
        <v>1.1488892686168499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hidden="1" x14ac:dyDescent="0.2">
      <c r="A22" t="s">
        <v>89</v>
      </c>
      <c r="B22" t="s">
        <v>90</v>
      </c>
      <c r="C22" t="s">
        <v>90</v>
      </c>
      <c r="D22" t="s">
        <v>6</v>
      </c>
      <c r="E22">
        <v>0</v>
      </c>
      <c r="F22">
        <v>0</v>
      </c>
      <c r="G22">
        <v>0</v>
      </c>
      <c r="H22">
        <v>1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8.8000000000000007</v>
      </c>
      <c r="AE22">
        <v>63</v>
      </c>
      <c r="AF22">
        <v>90.937106918239053</v>
      </c>
      <c r="AG22">
        <v>93.500973997217613</v>
      </c>
      <c r="AH22">
        <f>61.3041753846372*1</f>
        <v>61.304175384637198</v>
      </c>
      <c r="AI22">
        <f>3.21420035858627*1</f>
        <v>3.21420035858627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2</v>
      </c>
      <c r="AP22">
        <v>3</v>
      </c>
    </row>
    <row r="23" spans="1:42" hidden="1" x14ac:dyDescent="0.2">
      <c r="A23" t="s">
        <v>91</v>
      </c>
      <c r="B23" t="s">
        <v>92</v>
      </c>
      <c r="C23" t="s">
        <v>92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64</v>
      </c>
      <c r="AF23">
        <v>45.00008317486347</v>
      </c>
      <c r="AG23">
        <v>41.024868531563612</v>
      </c>
      <c r="AH23">
        <f>29.4139604970084*1</f>
        <v>29.4139604970084</v>
      </c>
      <c r="AI23">
        <f>1.74893957011298*1</f>
        <v>1.74893957011298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93</v>
      </c>
      <c r="B24" t="s">
        <v>94</v>
      </c>
      <c r="C24" t="s">
        <v>94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4.9000000000000004</v>
      </c>
      <c r="AE24">
        <v>75</v>
      </c>
      <c r="AF24">
        <v>41.845238095238088</v>
      </c>
      <c r="AG24">
        <v>33.650128035628192</v>
      </c>
      <c r="AH24">
        <f>32.590229150417*1</f>
        <v>32.590229150417002</v>
      </c>
      <c r="AI24">
        <f>1.69286219352016*1</f>
        <v>1.69286219352016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95</v>
      </c>
      <c r="B25" t="s">
        <v>96</v>
      </c>
      <c r="C25" t="s">
        <v>96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76</v>
      </c>
      <c r="AF25">
        <v>44.2088451379433</v>
      </c>
      <c r="AG25">
        <v>32.088937184096913</v>
      </c>
      <c r="AH25">
        <f>46.5353319738219*1</f>
        <v>46.535331973821897</v>
      </c>
      <c r="AI25">
        <f>2.27221074928549*1</f>
        <v>2.2722107492854899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1</v>
      </c>
      <c r="AP25">
        <v>3</v>
      </c>
    </row>
    <row r="26" spans="1:42" hidden="1" x14ac:dyDescent="0.2">
      <c r="A26" t="s">
        <v>97</v>
      </c>
      <c r="B26" t="s">
        <v>98</v>
      </c>
      <c r="C26" t="s">
        <v>99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5.4</v>
      </c>
      <c r="AE26">
        <v>77</v>
      </c>
      <c r="AF26">
        <v>0</v>
      </c>
      <c r="AG26">
        <v>0</v>
      </c>
      <c r="AH26">
        <f>0*1</f>
        <v>0</v>
      </c>
      <c r="AI26">
        <f>0*1</f>
        <v>0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3</v>
      </c>
      <c r="AP26">
        <v>3</v>
      </c>
    </row>
    <row r="27" spans="1:42" x14ac:dyDescent="0.2">
      <c r="A27" t="s">
        <v>281</v>
      </c>
      <c r="B27" t="s">
        <v>282</v>
      </c>
      <c r="C27" t="s">
        <v>283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13.6</v>
      </c>
      <c r="AE27">
        <v>409</v>
      </c>
      <c r="AF27">
        <v>136.52488687782801</v>
      </c>
      <c r="AG27">
        <v>138.9704008325624</v>
      </c>
      <c r="AH27">
        <f>154.093830433982*1</f>
        <v>154.09383043398199</v>
      </c>
      <c r="AI27">
        <f>8.1214655258351*1</f>
        <v>8.1214655258351005</v>
      </c>
      <c r="AJ27">
        <v>1</v>
      </c>
      <c r="AK27">
        <v>1</v>
      </c>
      <c r="AL27">
        <v>1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102</v>
      </c>
      <c r="B28" t="s">
        <v>103</v>
      </c>
      <c r="C28" t="s">
        <v>103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5.5</v>
      </c>
      <c r="AE28">
        <v>83</v>
      </c>
      <c r="AF28">
        <v>67.08163265306122</v>
      </c>
      <c r="AG28">
        <v>45.290859173394573</v>
      </c>
      <c r="AH28">
        <f>59.5063205098577*1</f>
        <v>59.506320509857701</v>
      </c>
      <c r="AI28">
        <f>3.05428466421636*1</f>
        <v>3.0542846642163601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104</v>
      </c>
      <c r="B29" t="s">
        <v>105</v>
      </c>
      <c r="C29" t="s">
        <v>106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85</v>
      </c>
      <c r="AF29">
        <v>44.129032258064491</v>
      </c>
      <c r="AG29">
        <v>31.268135292441411</v>
      </c>
      <c r="AH29">
        <f>50.0848835880379*1</f>
        <v>50.084883588037897</v>
      </c>
      <c r="AI29">
        <f>2.58830705175867*1</f>
        <v>2.5883070517586702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107</v>
      </c>
      <c r="B30" t="s">
        <v>108</v>
      </c>
      <c r="C30" t="s">
        <v>108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5.6</v>
      </c>
      <c r="AE30">
        <v>89</v>
      </c>
      <c r="AF30">
        <v>61.830508474576241</v>
      </c>
      <c r="AG30">
        <v>45.016462564434491</v>
      </c>
      <c r="AH30">
        <f>31.9496805075994*1</f>
        <v>31.9496805075994</v>
      </c>
      <c r="AI30">
        <f>1.6292045817006*1</f>
        <v>1.6292045817006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109</v>
      </c>
      <c r="B31" t="s">
        <v>110</v>
      </c>
      <c r="C31" t="s">
        <v>110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92</v>
      </c>
      <c r="AF31">
        <v>45.273437499999993</v>
      </c>
      <c r="AG31">
        <v>40.479146554053692</v>
      </c>
      <c r="AH31">
        <f>30.1521421586856*1</f>
        <v>30.152142158685599</v>
      </c>
      <c r="AI31">
        <f>1.55745343716183*1</f>
        <v>1.55745343716183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111</v>
      </c>
      <c r="B32" t="s">
        <v>112</v>
      </c>
      <c r="C32" t="s">
        <v>112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5.4</v>
      </c>
      <c r="AE32">
        <v>93</v>
      </c>
      <c r="AF32">
        <v>63.909090909090942</v>
      </c>
      <c r="AG32">
        <v>96.928474548378816</v>
      </c>
      <c r="AH32">
        <f>37.8285594960038*1</f>
        <v>37.828559496003798</v>
      </c>
      <c r="AI32">
        <f>1.7361706768367*1</f>
        <v>1.7361706768367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0</v>
      </c>
      <c r="AP32">
        <v>3</v>
      </c>
    </row>
    <row r="33" spans="1:42" hidden="1" x14ac:dyDescent="0.2">
      <c r="A33" t="s">
        <v>113</v>
      </c>
      <c r="B33" t="s">
        <v>114</v>
      </c>
      <c r="C33" t="s">
        <v>114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95</v>
      </c>
      <c r="AF33">
        <v>44.440677966101703</v>
      </c>
      <c r="AG33">
        <v>41.307567217626278</v>
      </c>
      <c r="AH33">
        <f>34.7186880753955*1</f>
        <v>34.718688075395498</v>
      </c>
      <c r="AI33">
        <f>1.76452616328088*1</f>
        <v>1.76452616328088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115</v>
      </c>
      <c r="B34" t="s">
        <v>116</v>
      </c>
      <c r="C34" t="s">
        <v>116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96</v>
      </c>
      <c r="AF34">
        <v>70.364406779661039</v>
      </c>
      <c r="AG34">
        <v>70.934429597965888</v>
      </c>
      <c r="AH34">
        <f>50.097762297593*1</f>
        <v>50.097762297593</v>
      </c>
      <c r="AI34">
        <f>2.57701720492042*1</f>
        <v>2.5770172049204199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117</v>
      </c>
      <c r="B35" t="s">
        <v>118</v>
      </c>
      <c r="C35" t="s">
        <v>118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4.5999999999999996</v>
      </c>
      <c r="AE35">
        <v>107</v>
      </c>
      <c r="AF35">
        <v>48.510638297872333</v>
      </c>
      <c r="AG35">
        <v>43.789575328329192</v>
      </c>
      <c r="AH35">
        <f>40.9170452856322*1</f>
        <v>40.917045285632199</v>
      </c>
      <c r="AI35">
        <f>2.20063588455649*1</f>
        <v>2.20063588455649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119</v>
      </c>
      <c r="B36" t="s">
        <v>120</v>
      </c>
      <c r="C36" t="s">
        <v>120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108</v>
      </c>
      <c r="AF36">
        <v>67.913160832792329</v>
      </c>
      <c r="AG36">
        <v>25.69683666110177</v>
      </c>
      <c r="AH36">
        <f>94.5225292421663*1</f>
        <v>94.5225292421663</v>
      </c>
      <c r="AI36">
        <f>5.23689630228561*1</f>
        <v>5.2368963022856097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1</v>
      </c>
      <c r="AP36">
        <v>3</v>
      </c>
    </row>
    <row r="37" spans="1:42" hidden="1" x14ac:dyDescent="0.2">
      <c r="A37" t="s">
        <v>121</v>
      </c>
      <c r="B37" t="s">
        <v>122</v>
      </c>
      <c r="C37" t="s">
        <v>122</v>
      </c>
      <c r="D37" t="s">
        <v>3</v>
      </c>
      <c r="E37">
        <v>1</v>
      </c>
      <c r="F37">
        <v>0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110</v>
      </c>
      <c r="AF37">
        <v>59.76363636363638</v>
      </c>
      <c r="AG37">
        <v>68.252447106310782</v>
      </c>
      <c r="AH37">
        <f>19.223910232609*1</f>
        <v>19.223910232609001</v>
      </c>
      <c r="AI37">
        <f>0.877664001375528*1</f>
        <v>0.87766400137552802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123</v>
      </c>
      <c r="B38" t="s">
        <v>124</v>
      </c>
      <c r="C38" t="s">
        <v>124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113</v>
      </c>
      <c r="AF38">
        <v>50.237288135593253</v>
      </c>
      <c r="AG38">
        <v>44.373224116987558</v>
      </c>
      <c r="AH38">
        <f>33.6232655840675*1</f>
        <v>33.623265584067497</v>
      </c>
      <c r="AI38">
        <f>1.71562607192797*1</f>
        <v>1.7156260719279699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125</v>
      </c>
      <c r="B39" t="s">
        <v>126</v>
      </c>
      <c r="C39" t="s">
        <v>126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117</v>
      </c>
      <c r="AF39">
        <v>42.91379310344827</v>
      </c>
      <c r="AG39">
        <v>46.946732306790352</v>
      </c>
      <c r="AH39">
        <f>36.7701649971939*1</f>
        <v>36.770164997193902</v>
      </c>
      <c r="AI39">
        <f>1.87871149509452*1</f>
        <v>1.8787114950945201</v>
      </c>
      <c r="AJ39">
        <v>1</v>
      </c>
      <c r="AK39">
        <v>0</v>
      </c>
      <c r="AL39">
        <v>0</v>
      </c>
    </row>
    <row r="40" spans="1:42" x14ac:dyDescent="0.2">
      <c r="A40" t="s">
        <v>95</v>
      </c>
      <c r="B40" t="s">
        <v>336</v>
      </c>
      <c r="C40" t="s">
        <v>336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26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4.8</v>
      </c>
      <c r="AE40">
        <v>501</v>
      </c>
      <c r="AF40">
        <v>136.84092558045421</v>
      </c>
      <c r="AG40">
        <v>53.232712244742793</v>
      </c>
      <c r="AH40">
        <f>124.767452347502*1</f>
        <v>124.767452347502</v>
      </c>
      <c r="AI40">
        <f>6.72909740672352*1</f>
        <v>6.7290974067235201</v>
      </c>
      <c r="AJ40">
        <v>1</v>
      </c>
      <c r="AK40">
        <v>1</v>
      </c>
      <c r="AL40">
        <v>1</v>
      </c>
    </row>
    <row r="41" spans="1:42" hidden="1" x14ac:dyDescent="0.2">
      <c r="A41" t="s">
        <v>129</v>
      </c>
      <c r="B41" t="s">
        <v>130</v>
      </c>
      <c r="C41" t="s">
        <v>130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120</v>
      </c>
      <c r="AF41">
        <v>52.585858585858588</v>
      </c>
      <c r="AG41">
        <v>57.630007891591013</v>
      </c>
      <c r="AH41">
        <f>28.1318101765856*1</f>
        <v>28.131810176585599</v>
      </c>
      <c r="AI41">
        <f>1.38383823206715*1</f>
        <v>1.3838382320671501</v>
      </c>
      <c r="AJ41">
        <v>1</v>
      </c>
      <c r="AK41">
        <v>0</v>
      </c>
      <c r="AL41">
        <v>0</v>
      </c>
    </row>
    <row r="42" spans="1:42" hidden="1" x14ac:dyDescent="0.2">
      <c r="A42" t="s">
        <v>131</v>
      </c>
      <c r="B42" t="s">
        <v>132</v>
      </c>
      <c r="C42" t="s">
        <v>132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123</v>
      </c>
      <c r="AF42">
        <v>55.339805825242721</v>
      </c>
      <c r="AG42">
        <v>66.109166997973233</v>
      </c>
      <c r="AH42">
        <f>21.2415241262853*1</f>
        <v>21.241524126285299</v>
      </c>
      <c r="AI42">
        <f>1.12070167813616*1</f>
        <v>1.1207016781361601</v>
      </c>
      <c r="AJ42">
        <v>1</v>
      </c>
      <c r="AK42">
        <v>0</v>
      </c>
      <c r="AL42">
        <v>0</v>
      </c>
    </row>
    <row r="43" spans="1:42" hidden="1" x14ac:dyDescent="0.2">
      <c r="A43" t="s">
        <v>133</v>
      </c>
      <c r="B43" t="s">
        <v>134</v>
      </c>
      <c r="C43" t="s">
        <v>135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4.3</v>
      </c>
      <c r="AE43">
        <v>124</v>
      </c>
      <c r="AF43">
        <v>38.336776231110633</v>
      </c>
      <c r="AG43">
        <v>40.686224288016717</v>
      </c>
      <c r="AH43">
        <f>20.1804827385546*1</f>
        <v>20.180482738554598</v>
      </c>
      <c r="AI43">
        <f>1.32353998689239*1</f>
        <v>1.3235399868923901</v>
      </c>
      <c r="AJ43">
        <v>1</v>
      </c>
      <c r="AK43">
        <v>0</v>
      </c>
      <c r="AL43">
        <v>0</v>
      </c>
    </row>
    <row r="44" spans="1:42" hidden="1" x14ac:dyDescent="0.2">
      <c r="A44" t="s">
        <v>136</v>
      </c>
      <c r="B44" t="s">
        <v>137</v>
      </c>
      <c r="C44" t="s">
        <v>137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125</v>
      </c>
      <c r="AF44">
        <v>49.723404255319117</v>
      </c>
      <c r="AG44">
        <v>38.091223531053487</v>
      </c>
      <c r="AH44">
        <f>35.393102947105*1</f>
        <v>35.393102947105</v>
      </c>
      <c r="AI44">
        <f>1.82546185499862*1</f>
        <v>1.8254618549986199</v>
      </c>
      <c r="AJ44">
        <v>1</v>
      </c>
      <c r="AK44">
        <v>0</v>
      </c>
      <c r="AL44">
        <v>0</v>
      </c>
    </row>
    <row r="45" spans="1:42" x14ac:dyDescent="0.2">
      <c r="A45" t="s">
        <v>339</v>
      </c>
      <c r="B45" t="s">
        <v>340</v>
      </c>
      <c r="C45" t="s">
        <v>341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26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5.0999999999999996</v>
      </c>
      <c r="AE45">
        <v>504</v>
      </c>
      <c r="AF45">
        <v>83.784717911713031</v>
      </c>
      <c r="AG45">
        <v>40.554743525120941</v>
      </c>
      <c r="AH45">
        <f>112.453180390347*1</f>
        <v>112.453180390347</v>
      </c>
      <c r="AI45">
        <f>5.95040464510522*1</f>
        <v>5.9504046451052197</v>
      </c>
      <c r="AJ45">
        <v>1</v>
      </c>
      <c r="AK45">
        <v>1</v>
      </c>
      <c r="AL45">
        <v>1</v>
      </c>
    </row>
    <row r="46" spans="1:42" hidden="1" x14ac:dyDescent="0.2">
      <c r="A46" t="s">
        <v>140</v>
      </c>
      <c r="B46" t="s">
        <v>141</v>
      </c>
      <c r="C46" t="s">
        <v>142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132</v>
      </c>
      <c r="AF46">
        <v>0</v>
      </c>
      <c r="AG46">
        <v>0</v>
      </c>
      <c r="AH46">
        <f>0*1</f>
        <v>0</v>
      </c>
      <c r="AI46">
        <f>0*1</f>
        <v>0</v>
      </c>
      <c r="AJ46">
        <v>1</v>
      </c>
      <c r="AK46">
        <v>0</v>
      </c>
      <c r="AL46">
        <v>0</v>
      </c>
    </row>
    <row r="47" spans="1:42" hidden="1" x14ac:dyDescent="0.2">
      <c r="A47" t="s">
        <v>143</v>
      </c>
      <c r="B47" t="s">
        <v>144</v>
      </c>
      <c r="C47" t="s">
        <v>144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</v>
      </c>
      <c r="AE47">
        <v>142</v>
      </c>
      <c r="AF47">
        <v>34.38095238095238</v>
      </c>
      <c r="AG47">
        <v>45.816917955010481</v>
      </c>
      <c r="AH47">
        <f>38.6155426717856*1</f>
        <v>38.615542671785597</v>
      </c>
      <c r="AI47">
        <f>2.11466507886968*1</f>
        <v>2.1146650788696801</v>
      </c>
      <c r="AJ47">
        <v>1</v>
      </c>
      <c r="AK47">
        <v>0</v>
      </c>
      <c r="AL47">
        <v>0</v>
      </c>
    </row>
    <row r="48" spans="1:42" hidden="1" x14ac:dyDescent="0.2">
      <c r="A48" t="s">
        <v>95</v>
      </c>
      <c r="B48" t="s">
        <v>145</v>
      </c>
      <c r="C48" t="s">
        <v>145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4.4000000000000004</v>
      </c>
      <c r="AE48">
        <v>146</v>
      </c>
      <c r="AF48">
        <v>59.019323671497602</v>
      </c>
      <c r="AG48">
        <v>58.798400060094963</v>
      </c>
      <c r="AH48">
        <f>28.7021965315437*1</f>
        <v>28.702196531543699</v>
      </c>
      <c r="AI48">
        <f>1.51617548849172*1</f>
        <v>1.51617548849172</v>
      </c>
      <c r="AJ48">
        <v>1</v>
      </c>
      <c r="AK48">
        <v>0</v>
      </c>
      <c r="AL48">
        <v>0</v>
      </c>
    </row>
    <row r="49" spans="1:38" hidden="1" x14ac:dyDescent="0.2">
      <c r="A49" t="s">
        <v>146</v>
      </c>
      <c r="B49" t="s">
        <v>147</v>
      </c>
      <c r="C49" t="s">
        <v>148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5.0999999999999996</v>
      </c>
      <c r="AE49">
        <v>148</v>
      </c>
      <c r="AF49">
        <v>54.959183056606541</v>
      </c>
      <c r="AG49">
        <v>66.281983265162921</v>
      </c>
      <c r="AH49">
        <f>15.5138935660876*1</f>
        <v>15.513893566087599</v>
      </c>
      <c r="AI49">
        <f>0.88927464161472*1</f>
        <v>0.88927464161472003</v>
      </c>
      <c r="AJ49">
        <v>1</v>
      </c>
      <c r="AK49">
        <v>0</v>
      </c>
      <c r="AL49">
        <v>0</v>
      </c>
    </row>
    <row r="50" spans="1:38" hidden="1" x14ac:dyDescent="0.2">
      <c r="A50" t="s">
        <v>149</v>
      </c>
      <c r="B50" t="s">
        <v>150</v>
      </c>
      <c r="C50" t="s">
        <v>151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170</v>
      </c>
      <c r="AF50">
        <v>39.096153846153832</v>
      </c>
      <c r="AG50">
        <v>42.137750669463443</v>
      </c>
      <c r="AH50">
        <f>26.9071494584297*1</f>
        <v>26.9071494584297</v>
      </c>
      <c r="AI50">
        <f>1.48029446102771*1</f>
        <v>1.48029446102771</v>
      </c>
      <c r="AJ50">
        <v>1</v>
      </c>
      <c r="AK50">
        <v>0</v>
      </c>
      <c r="AL50">
        <v>0</v>
      </c>
    </row>
    <row r="51" spans="1:38" hidden="1" x14ac:dyDescent="0.2">
      <c r="A51" t="s">
        <v>152</v>
      </c>
      <c r="B51" t="s">
        <v>153</v>
      </c>
      <c r="C51" t="s">
        <v>153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172</v>
      </c>
      <c r="AF51">
        <v>0</v>
      </c>
      <c r="AG51">
        <v>0</v>
      </c>
      <c r="AH51">
        <f>0*1</f>
        <v>0</v>
      </c>
      <c r="AI51">
        <f>0*1</f>
        <v>0</v>
      </c>
      <c r="AJ51">
        <v>1</v>
      </c>
      <c r="AK51">
        <v>0</v>
      </c>
      <c r="AL51">
        <v>0</v>
      </c>
    </row>
    <row r="52" spans="1:38" hidden="1" x14ac:dyDescent="0.2">
      <c r="A52" t="s">
        <v>154</v>
      </c>
      <c r="B52" t="s">
        <v>155</v>
      </c>
      <c r="C52" t="s">
        <v>155</v>
      </c>
      <c r="D52" t="s">
        <v>6</v>
      </c>
      <c r="E52">
        <v>0</v>
      </c>
      <c r="F52">
        <v>0</v>
      </c>
      <c r="G52">
        <v>0</v>
      </c>
      <c r="H52">
        <v>1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5.5</v>
      </c>
      <c r="AE52">
        <v>174</v>
      </c>
      <c r="AF52">
        <v>59.999102015719807</v>
      </c>
      <c r="AG52">
        <v>57.276705173112653</v>
      </c>
      <c r="AH52">
        <f>56.2397745173394*1</f>
        <v>56.239774517339399</v>
      </c>
      <c r="AI52">
        <f>2.69965279814694*1</f>
        <v>2.69965279814694</v>
      </c>
      <c r="AJ52">
        <v>1</v>
      </c>
      <c r="AK52">
        <v>0</v>
      </c>
      <c r="AL52">
        <v>0</v>
      </c>
    </row>
    <row r="53" spans="1:38" hidden="1" x14ac:dyDescent="0.2">
      <c r="A53" t="s">
        <v>156</v>
      </c>
      <c r="B53" t="s">
        <v>157</v>
      </c>
      <c r="C53" t="s">
        <v>156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5.3</v>
      </c>
      <c r="AE53">
        <v>180</v>
      </c>
      <c r="AF53">
        <v>0</v>
      </c>
      <c r="AG53">
        <v>0</v>
      </c>
      <c r="AH53">
        <f>0*1</f>
        <v>0</v>
      </c>
      <c r="AI53">
        <f>0*1</f>
        <v>0</v>
      </c>
      <c r="AJ53">
        <v>1</v>
      </c>
      <c r="AK53">
        <v>0</v>
      </c>
      <c r="AL53">
        <v>0</v>
      </c>
    </row>
    <row r="54" spans="1:38" hidden="1" x14ac:dyDescent="0.2">
      <c r="A54" t="s">
        <v>158</v>
      </c>
      <c r="B54" t="s">
        <v>159</v>
      </c>
      <c r="C54" t="s">
        <v>160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192</v>
      </c>
      <c r="AF54">
        <v>45.016775855131883</v>
      </c>
      <c r="AG54">
        <v>32.175143945842827</v>
      </c>
      <c r="AH54">
        <f>44.7108391731884*1</f>
        <v>44.710839173188397</v>
      </c>
      <c r="AI54">
        <f>2.40182394331251*1</f>
        <v>2.4018239433125101</v>
      </c>
      <c r="AJ54">
        <v>1</v>
      </c>
      <c r="AK54">
        <v>0</v>
      </c>
      <c r="AL54">
        <v>0</v>
      </c>
    </row>
    <row r="55" spans="1:38" hidden="1" x14ac:dyDescent="0.2">
      <c r="A55" t="s">
        <v>161</v>
      </c>
      <c r="B55" t="s">
        <v>162</v>
      </c>
      <c r="C55" t="s">
        <v>162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4.5999999999999996</v>
      </c>
      <c r="AE55">
        <v>196</v>
      </c>
      <c r="AF55">
        <v>50.000000000000028</v>
      </c>
      <c r="AG55">
        <v>58.92005024092861</v>
      </c>
      <c r="AH55">
        <f>28.6956360710158*1</f>
        <v>28.695636071015802</v>
      </c>
      <c r="AI55">
        <f>1.61630758249655*1</f>
        <v>1.61630758249655</v>
      </c>
      <c r="AJ55">
        <v>1</v>
      </c>
      <c r="AK55">
        <v>0</v>
      </c>
      <c r="AL55">
        <v>0</v>
      </c>
    </row>
    <row r="56" spans="1:38" hidden="1" x14ac:dyDescent="0.2">
      <c r="A56" t="s">
        <v>163</v>
      </c>
      <c r="B56" t="s">
        <v>164</v>
      </c>
      <c r="C56" t="s">
        <v>165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5.2</v>
      </c>
      <c r="AE56">
        <v>197</v>
      </c>
      <c r="AF56">
        <v>49.13793103448274</v>
      </c>
      <c r="AG56">
        <v>48.221757282985031</v>
      </c>
      <c r="AH56">
        <f>32.9822297559986*1</f>
        <v>32.982229755998603</v>
      </c>
      <c r="AI56">
        <f>1.73912425180914*1</f>
        <v>1.7391242518091401</v>
      </c>
      <c r="AJ56">
        <v>1</v>
      </c>
      <c r="AK56">
        <v>0</v>
      </c>
      <c r="AL56">
        <v>0</v>
      </c>
    </row>
    <row r="57" spans="1:38" hidden="1" x14ac:dyDescent="0.2">
      <c r="A57" t="s">
        <v>166</v>
      </c>
      <c r="B57" t="s">
        <v>167</v>
      </c>
      <c r="C57" t="s">
        <v>166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5.0999999999999996</v>
      </c>
      <c r="AE57">
        <v>202</v>
      </c>
      <c r="AF57">
        <v>54.864791364467621</v>
      </c>
      <c r="AG57">
        <v>44.074928000967269</v>
      </c>
      <c r="AH57">
        <f>57.6894039768848*1</f>
        <v>57.689403976884797</v>
      </c>
      <c r="AI57">
        <f>2.63186624170614*1</f>
        <v>2.63186624170614</v>
      </c>
      <c r="AJ57">
        <v>1</v>
      </c>
      <c r="AK57">
        <v>0</v>
      </c>
      <c r="AL57">
        <v>0</v>
      </c>
    </row>
    <row r="58" spans="1:38" hidden="1" x14ac:dyDescent="0.2">
      <c r="A58" t="s">
        <v>168</v>
      </c>
      <c r="B58" t="s">
        <v>169</v>
      </c>
      <c r="C58" t="s">
        <v>169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4.9000000000000004</v>
      </c>
      <c r="AE58">
        <v>205</v>
      </c>
      <c r="AF58">
        <v>46.035617440313153</v>
      </c>
      <c r="AG58">
        <v>46.541895962219918</v>
      </c>
      <c r="AH58">
        <f>29.7736833951095*1</f>
        <v>29.773683395109501</v>
      </c>
      <c r="AI58">
        <f>1.83528771602883*1</f>
        <v>1.8352877160288299</v>
      </c>
      <c r="AJ58">
        <v>1</v>
      </c>
      <c r="AK58">
        <v>0</v>
      </c>
      <c r="AL58">
        <v>0</v>
      </c>
    </row>
    <row r="59" spans="1:38" hidden="1" x14ac:dyDescent="0.2">
      <c r="A59" t="s">
        <v>170</v>
      </c>
      <c r="B59" t="s">
        <v>171</v>
      </c>
      <c r="C59" t="s">
        <v>171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6.3</v>
      </c>
      <c r="AE59">
        <v>211</v>
      </c>
      <c r="AF59">
        <v>64.367346938775484</v>
      </c>
      <c r="AG59">
        <v>84.424809390235325</v>
      </c>
      <c r="AH59">
        <f>82.2729117956372*1</f>
        <v>82.272911795637199</v>
      </c>
      <c r="AI59">
        <f>4.5831735201655*1</f>
        <v>4.5831735201655004</v>
      </c>
      <c r="AJ59">
        <v>1</v>
      </c>
      <c r="AK59">
        <v>0</v>
      </c>
      <c r="AL59">
        <v>0</v>
      </c>
    </row>
    <row r="60" spans="1:38" hidden="1" x14ac:dyDescent="0.2">
      <c r="A60" t="s">
        <v>172</v>
      </c>
      <c r="B60" t="s">
        <v>173</v>
      </c>
      <c r="C60" t="s">
        <v>174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8.1999999999999993</v>
      </c>
      <c r="AE60">
        <v>214</v>
      </c>
      <c r="AF60">
        <v>85.313725490196006</v>
      </c>
      <c r="AG60">
        <v>98.343005085122726</v>
      </c>
      <c r="AH60">
        <f>76.0272996049837*1</f>
        <v>76.027299604983696</v>
      </c>
      <c r="AI60">
        <f>3.90900323212187*1</f>
        <v>3.90900323212187</v>
      </c>
      <c r="AJ60">
        <v>1</v>
      </c>
      <c r="AK60">
        <v>0</v>
      </c>
      <c r="AL60">
        <v>0</v>
      </c>
    </row>
    <row r="61" spans="1:38" hidden="1" x14ac:dyDescent="0.2">
      <c r="A61" t="s">
        <v>175</v>
      </c>
      <c r="B61" t="s">
        <v>176</v>
      </c>
      <c r="C61" t="s">
        <v>176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5.8</v>
      </c>
      <c r="AE61">
        <v>215</v>
      </c>
      <c r="AF61">
        <v>0</v>
      </c>
      <c r="AG61">
        <v>0</v>
      </c>
      <c r="AH61">
        <f>0*1</f>
        <v>0</v>
      </c>
      <c r="AI61">
        <f>0*1</f>
        <v>0</v>
      </c>
      <c r="AJ61">
        <v>1</v>
      </c>
      <c r="AK61">
        <v>0</v>
      </c>
      <c r="AL61">
        <v>0</v>
      </c>
    </row>
    <row r="62" spans="1:38" hidden="1" x14ac:dyDescent="0.2">
      <c r="A62" t="s">
        <v>177</v>
      </c>
      <c r="B62" t="s">
        <v>178</v>
      </c>
      <c r="C62" t="s">
        <v>178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11.4</v>
      </c>
      <c r="AE62">
        <v>216</v>
      </c>
      <c r="AF62">
        <v>132.5122916666856</v>
      </c>
      <c r="AG62">
        <v>108.5748225523844</v>
      </c>
      <c r="AH62">
        <f>104.990544323983*1</f>
        <v>104.990544323983</v>
      </c>
      <c r="AI62">
        <f>5.43429658839505*1</f>
        <v>5.4342965883950498</v>
      </c>
      <c r="AJ62">
        <v>1</v>
      </c>
      <c r="AK62">
        <v>0</v>
      </c>
      <c r="AL62">
        <v>0</v>
      </c>
    </row>
    <row r="63" spans="1:38" hidden="1" x14ac:dyDescent="0.2">
      <c r="A63" t="s">
        <v>179</v>
      </c>
      <c r="B63" t="s">
        <v>180</v>
      </c>
      <c r="C63" t="s">
        <v>180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219</v>
      </c>
      <c r="AF63">
        <v>68.301724137931046</v>
      </c>
      <c r="AG63">
        <v>66.212398861964203</v>
      </c>
      <c r="AH63">
        <f>45.7956100302022*1</f>
        <v>45.795610030202198</v>
      </c>
      <c r="AI63">
        <f>2.40208138826087*1</f>
        <v>2.40208138826087</v>
      </c>
      <c r="AJ63">
        <v>1</v>
      </c>
      <c r="AK63">
        <v>0</v>
      </c>
      <c r="AL63">
        <v>0</v>
      </c>
    </row>
    <row r="64" spans="1:38" hidden="1" x14ac:dyDescent="0.2">
      <c r="A64" t="s">
        <v>181</v>
      </c>
      <c r="B64" t="s">
        <v>182</v>
      </c>
      <c r="C64" t="s">
        <v>183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6.2</v>
      </c>
      <c r="AE64">
        <v>223</v>
      </c>
      <c r="AF64">
        <v>51.01633697524381</v>
      </c>
      <c r="AG64">
        <v>44.634479329320229</v>
      </c>
      <c r="AH64">
        <f>25.1683130905298*1</f>
        <v>25.1683130905298</v>
      </c>
      <c r="AI64">
        <f>1.24768843676637*1</f>
        <v>1.2476884367663701</v>
      </c>
      <c r="AJ64">
        <v>1</v>
      </c>
      <c r="AK64">
        <v>0</v>
      </c>
      <c r="AL64">
        <v>0</v>
      </c>
    </row>
    <row r="65" spans="1:38" hidden="1" x14ac:dyDescent="0.2">
      <c r="A65" t="s">
        <v>184</v>
      </c>
      <c r="B65" t="s">
        <v>185</v>
      </c>
      <c r="C65" t="s">
        <v>185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6.6</v>
      </c>
      <c r="AE65">
        <v>238</v>
      </c>
      <c r="AF65">
        <v>74.272727272727238</v>
      </c>
      <c r="AG65">
        <v>64.873579195147954</v>
      </c>
      <c r="AH65">
        <f>68.7844118212776*1</f>
        <v>68.784411821277601</v>
      </c>
      <c r="AI65">
        <f>3.77924292910826*1</f>
        <v>3.7792429291082601</v>
      </c>
      <c r="AJ65">
        <v>1</v>
      </c>
      <c r="AK65">
        <v>0</v>
      </c>
      <c r="AL65">
        <v>0</v>
      </c>
    </row>
    <row r="66" spans="1:38" hidden="1" x14ac:dyDescent="0.2">
      <c r="A66" t="s">
        <v>163</v>
      </c>
      <c r="B66" t="s">
        <v>186</v>
      </c>
      <c r="C66" t="s">
        <v>186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</v>
      </c>
      <c r="AE66">
        <v>239</v>
      </c>
      <c r="AF66">
        <v>55.320820420335643</v>
      </c>
      <c r="AG66">
        <v>59.601830713011623</v>
      </c>
      <c r="AH66">
        <f>28.328967562233*1</f>
        <v>28.328967562233</v>
      </c>
      <c r="AI66">
        <f>1.85074215417587*1</f>
        <v>1.85074215417587</v>
      </c>
      <c r="AJ66">
        <v>1</v>
      </c>
      <c r="AK66">
        <v>0</v>
      </c>
      <c r="AL66">
        <v>0</v>
      </c>
    </row>
    <row r="67" spans="1:38" hidden="1" x14ac:dyDescent="0.2">
      <c r="A67" t="s">
        <v>187</v>
      </c>
      <c r="B67" t="s">
        <v>188</v>
      </c>
      <c r="C67" t="s">
        <v>188</v>
      </c>
      <c r="D67" t="s">
        <v>3</v>
      </c>
      <c r="E67">
        <v>1</v>
      </c>
      <c r="F67">
        <v>0</v>
      </c>
      <c r="G67">
        <v>0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240</v>
      </c>
      <c r="AF67">
        <v>72.717839144942261</v>
      </c>
      <c r="AG67">
        <v>78.005667223621074</v>
      </c>
      <c r="AH67">
        <f>45.8370243925629*1</f>
        <v>45.837024392562903</v>
      </c>
      <c r="AI67">
        <f>2.7062449071125*1</f>
        <v>2.7062449071125001</v>
      </c>
      <c r="AJ67">
        <v>1</v>
      </c>
      <c r="AK67">
        <v>0</v>
      </c>
      <c r="AL67">
        <v>0</v>
      </c>
    </row>
    <row r="68" spans="1:38" hidden="1" x14ac:dyDescent="0.2">
      <c r="A68" t="s">
        <v>189</v>
      </c>
      <c r="B68" t="s">
        <v>190</v>
      </c>
      <c r="C68" t="s">
        <v>190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242</v>
      </c>
      <c r="AF68">
        <v>40.182432432432407</v>
      </c>
      <c r="AG68">
        <v>40.496900221145573</v>
      </c>
      <c r="AH68">
        <f>27.1540102185187*1</f>
        <v>27.1540102185187</v>
      </c>
      <c r="AI68">
        <f>1.36823032195889*1</f>
        <v>1.3682303219588901</v>
      </c>
      <c r="AJ68">
        <v>1</v>
      </c>
      <c r="AK68">
        <v>0</v>
      </c>
      <c r="AL68">
        <v>0</v>
      </c>
    </row>
    <row r="69" spans="1:38" hidden="1" x14ac:dyDescent="0.2">
      <c r="A69" t="s">
        <v>191</v>
      </c>
      <c r="B69" t="s">
        <v>192</v>
      </c>
      <c r="C69" t="s">
        <v>193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4.8</v>
      </c>
      <c r="AE69">
        <v>244</v>
      </c>
      <c r="AF69">
        <v>44.974683544303822</v>
      </c>
      <c r="AG69">
        <v>50.748694685983459</v>
      </c>
      <c r="AH69">
        <f>17.7135796763102*1</f>
        <v>17.7135796763102</v>
      </c>
      <c r="AI69">
        <f>0.95039231319766*1</f>
        <v>0.95039231319766004</v>
      </c>
      <c r="AJ69">
        <v>1</v>
      </c>
      <c r="AK69">
        <v>0</v>
      </c>
      <c r="AL69">
        <v>0</v>
      </c>
    </row>
    <row r="70" spans="1:38" hidden="1" x14ac:dyDescent="0.2">
      <c r="A70" t="s">
        <v>194</v>
      </c>
      <c r="B70" t="s">
        <v>195</v>
      </c>
      <c r="C70" t="s">
        <v>195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7.2</v>
      </c>
      <c r="AE70">
        <v>245</v>
      </c>
      <c r="AF70">
        <v>64.151300212893204</v>
      </c>
      <c r="AG70">
        <v>48.718953952894573</v>
      </c>
      <c r="AH70">
        <f>24.5985140894681*1</f>
        <v>24.5985140894681</v>
      </c>
      <c r="AI70">
        <f>1.31887759138164*1</f>
        <v>1.31887759138164</v>
      </c>
      <c r="AJ70">
        <v>1</v>
      </c>
      <c r="AK70">
        <v>0</v>
      </c>
      <c r="AL70">
        <v>0</v>
      </c>
    </row>
    <row r="71" spans="1:38" hidden="1" x14ac:dyDescent="0.2">
      <c r="A71" t="s">
        <v>196</v>
      </c>
      <c r="B71" t="s">
        <v>197</v>
      </c>
      <c r="C71" t="s">
        <v>197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248</v>
      </c>
      <c r="AF71">
        <v>55.820689655172423</v>
      </c>
      <c r="AG71">
        <v>54.632563358930803</v>
      </c>
      <c r="AH71">
        <f>34.1667407158105*1</f>
        <v>34.166740715810498</v>
      </c>
      <c r="AI71">
        <f>1.83794461677659*1</f>
        <v>1.83794461677659</v>
      </c>
      <c r="AJ71">
        <v>1</v>
      </c>
      <c r="AK71">
        <v>0</v>
      </c>
      <c r="AL71">
        <v>0</v>
      </c>
    </row>
    <row r="72" spans="1:38" hidden="1" x14ac:dyDescent="0.2">
      <c r="A72" t="s">
        <v>198</v>
      </c>
      <c r="B72" t="s">
        <v>199</v>
      </c>
      <c r="C72" t="s">
        <v>199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4.7</v>
      </c>
      <c r="AE72">
        <v>249</v>
      </c>
      <c r="AF72">
        <v>0</v>
      </c>
      <c r="AG72">
        <v>0</v>
      </c>
      <c r="AH72">
        <f>0*1</f>
        <v>0</v>
      </c>
      <c r="AI72">
        <f>0*1</f>
        <v>0</v>
      </c>
      <c r="AJ72">
        <v>1</v>
      </c>
      <c r="AK72">
        <v>0</v>
      </c>
      <c r="AL72">
        <v>0</v>
      </c>
    </row>
    <row r="73" spans="1:38" x14ac:dyDescent="0.2">
      <c r="A73" t="s">
        <v>337</v>
      </c>
      <c r="B73" t="s">
        <v>338</v>
      </c>
      <c r="C73" t="s">
        <v>338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26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9.1999999999999993</v>
      </c>
      <c r="AE73">
        <v>503</v>
      </c>
      <c r="AF73">
        <v>107.9545454545455</v>
      </c>
      <c r="AG73">
        <v>95.725267337989465</v>
      </c>
      <c r="AH73">
        <f>104.992533988096*1</f>
        <v>104.992533988096</v>
      </c>
      <c r="AI73">
        <f>5.68476447581005*1</f>
        <v>5.6847644758100504</v>
      </c>
      <c r="AJ73">
        <v>1</v>
      </c>
      <c r="AK73">
        <v>1</v>
      </c>
      <c r="AL73">
        <v>1</v>
      </c>
    </row>
    <row r="74" spans="1:38" hidden="1" x14ac:dyDescent="0.2">
      <c r="A74" t="s">
        <v>203</v>
      </c>
      <c r="B74" t="s">
        <v>204</v>
      </c>
      <c r="C74" t="s">
        <v>205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5.0999999999999996</v>
      </c>
      <c r="AE74">
        <v>265</v>
      </c>
      <c r="AF74">
        <v>58.958762886597938</v>
      </c>
      <c r="AG74">
        <v>63.513910523195868</v>
      </c>
      <c r="AH74">
        <f>33.618038850038*1</f>
        <v>33.618038850037998</v>
      </c>
      <c r="AI74">
        <f>1.77807183100847*1</f>
        <v>1.77807183100847</v>
      </c>
      <c r="AJ74">
        <v>1</v>
      </c>
      <c r="AK74">
        <v>0</v>
      </c>
      <c r="AL74">
        <v>0</v>
      </c>
    </row>
    <row r="75" spans="1:38" hidden="1" x14ac:dyDescent="0.2">
      <c r="A75" t="s">
        <v>206</v>
      </c>
      <c r="B75" t="s">
        <v>207</v>
      </c>
      <c r="C75" t="s">
        <v>207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5.4</v>
      </c>
      <c r="AE75">
        <v>268</v>
      </c>
      <c r="AF75">
        <v>63.609078547095997</v>
      </c>
      <c r="AG75">
        <v>64.094508593109836</v>
      </c>
      <c r="AH75">
        <f>31.5339956034763*1</f>
        <v>31.533995603476299</v>
      </c>
      <c r="AI75">
        <f>1.42429313076228*1</f>
        <v>1.4242931307622799</v>
      </c>
      <c r="AJ75">
        <v>1</v>
      </c>
      <c r="AK75">
        <v>0</v>
      </c>
      <c r="AL75">
        <v>0</v>
      </c>
    </row>
    <row r="76" spans="1:38" hidden="1" x14ac:dyDescent="0.2">
      <c r="A76" t="s">
        <v>208</v>
      </c>
      <c r="B76" t="s">
        <v>209</v>
      </c>
      <c r="C76" t="s">
        <v>210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270</v>
      </c>
      <c r="AF76">
        <v>42.627800390892148</v>
      </c>
      <c r="AG76">
        <v>30.981811566591869</v>
      </c>
      <c r="AH76">
        <f>32.2152387437688*1</f>
        <v>32.215238743768801</v>
      </c>
      <c r="AI76">
        <f>1.78464360944835*1</f>
        <v>1.78464360944835</v>
      </c>
      <c r="AJ76">
        <v>1</v>
      </c>
      <c r="AK76">
        <v>0</v>
      </c>
      <c r="AL76">
        <v>0</v>
      </c>
    </row>
    <row r="77" spans="1:38" hidden="1" x14ac:dyDescent="0.2">
      <c r="A77" t="s">
        <v>211</v>
      </c>
      <c r="B77" t="s">
        <v>212</v>
      </c>
      <c r="C77" t="s">
        <v>212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5.2</v>
      </c>
      <c r="AE77">
        <v>272</v>
      </c>
      <c r="AF77">
        <v>68.061643835616422</v>
      </c>
      <c r="AG77">
        <v>58.074198827968402</v>
      </c>
      <c r="AH77">
        <f>19.4747003810435*1</f>
        <v>19.474700381043501</v>
      </c>
      <c r="AI77">
        <f>1.02192145308462*1</f>
        <v>1.0219214530846199</v>
      </c>
      <c r="AJ77">
        <v>1</v>
      </c>
      <c r="AK77">
        <v>0</v>
      </c>
      <c r="AL77">
        <v>0</v>
      </c>
    </row>
    <row r="78" spans="1:38" x14ac:dyDescent="0.2">
      <c r="A78" t="s">
        <v>127</v>
      </c>
      <c r="B78" t="s">
        <v>128</v>
      </c>
      <c r="C78" t="s">
        <v>128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15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7.7</v>
      </c>
      <c r="AE78">
        <v>118</v>
      </c>
      <c r="AF78">
        <v>103.3731968612652</v>
      </c>
      <c r="AG78">
        <v>83.258245680203927</v>
      </c>
      <c r="AH78">
        <f>107.715533697974*1</f>
        <v>107.715533697974</v>
      </c>
      <c r="AI78">
        <f>5.52330705598678*1</f>
        <v>5.5233070559867796</v>
      </c>
      <c r="AJ78">
        <v>1</v>
      </c>
      <c r="AK78">
        <v>0</v>
      </c>
      <c r="AL78">
        <v>1</v>
      </c>
    </row>
    <row r="79" spans="1:38" x14ac:dyDescent="0.2">
      <c r="A79" t="s">
        <v>357</v>
      </c>
      <c r="B79" t="s">
        <v>358</v>
      </c>
      <c r="C79" t="s">
        <v>358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5.2</v>
      </c>
      <c r="AE79">
        <v>527</v>
      </c>
      <c r="AF79">
        <v>71.553191489361666</v>
      </c>
      <c r="AG79">
        <v>53.988333839275718</v>
      </c>
      <c r="AH79">
        <f>86.900393134958*1</f>
        <v>86.900393134957994</v>
      </c>
      <c r="AI79">
        <f>4.54424282702396*1</f>
        <v>4.5442428270239601</v>
      </c>
      <c r="AJ79">
        <v>1</v>
      </c>
      <c r="AK79">
        <v>1</v>
      </c>
      <c r="AL79">
        <v>1</v>
      </c>
    </row>
    <row r="80" spans="1:38" x14ac:dyDescent="0.2">
      <c r="A80" t="s">
        <v>400</v>
      </c>
      <c r="B80" t="s">
        <v>401</v>
      </c>
      <c r="C80" t="s">
        <v>400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9.9</v>
      </c>
      <c r="AE80">
        <v>623</v>
      </c>
      <c r="AF80">
        <v>99.342440078529108</v>
      </c>
      <c r="AG80">
        <v>92.955496755949412</v>
      </c>
      <c r="AH80">
        <f>63.0894330019303*1</f>
        <v>63.089433001930303</v>
      </c>
      <c r="AI80">
        <f>3.72657662173254*1</f>
        <v>3.7265766217325398</v>
      </c>
      <c r="AJ80">
        <v>1</v>
      </c>
      <c r="AK80">
        <v>1</v>
      </c>
      <c r="AL80">
        <v>1</v>
      </c>
    </row>
    <row r="81" spans="1:38" hidden="1" x14ac:dyDescent="0.2">
      <c r="A81" t="s">
        <v>219</v>
      </c>
      <c r="B81" t="s">
        <v>220</v>
      </c>
      <c r="C81" t="s">
        <v>220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4.7</v>
      </c>
      <c r="AE81">
        <v>285</v>
      </c>
      <c r="AF81">
        <v>50.014705882352942</v>
      </c>
      <c r="AG81">
        <v>42.315512118790217</v>
      </c>
      <c r="AH81">
        <f>58.7407062146264*1</f>
        <v>58.7407062146264</v>
      </c>
      <c r="AI81">
        <f>3.03096257957449*1</f>
        <v>3.0309625795744899</v>
      </c>
      <c r="AJ81">
        <v>1</v>
      </c>
      <c r="AK81">
        <v>0</v>
      </c>
      <c r="AL81">
        <v>0</v>
      </c>
    </row>
    <row r="82" spans="1:38" hidden="1" x14ac:dyDescent="0.2">
      <c r="A82" t="s">
        <v>221</v>
      </c>
      <c r="B82" t="s">
        <v>222</v>
      </c>
      <c r="C82" t="s">
        <v>222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292</v>
      </c>
      <c r="AF82">
        <v>37.065573770491802</v>
      </c>
      <c r="AG82">
        <v>31.56190328865917</v>
      </c>
      <c r="AH82">
        <f>24.6753183166614*1</f>
        <v>24.6753183166614</v>
      </c>
      <c r="AI82">
        <f>1.29988318595377*1</f>
        <v>1.2998831859537701</v>
      </c>
      <c r="AJ82">
        <v>1</v>
      </c>
      <c r="AK82">
        <v>0</v>
      </c>
      <c r="AL82">
        <v>0</v>
      </c>
    </row>
    <row r="83" spans="1:38" hidden="1" x14ac:dyDescent="0.2">
      <c r="A83" t="s">
        <v>223</v>
      </c>
      <c r="B83" t="s">
        <v>224</v>
      </c>
      <c r="C83" t="s">
        <v>224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5.3</v>
      </c>
      <c r="AE83">
        <v>295</v>
      </c>
      <c r="AF83">
        <v>60.677419354838733</v>
      </c>
      <c r="AG83">
        <v>72.90337570069147</v>
      </c>
      <c r="AH83">
        <f>39.0389177795896*1</f>
        <v>39.038917779589603</v>
      </c>
      <c r="AI83">
        <f>1.84313355714694*1</f>
        <v>1.84313355714694</v>
      </c>
      <c r="AJ83">
        <v>1</v>
      </c>
      <c r="AK83">
        <v>0</v>
      </c>
      <c r="AL83">
        <v>0</v>
      </c>
    </row>
    <row r="84" spans="1:38" hidden="1" x14ac:dyDescent="0.2">
      <c r="A84" t="s">
        <v>225</v>
      </c>
      <c r="B84" t="s">
        <v>226</v>
      </c>
      <c r="C84" t="s">
        <v>225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4.7</v>
      </c>
      <c r="AE84">
        <v>297</v>
      </c>
      <c r="AF84">
        <v>28.80941492301514</v>
      </c>
      <c r="AG84">
        <v>57.718759977770262</v>
      </c>
      <c r="AH84">
        <f>24.450468394853*1</f>
        <v>24.450468394853001</v>
      </c>
      <c r="AI84">
        <f>1.44060572819275*1</f>
        <v>1.44060572819275</v>
      </c>
      <c r="AJ84">
        <v>1</v>
      </c>
      <c r="AK84">
        <v>0</v>
      </c>
      <c r="AL84">
        <v>0</v>
      </c>
    </row>
    <row r="85" spans="1:38" hidden="1" x14ac:dyDescent="0.2">
      <c r="A85" t="s">
        <v>227</v>
      </c>
      <c r="B85" t="s">
        <v>228</v>
      </c>
      <c r="C85" t="s">
        <v>227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298</v>
      </c>
      <c r="AF85">
        <v>65.616279069767501</v>
      </c>
      <c r="AG85">
        <v>80.190285020314249</v>
      </c>
      <c r="AH85">
        <f>40.9183697146856*1</f>
        <v>40.918369714685603</v>
      </c>
      <c r="AI85">
        <f>2.08693732704028*1</f>
        <v>2.08693732704028</v>
      </c>
      <c r="AJ85">
        <v>1</v>
      </c>
      <c r="AK85">
        <v>0</v>
      </c>
      <c r="AL85">
        <v>0</v>
      </c>
    </row>
    <row r="86" spans="1:38" hidden="1" x14ac:dyDescent="0.2">
      <c r="A86" t="s">
        <v>229</v>
      </c>
      <c r="B86" t="s">
        <v>230</v>
      </c>
      <c r="C86" t="s">
        <v>230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299</v>
      </c>
      <c r="AF86">
        <v>42.042553191489347</v>
      </c>
      <c r="AG86">
        <v>49.611861993839483</v>
      </c>
      <c r="AH86">
        <f>26.8618667385693*1</f>
        <v>26.861866738569301</v>
      </c>
      <c r="AI86">
        <f>1.23564796106854*1</f>
        <v>1.23564796106854</v>
      </c>
      <c r="AJ86">
        <v>1</v>
      </c>
      <c r="AK86">
        <v>0</v>
      </c>
      <c r="AL86">
        <v>0</v>
      </c>
    </row>
    <row r="87" spans="1:38" hidden="1" x14ac:dyDescent="0.2">
      <c r="A87" t="s">
        <v>231</v>
      </c>
      <c r="B87" t="s">
        <v>232</v>
      </c>
      <c r="C87" t="s">
        <v>232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4.4000000000000004</v>
      </c>
      <c r="AE87">
        <v>303</v>
      </c>
      <c r="AF87">
        <v>47.813536801161021</v>
      </c>
      <c r="AG87">
        <v>58.452370245393958</v>
      </c>
      <c r="AH87">
        <f>22.1641540662119*1</f>
        <v>22.1641540662119</v>
      </c>
      <c r="AI87">
        <f>1.04425698314532*1</f>
        <v>1.0442569831453199</v>
      </c>
      <c r="AJ87">
        <v>1</v>
      </c>
      <c r="AK87">
        <v>0</v>
      </c>
      <c r="AL87">
        <v>0</v>
      </c>
    </row>
    <row r="88" spans="1:38" hidden="1" x14ac:dyDescent="0.2">
      <c r="A88" t="s">
        <v>233</v>
      </c>
      <c r="B88" t="s">
        <v>234</v>
      </c>
      <c r="C88" t="s">
        <v>234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5.9</v>
      </c>
      <c r="AE88">
        <v>305</v>
      </c>
      <c r="AF88">
        <v>71.955426389089382</v>
      </c>
      <c r="AG88">
        <v>49.840933282730013</v>
      </c>
      <c r="AH88">
        <f>75.6090069988896*1</f>
        <v>75.609006998889598</v>
      </c>
      <c r="AI88">
        <f>3.84129329328388*1</f>
        <v>3.8412932932838801</v>
      </c>
      <c r="AJ88">
        <v>1</v>
      </c>
      <c r="AK88">
        <v>0</v>
      </c>
      <c r="AL88">
        <v>0</v>
      </c>
    </row>
    <row r="89" spans="1:38" hidden="1" x14ac:dyDescent="0.2">
      <c r="A89" t="s">
        <v>235</v>
      </c>
      <c r="B89" t="s">
        <v>236</v>
      </c>
      <c r="C89" t="s">
        <v>236</v>
      </c>
      <c r="D89" t="s">
        <v>3</v>
      </c>
      <c r="E89">
        <v>1</v>
      </c>
      <c r="F89">
        <v>0</v>
      </c>
      <c r="G89">
        <v>0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</v>
      </c>
      <c r="AE89">
        <v>306</v>
      </c>
      <c r="AF89">
        <v>67.857462553537104</v>
      </c>
      <c r="AG89">
        <v>72.354495048981235</v>
      </c>
      <c r="AH89">
        <f>38.937458982685*1</f>
        <v>38.937458982685001</v>
      </c>
      <c r="AI89">
        <f>2.05432657914993*1</f>
        <v>2.0543265791499299</v>
      </c>
      <c r="AJ89">
        <v>1</v>
      </c>
      <c r="AK89">
        <v>0</v>
      </c>
      <c r="AL89">
        <v>0</v>
      </c>
    </row>
    <row r="90" spans="1:38" hidden="1" x14ac:dyDescent="0.2">
      <c r="A90" t="s">
        <v>237</v>
      </c>
      <c r="B90" t="s">
        <v>238</v>
      </c>
      <c r="C90" t="s">
        <v>238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4.8</v>
      </c>
      <c r="AE90">
        <v>307</v>
      </c>
      <c r="AF90">
        <v>0</v>
      </c>
      <c r="AG90">
        <v>0</v>
      </c>
      <c r="AH90">
        <f>0*1</f>
        <v>0</v>
      </c>
      <c r="AI90">
        <f>0*1</f>
        <v>0</v>
      </c>
      <c r="AJ90">
        <v>1</v>
      </c>
      <c r="AK90">
        <v>0</v>
      </c>
      <c r="AL90">
        <v>0</v>
      </c>
    </row>
    <row r="91" spans="1:38" hidden="1" x14ac:dyDescent="0.2">
      <c r="A91" t="s">
        <v>239</v>
      </c>
      <c r="B91" t="s">
        <v>240</v>
      </c>
      <c r="C91" t="s">
        <v>241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5.5</v>
      </c>
      <c r="AE91">
        <v>309</v>
      </c>
      <c r="AF91">
        <v>59.125724287737583</v>
      </c>
      <c r="AG91">
        <v>84.018960940130327</v>
      </c>
      <c r="AH91">
        <f>19.5883926554034*1</f>
        <v>19.5883926554034</v>
      </c>
      <c r="AI91">
        <f>0.988872987066969*1</f>
        <v>0.98887298706696902</v>
      </c>
      <c r="AJ91">
        <v>1</v>
      </c>
      <c r="AK91">
        <v>0</v>
      </c>
      <c r="AL91">
        <v>0</v>
      </c>
    </row>
    <row r="92" spans="1:38" hidden="1" x14ac:dyDescent="0.2">
      <c r="A92" t="s">
        <v>242</v>
      </c>
      <c r="B92" t="s">
        <v>243</v>
      </c>
      <c r="C92" t="s">
        <v>242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5.5</v>
      </c>
      <c r="AE92">
        <v>310</v>
      </c>
      <c r="AF92">
        <v>69.497532580114395</v>
      </c>
      <c r="AG92">
        <v>80.796255151732652</v>
      </c>
      <c r="AH92">
        <f>49.3345102961748*1</f>
        <v>49.334510296174798</v>
      </c>
      <c r="AI92">
        <f>2.59779595829338*1</f>
        <v>2.5977959582933798</v>
      </c>
      <c r="AJ92">
        <v>1</v>
      </c>
      <c r="AK92">
        <v>0</v>
      </c>
      <c r="AL92">
        <v>0</v>
      </c>
    </row>
    <row r="93" spans="1:38" hidden="1" x14ac:dyDescent="0.2">
      <c r="A93" t="s">
        <v>244</v>
      </c>
      <c r="B93" t="s">
        <v>245</v>
      </c>
      <c r="C93" t="s">
        <v>245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313</v>
      </c>
      <c r="AF93">
        <v>51.103448275862092</v>
      </c>
      <c r="AG93">
        <v>42.334532900969307</v>
      </c>
      <c r="AH93">
        <f>52.8500545321148*1</f>
        <v>52.850054532114797</v>
      </c>
      <c r="AI93">
        <f>2.82551690197152*1</f>
        <v>2.8255169019715201</v>
      </c>
      <c r="AJ93">
        <v>1</v>
      </c>
      <c r="AK93">
        <v>0</v>
      </c>
      <c r="AL93">
        <v>0</v>
      </c>
    </row>
    <row r="94" spans="1:38" hidden="1" x14ac:dyDescent="0.2">
      <c r="A94" t="s">
        <v>246</v>
      </c>
      <c r="B94" t="s">
        <v>247</v>
      </c>
      <c r="C94" t="s">
        <v>247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</v>
      </c>
      <c r="AE94">
        <v>315</v>
      </c>
      <c r="AF94">
        <v>45.437922061156513</v>
      </c>
      <c r="AG94">
        <v>54.795367776947757</v>
      </c>
      <c r="AH94">
        <f>24.1722155434795*1</f>
        <v>24.172215543479499</v>
      </c>
      <c r="AI94">
        <f>0.734724044364074*1</f>
        <v>0.73472404436407401</v>
      </c>
      <c r="AJ94">
        <v>1</v>
      </c>
      <c r="AK94">
        <v>0</v>
      </c>
      <c r="AL94">
        <v>0</v>
      </c>
    </row>
    <row r="95" spans="1:38" hidden="1" x14ac:dyDescent="0.2">
      <c r="A95" t="s">
        <v>248</v>
      </c>
      <c r="B95" t="s">
        <v>249</v>
      </c>
      <c r="C95" t="s">
        <v>249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5.2</v>
      </c>
      <c r="AE95">
        <v>317</v>
      </c>
      <c r="AF95">
        <v>51.7222222222222</v>
      </c>
      <c r="AG95">
        <v>45.928663875720872</v>
      </c>
      <c r="AH95">
        <f>49.9147251927279*1</f>
        <v>49.9147251927279</v>
      </c>
      <c r="AI95">
        <f>2.50444307417465*1</f>
        <v>2.5044430741746502</v>
      </c>
      <c r="AJ95">
        <v>1</v>
      </c>
      <c r="AK95">
        <v>0</v>
      </c>
      <c r="AL95">
        <v>0</v>
      </c>
    </row>
    <row r="96" spans="1:38" hidden="1" x14ac:dyDescent="0.2">
      <c r="A96" t="s">
        <v>250</v>
      </c>
      <c r="B96" t="s">
        <v>251</v>
      </c>
      <c r="C96" t="s">
        <v>251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322</v>
      </c>
      <c r="AF96">
        <v>40.435897435897409</v>
      </c>
      <c r="AG96">
        <v>43.556825364095907</v>
      </c>
      <c r="AH96">
        <f>24.1510058829038*1</f>
        <v>24.151005882903799</v>
      </c>
      <c r="AI96">
        <f>1.23248197556193*1</f>
        <v>1.2324819755619301</v>
      </c>
      <c r="AJ96">
        <v>1</v>
      </c>
      <c r="AK96">
        <v>0</v>
      </c>
      <c r="AL96">
        <v>0</v>
      </c>
    </row>
    <row r="97" spans="1:38" hidden="1" x14ac:dyDescent="0.2">
      <c r="A97" t="s">
        <v>252</v>
      </c>
      <c r="B97" t="s">
        <v>253</v>
      </c>
      <c r="C97" t="s">
        <v>253</v>
      </c>
      <c r="D97" t="s">
        <v>3</v>
      </c>
      <c r="E97">
        <v>1</v>
      </c>
      <c r="F97">
        <v>0</v>
      </c>
      <c r="G97">
        <v>0</v>
      </c>
      <c r="H97">
        <v>0</v>
      </c>
      <c r="I97" t="s">
        <v>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4.4000000000000004</v>
      </c>
      <c r="AE97">
        <v>350</v>
      </c>
      <c r="AF97">
        <v>0</v>
      </c>
      <c r="AG97">
        <v>0</v>
      </c>
      <c r="AH97">
        <f>0*1</f>
        <v>0</v>
      </c>
      <c r="AI97">
        <f>0*1</f>
        <v>0</v>
      </c>
      <c r="AJ97">
        <v>1</v>
      </c>
      <c r="AK97">
        <v>0</v>
      </c>
      <c r="AL97">
        <v>0</v>
      </c>
    </row>
    <row r="98" spans="1:38" hidden="1" x14ac:dyDescent="0.2">
      <c r="A98" t="s">
        <v>254</v>
      </c>
      <c r="B98" t="s">
        <v>255</v>
      </c>
      <c r="C98" t="s">
        <v>255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4.0999999999999996</v>
      </c>
      <c r="AE98">
        <v>354</v>
      </c>
      <c r="AF98">
        <v>32.933333333333337</v>
      </c>
      <c r="AG98">
        <v>38.989055156117963</v>
      </c>
      <c r="AH98">
        <f>25.6670361911644*1</f>
        <v>25.667036191164399</v>
      </c>
      <c r="AI98">
        <f>1.3199542330927*1</f>
        <v>1.3199542330927001</v>
      </c>
      <c r="AJ98">
        <v>1</v>
      </c>
      <c r="AK98">
        <v>0</v>
      </c>
      <c r="AL98">
        <v>0</v>
      </c>
    </row>
    <row r="99" spans="1:38" hidden="1" x14ac:dyDescent="0.2">
      <c r="A99" t="s">
        <v>256</v>
      </c>
      <c r="B99" t="s">
        <v>257</v>
      </c>
      <c r="C99" t="s">
        <v>257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4.8</v>
      </c>
      <c r="AE99">
        <v>357</v>
      </c>
      <c r="AF99">
        <v>48.596153846153832</v>
      </c>
      <c r="AG99">
        <v>39.221574013309578</v>
      </c>
      <c r="AH99">
        <f>33.964672113701*1</f>
        <v>33.964672113700999</v>
      </c>
      <c r="AI99">
        <f>1.77985321616677*1</f>
        <v>1.7798532161667699</v>
      </c>
      <c r="AJ99">
        <v>1</v>
      </c>
      <c r="AK99">
        <v>0</v>
      </c>
      <c r="AL99">
        <v>0</v>
      </c>
    </row>
    <row r="100" spans="1:38" hidden="1" x14ac:dyDescent="0.2">
      <c r="A100" t="s">
        <v>215</v>
      </c>
      <c r="B100" t="s">
        <v>258</v>
      </c>
      <c r="C100" t="s">
        <v>259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5.2</v>
      </c>
      <c r="AE100">
        <v>358</v>
      </c>
      <c r="AF100">
        <v>53.107317073170748</v>
      </c>
      <c r="AG100">
        <v>48.981507698828928</v>
      </c>
      <c r="AH100">
        <f>32.0702069914397*1</f>
        <v>32.070206991439697</v>
      </c>
      <c r="AI100">
        <f>1.67183002543641*1</f>
        <v>1.67183002543641</v>
      </c>
      <c r="AJ100">
        <v>1</v>
      </c>
      <c r="AK100">
        <v>0</v>
      </c>
      <c r="AL100">
        <v>0</v>
      </c>
    </row>
    <row r="101" spans="1:38" hidden="1" x14ac:dyDescent="0.2">
      <c r="A101" t="s">
        <v>260</v>
      </c>
      <c r="B101" t="s">
        <v>261</v>
      </c>
      <c r="C101" t="s">
        <v>261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</v>
      </c>
      <c r="AE101">
        <v>366</v>
      </c>
      <c r="AF101">
        <v>42.543478260869577</v>
      </c>
      <c r="AG101">
        <v>25.561433187223951</v>
      </c>
      <c r="AH101">
        <f>29.3867671399851*1</f>
        <v>29.3867671399851</v>
      </c>
      <c r="AI101">
        <f>1.5341868183858*1</f>
        <v>1.5341868183858001</v>
      </c>
      <c r="AJ101">
        <v>1</v>
      </c>
      <c r="AK101">
        <v>0</v>
      </c>
      <c r="AL101">
        <v>0</v>
      </c>
    </row>
    <row r="102" spans="1:38" hidden="1" x14ac:dyDescent="0.2">
      <c r="A102" t="s">
        <v>217</v>
      </c>
      <c r="B102" t="s">
        <v>102</v>
      </c>
      <c r="C102" t="s">
        <v>102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4.3</v>
      </c>
      <c r="AE102">
        <v>370</v>
      </c>
      <c r="AF102">
        <v>56.999999999999993</v>
      </c>
      <c r="AG102">
        <v>65.856577531106453</v>
      </c>
      <c r="AH102">
        <f>26.3434220432691*1</f>
        <v>26.343422043269101</v>
      </c>
      <c r="AI102">
        <f>1.37346798766279*1</f>
        <v>1.37346798766279</v>
      </c>
      <c r="AJ102">
        <v>1</v>
      </c>
      <c r="AK102">
        <v>0</v>
      </c>
      <c r="AL102">
        <v>0</v>
      </c>
    </row>
    <row r="103" spans="1:38" hidden="1" x14ac:dyDescent="0.2">
      <c r="A103" t="s">
        <v>262</v>
      </c>
      <c r="B103" t="s">
        <v>263</v>
      </c>
      <c r="C103" t="s">
        <v>263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371</v>
      </c>
      <c r="AF103">
        <v>0</v>
      </c>
      <c r="AG103">
        <v>0</v>
      </c>
      <c r="AH103">
        <f>0*1</f>
        <v>0</v>
      </c>
      <c r="AI103">
        <f>0*1</f>
        <v>0</v>
      </c>
      <c r="AJ103">
        <v>1</v>
      </c>
      <c r="AK103">
        <v>0</v>
      </c>
      <c r="AL103">
        <v>0</v>
      </c>
    </row>
    <row r="104" spans="1:38" hidden="1" x14ac:dyDescent="0.2">
      <c r="A104" t="s">
        <v>264</v>
      </c>
      <c r="B104" t="s">
        <v>265</v>
      </c>
      <c r="C104" t="s">
        <v>265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4.9000000000000004</v>
      </c>
      <c r="AE104">
        <v>375</v>
      </c>
      <c r="AF104">
        <v>44.64963346065197</v>
      </c>
      <c r="AG104">
        <v>41.131452139293373</v>
      </c>
      <c r="AH104">
        <f>27.6836451257824*1</f>
        <v>27.683645125782402</v>
      </c>
      <c r="AI104">
        <f>1.50297927635388*1</f>
        <v>1.5029792763538801</v>
      </c>
      <c r="AJ104">
        <v>1</v>
      </c>
      <c r="AK104">
        <v>0</v>
      </c>
      <c r="AL104">
        <v>0</v>
      </c>
    </row>
    <row r="105" spans="1:38" hidden="1" x14ac:dyDescent="0.2">
      <c r="A105" t="s">
        <v>266</v>
      </c>
      <c r="B105" t="s">
        <v>267</v>
      </c>
      <c r="C105" t="s">
        <v>267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5.5</v>
      </c>
      <c r="AE105">
        <v>381</v>
      </c>
      <c r="AF105">
        <v>67.342521790275029</v>
      </c>
      <c r="AG105">
        <v>92.788254034553674</v>
      </c>
      <c r="AH105">
        <f>33.8703132759641*1</f>
        <v>33.870313275964101</v>
      </c>
      <c r="AI105">
        <f>1.65537880949469*1</f>
        <v>1.65537880949469</v>
      </c>
      <c r="AJ105">
        <v>1</v>
      </c>
      <c r="AK105">
        <v>0</v>
      </c>
      <c r="AL105">
        <v>0</v>
      </c>
    </row>
    <row r="106" spans="1:38" hidden="1" x14ac:dyDescent="0.2">
      <c r="A106" t="s">
        <v>248</v>
      </c>
      <c r="B106" t="s">
        <v>268</v>
      </c>
      <c r="C106" t="s">
        <v>268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</v>
      </c>
      <c r="AE106">
        <v>384</v>
      </c>
      <c r="AF106">
        <v>33.541449863650747</v>
      </c>
      <c r="AG106">
        <v>32.936623393812873</v>
      </c>
      <c r="AH106">
        <f>23.9994439700212*1</f>
        <v>23.999443970021201</v>
      </c>
      <c r="AI106">
        <f>1.28055668496043*1</f>
        <v>1.28055668496043</v>
      </c>
      <c r="AJ106">
        <v>1</v>
      </c>
      <c r="AK106">
        <v>0</v>
      </c>
      <c r="AL106">
        <v>0</v>
      </c>
    </row>
    <row r="107" spans="1:38" hidden="1" x14ac:dyDescent="0.2">
      <c r="A107" t="s">
        <v>269</v>
      </c>
      <c r="B107" t="s">
        <v>270</v>
      </c>
      <c r="C107" t="s">
        <v>270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7.2</v>
      </c>
      <c r="AE107">
        <v>393</v>
      </c>
      <c r="AF107">
        <v>99.221782066537116</v>
      </c>
      <c r="AG107">
        <v>107.7071196237453</v>
      </c>
      <c r="AH107">
        <f>60.3200730139402*1</f>
        <v>60.320073013940203</v>
      </c>
      <c r="AI107">
        <f>3.49858755707083*1</f>
        <v>3.49858755707083</v>
      </c>
      <c r="AJ107">
        <v>1</v>
      </c>
      <c r="AK107">
        <v>0</v>
      </c>
      <c r="AL107">
        <v>0</v>
      </c>
    </row>
    <row r="108" spans="1:38" hidden="1" x14ac:dyDescent="0.2">
      <c r="A108" t="s">
        <v>271</v>
      </c>
      <c r="B108" t="s">
        <v>272</v>
      </c>
      <c r="C108" t="s">
        <v>271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</v>
      </c>
      <c r="AE108">
        <v>397</v>
      </c>
      <c r="AF108">
        <v>65.499999999999957</v>
      </c>
      <c r="AG108">
        <v>85.372744405022402</v>
      </c>
      <c r="AH108">
        <f>25.1700316613747*1</f>
        <v>25.170031661374701</v>
      </c>
      <c r="AI108">
        <f>1.20910239021088*1</f>
        <v>1.20910239021088</v>
      </c>
      <c r="AJ108">
        <v>1</v>
      </c>
      <c r="AK108">
        <v>0</v>
      </c>
      <c r="AL108">
        <v>0</v>
      </c>
    </row>
    <row r="109" spans="1:38" hidden="1" x14ac:dyDescent="0.2">
      <c r="A109" t="s">
        <v>273</v>
      </c>
      <c r="B109" t="s">
        <v>274</v>
      </c>
      <c r="C109" t="s">
        <v>274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7.3</v>
      </c>
      <c r="AE109">
        <v>402</v>
      </c>
      <c r="AF109">
        <v>63.242857142857147</v>
      </c>
      <c r="AG109">
        <v>60.65688105932302</v>
      </c>
      <c r="AH109">
        <f>45.7431219582959*1</f>
        <v>45.743121958295902</v>
      </c>
      <c r="AI109">
        <f>2.40494140430146*1</f>
        <v>2.4049414043014599</v>
      </c>
      <c r="AJ109">
        <v>1</v>
      </c>
      <c r="AK109">
        <v>0</v>
      </c>
      <c r="AL109">
        <v>0</v>
      </c>
    </row>
    <row r="110" spans="1:38" hidden="1" x14ac:dyDescent="0.2">
      <c r="A110" t="s">
        <v>93</v>
      </c>
      <c r="B110" t="s">
        <v>275</v>
      </c>
      <c r="C110" t="s">
        <v>275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404</v>
      </c>
      <c r="AF110">
        <v>39.325581395348863</v>
      </c>
      <c r="AG110">
        <v>30.87848541777127</v>
      </c>
      <c r="AH110">
        <f>39.6852208872431*1</f>
        <v>39.685220887243098</v>
      </c>
      <c r="AI110">
        <f>2.09833595834451*1</f>
        <v>2.09833595834451</v>
      </c>
      <c r="AJ110">
        <v>1</v>
      </c>
      <c r="AK110">
        <v>0</v>
      </c>
      <c r="AL110">
        <v>0</v>
      </c>
    </row>
    <row r="111" spans="1:38" hidden="1" x14ac:dyDescent="0.2">
      <c r="A111" t="s">
        <v>276</v>
      </c>
      <c r="B111" t="s">
        <v>277</v>
      </c>
      <c r="C111" t="s">
        <v>277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5.3</v>
      </c>
      <c r="AE111">
        <v>405</v>
      </c>
      <c r="AF111">
        <v>44.979591836734691</v>
      </c>
      <c r="AG111">
        <v>38.83851084394783</v>
      </c>
      <c r="AH111">
        <f>38.5536813479833*1</f>
        <v>38.5536813479833</v>
      </c>
      <c r="AI111">
        <f>1.99804628947654*1</f>
        <v>1.9980462894765401</v>
      </c>
      <c r="AJ111">
        <v>1</v>
      </c>
      <c r="AK111">
        <v>0</v>
      </c>
      <c r="AL111">
        <v>0</v>
      </c>
    </row>
    <row r="112" spans="1:38" hidden="1" x14ac:dyDescent="0.2">
      <c r="A112" t="s">
        <v>278</v>
      </c>
      <c r="B112" t="s">
        <v>279</v>
      </c>
      <c r="C112" t="s">
        <v>280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7.6</v>
      </c>
      <c r="AE112">
        <v>408</v>
      </c>
      <c r="AF112">
        <v>77.705128205128204</v>
      </c>
      <c r="AG112">
        <v>57.220562309131687</v>
      </c>
      <c r="AH112">
        <f>81.5622354936537*1</f>
        <v>81.562235493653702</v>
      </c>
      <c r="AI112">
        <f>4.29395528776678*1</f>
        <v>4.2939552877667797</v>
      </c>
      <c r="AJ112">
        <v>1</v>
      </c>
      <c r="AK112">
        <v>0</v>
      </c>
      <c r="AL112">
        <v>0</v>
      </c>
    </row>
    <row r="113" spans="1:38" x14ac:dyDescent="0.2">
      <c r="A113" t="s">
        <v>138</v>
      </c>
      <c r="B113" t="s">
        <v>139</v>
      </c>
      <c r="C113" t="s">
        <v>139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15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6.2</v>
      </c>
      <c r="AE113">
        <v>129</v>
      </c>
      <c r="AF113">
        <v>67.592920353982294</v>
      </c>
      <c r="AG113">
        <v>51.648570543154847</v>
      </c>
      <c r="AH113">
        <f>66.7599903122205*1</f>
        <v>66.759990312220495</v>
      </c>
      <c r="AI113">
        <f>3.31024707560344*1</f>
        <v>3.3102470756034399</v>
      </c>
      <c r="AJ113">
        <v>1</v>
      </c>
      <c r="AK113">
        <v>1</v>
      </c>
      <c r="AL113">
        <v>1</v>
      </c>
    </row>
    <row r="114" spans="1:38" hidden="1" x14ac:dyDescent="0.2">
      <c r="A114" t="s">
        <v>284</v>
      </c>
      <c r="B114" t="s">
        <v>285</v>
      </c>
      <c r="C114" t="s">
        <v>285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6.2</v>
      </c>
      <c r="AE114">
        <v>410</v>
      </c>
      <c r="AF114">
        <v>56.267465216350473</v>
      </c>
      <c r="AG114">
        <v>49.382041779920549</v>
      </c>
      <c r="AH114">
        <f>37.6846936093429*1</f>
        <v>37.684693609342901</v>
      </c>
      <c r="AI114">
        <f>1.9695268490419*1</f>
        <v>1.9695268490419</v>
      </c>
      <c r="AJ114">
        <v>1</v>
      </c>
      <c r="AK114">
        <v>0</v>
      </c>
      <c r="AL114">
        <v>0</v>
      </c>
    </row>
    <row r="115" spans="1:38" hidden="1" x14ac:dyDescent="0.2">
      <c r="A115" t="s">
        <v>286</v>
      </c>
      <c r="B115" t="s">
        <v>287</v>
      </c>
      <c r="C115" t="s">
        <v>287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5.9</v>
      </c>
      <c r="AE115">
        <v>416</v>
      </c>
      <c r="AF115">
        <v>60.623163654984417</v>
      </c>
      <c r="AG115">
        <v>103.52847323529549</v>
      </c>
      <c r="AH115">
        <f>36.1723782886438*1</f>
        <v>36.172378288643799</v>
      </c>
      <c r="AI115">
        <f>1.92743233694595*1</f>
        <v>1.9274323369459501</v>
      </c>
      <c r="AJ115">
        <v>1</v>
      </c>
      <c r="AK115">
        <v>0</v>
      </c>
      <c r="AL115">
        <v>0</v>
      </c>
    </row>
    <row r="116" spans="1:38" hidden="1" x14ac:dyDescent="0.2">
      <c r="A116" t="s">
        <v>288</v>
      </c>
      <c r="B116" t="s">
        <v>289</v>
      </c>
      <c r="C116" t="s">
        <v>289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6.3</v>
      </c>
      <c r="AE116">
        <v>417</v>
      </c>
      <c r="AF116">
        <v>61.265306122448962</v>
      </c>
      <c r="AG116">
        <v>50.079654893495622</v>
      </c>
      <c r="AH116">
        <f>38.2392112467149*1</f>
        <v>38.239211246714902</v>
      </c>
      <c r="AI116">
        <f>2.00913723553065*1</f>
        <v>2.00913723553065</v>
      </c>
      <c r="AJ116">
        <v>1</v>
      </c>
      <c r="AK116">
        <v>0</v>
      </c>
      <c r="AL116">
        <v>0</v>
      </c>
    </row>
    <row r="117" spans="1:38" hidden="1" x14ac:dyDescent="0.2">
      <c r="A117" t="s">
        <v>290</v>
      </c>
      <c r="B117" t="s">
        <v>291</v>
      </c>
      <c r="C117" t="s">
        <v>290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6.5</v>
      </c>
      <c r="AE117">
        <v>419</v>
      </c>
      <c r="AF117">
        <v>73.779805705240548</v>
      </c>
      <c r="AG117">
        <v>97.311800575213738</v>
      </c>
      <c r="AH117">
        <f>37.6103227960923*1</f>
        <v>37.610322796092298</v>
      </c>
      <c r="AI117">
        <f>1.81720961954115*1</f>
        <v>1.81720961954115</v>
      </c>
      <c r="AJ117">
        <v>1</v>
      </c>
      <c r="AK117">
        <v>0</v>
      </c>
      <c r="AL117">
        <v>0</v>
      </c>
    </row>
    <row r="118" spans="1:38" hidden="1" x14ac:dyDescent="0.2">
      <c r="A118" t="s">
        <v>292</v>
      </c>
      <c r="B118" t="s">
        <v>293</v>
      </c>
      <c r="C118" t="s">
        <v>293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5.3</v>
      </c>
      <c r="AE118">
        <v>426</v>
      </c>
      <c r="AF118">
        <v>59.20289855072464</v>
      </c>
      <c r="AG118">
        <v>66.178543448872716</v>
      </c>
      <c r="AH118">
        <f>31.8894342581585*1</f>
        <v>31.889434258158499</v>
      </c>
      <c r="AI118">
        <f>1.55955987795408*1</f>
        <v>1.55955987795408</v>
      </c>
      <c r="AJ118">
        <v>1</v>
      </c>
      <c r="AK118">
        <v>0</v>
      </c>
      <c r="AL118">
        <v>0</v>
      </c>
    </row>
    <row r="119" spans="1:38" hidden="1" x14ac:dyDescent="0.2">
      <c r="A119" t="s">
        <v>294</v>
      </c>
      <c r="B119" t="s">
        <v>295</v>
      </c>
      <c r="C119" t="s">
        <v>294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6.3</v>
      </c>
      <c r="AE119">
        <v>428</v>
      </c>
      <c r="AF119">
        <v>69.554116072449105</v>
      </c>
      <c r="AG119">
        <v>81.934325529498707</v>
      </c>
      <c r="AH119">
        <f>36.8576250966553*1</f>
        <v>36.857625096655298</v>
      </c>
      <c r="AI119">
        <f>1.64695349866273*1</f>
        <v>1.6469534986627301</v>
      </c>
      <c r="AJ119">
        <v>1</v>
      </c>
      <c r="AK119">
        <v>0</v>
      </c>
      <c r="AL119">
        <v>0</v>
      </c>
    </row>
    <row r="120" spans="1:38" hidden="1" x14ac:dyDescent="0.2">
      <c r="A120" t="s">
        <v>296</v>
      </c>
      <c r="B120" t="s">
        <v>297</v>
      </c>
      <c r="C120" t="s">
        <v>297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6.2</v>
      </c>
      <c r="AE120">
        <v>432</v>
      </c>
      <c r="AF120">
        <v>65.341463414634134</v>
      </c>
      <c r="AG120">
        <v>84.317069294606512</v>
      </c>
      <c r="AH120">
        <f>40.2711064561832*1</f>
        <v>40.271106456183198</v>
      </c>
      <c r="AI120">
        <f>1.90143414234595*1</f>
        <v>1.90143414234595</v>
      </c>
      <c r="AJ120">
        <v>1</v>
      </c>
      <c r="AK120">
        <v>0</v>
      </c>
      <c r="AL120">
        <v>0</v>
      </c>
    </row>
    <row r="121" spans="1:38" hidden="1" x14ac:dyDescent="0.2">
      <c r="A121" t="s">
        <v>298</v>
      </c>
      <c r="B121" t="s">
        <v>299</v>
      </c>
      <c r="C121" t="s">
        <v>299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9.1999999999999993</v>
      </c>
      <c r="AE121">
        <v>434</v>
      </c>
      <c r="AF121">
        <v>87.262944002190366</v>
      </c>
      <c r="AG121">
        <v>89.947252270630969</v>
      </c>
      <c r="AH121">
        <f>47.4105855172065*1</f>
        <v>47.410585517206499</v>
      </c>
      <c r="AI121">
        <f>2.63804723663666*1</f>
        <v>2.6380472366366599</v>
      </c>
      <c r="AJ121">
        <v>1</v>
      </c>
      <c r="AK121">
        <v>0</v>
      </c>
      <c r="AL121">
        <v>0</v>
      </c>
    </row>
    <row r="122" spans="1:38" hidden="1" x14ac:dyDescent="0.2">
      <c r="A122" t="s">
        <v>300</v>
      </c>
      <c r="B122" t="s">
        <v>301</v>
      </c>
      <c r="C122" t="s">
        <v>301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</v>
      </c>
      <c r="AE122">
        <v>436</v>
      </c>
      <c r="AF122">
        <v>73.466666666666654</v>
      </c>
      <c r="AG122">
        <v>77.034596662934391</v>
      </c>
      <c r="AH122">
        <f>61.5116206026024*1</f>
        <v>61.511620602602399</v>
      </c>
      <c r="AI122">
        <f>3.37226425018424*1</f>
        <v>3.3722642501842399</v>
      </c>
      <c r="AJ122">
        <v>1</v>
      </c>
      <c r="AK122">
        <v>0</v>
      </c>
      <c r="AL122">
        <v>0</v>
      </c>
    </row>
    <row r="123" spans="1:38" hidden="1" x14ac:dyDescent="0.2">
      <c r="A123" t="s">
        <v>302</v>
      </c>
      <c r="B123" t="s">
        <v>303</v>
      </c>
      <c r="C123" t="s">
        <v>303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14.8</v>
      </c>
      <c r="AE123">
        <v>437</v>
      </c>
      <c r="AF123">
        <v>139.49367088607599</v>
      </c>
      <c r="AG123">
        <v>217.35268166167859</v>
      </c>
      <c r="AH123">
        <f>66.7255574949931*1</f>
        <v>66.725557494993097</v>
      </c>
      <c r="AI123">
        <f>3.55263990482921*1</f>
        <v>3.5526399048292099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305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5.4</v>
      </c>
      <c r="AE124">
        <v>440</v>
      </c>
      <c r="AF124">
        <v>47.068181818181813</v>
      </c>
      <c r="AG124">
        <v>30.49420668109396</v>
      </c>
      <c r="AH124">
        <f>53.4858459915108*1</f>
        <v>53.4858459915108</v>
      </c>
      <c r="AI124">
        <f>2.79389622134701*1</f>
        <v>2.7938962213470102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95</v>
      </c>
      <c r="C125" t="s">
        <v>95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4.5999999999999996</v>
      </c>
      <c r="AE125">
        <v>441</v>
      </c>
      <c r="AF125">
        <v>49.152173913043512</v>
      </c>
      <c r="AG125">
        <v>52.092829829550233</v>
      </c>
      <c r="AH125">
        <f>26.2423312067168*1</f>
        <v>26.242331206716798</v>
      </c>
      <c r="AI125">
        <f>1.32177591564211*1</f>
        <v>1.3217759156421101</v>
      </c>
      <c r="AJ125">
        <v>1</v>
      </c>
      <c r="AK125">
        <v>0</v>
      </c>
      <c r="AL125">
        <v>0</v>
      </c>
    </row>
    <row r="126" spans="1:38" hidden="1" x14ac:dyDescent="0.2">
      <c r="A126" t="s">
        <v>307</v>
      </c>
      <c r="B126" t="s">
        <v>308</v>
      </c>
      <c r="C126" t="s">
        <v>308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6.4</v>
      </c>
      <c r="AE126">
        <v>451</v>
      </c>
      <c r="AF126">
        <v>68.233454050747156</v>
      </c>
      <c r="AG126">
        <v>86.924500225253794</v>
      </c>
      <c r="AH126">
        <f>23.3367354589178*1</f>
        <v>23.336735458917801</v>
      </c>
      <c r="AI126">
        <f>0.911139281866078*1</f>
        <v>0.91113928186607795</v>
      </c>
      <c r="AJ126">
        <v>1</v>
      </c>
      <c r="AK126">
        <v>0</v>
      </c>
      <c r="AL126">
        <v>0</v>
      </c>
    </row>
    <row r="127" spans="1:38" hidden="1" x14ac:dyDescent="0.2">
      <c r="A127" t="s">
        <v>309</v>
      </c>
      <c r="B127" t="s">
        <v>310</v>
      </c>
      <c r="C127" t="s">
        <v>309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5.4</v>
      </c>
      <c r="AE127">
        <v>459</v>
      </c>
      <c r="AF127">
        <v>0</v>
      </c>
      <c r="AG127">
        <v>0</v>
      </c>
      <c r="AH127">
        <f>0*1</f>
        <v>0</v>
      </c>
      <c r="AI127">
        <f>0*1</f>
        <v>0</v>
      </c>
      <c r="AJ127">
        <v>1</v>
      </c>
      <c r="AK127">
        <v>1</v>
      </c>
      <c r="AL127">
        <v>0</v>
      </c>
    </row>
    <row r="128" spans="1:38" hidden="1" x14ac:dyDescent="0.2">
      <c r="A128" t="s">
        <v>311</v>
      </c>
      <c r="B128" t="s">
        <v>312</v>
      </c>
      <c r="C128" t="s">
        <v>313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8.3000000000000007</v>
      </c>
      <c r="AE128">
        <v>461</v>
      </c>
      <c r="AF128">
        <v>86.729411764705858</v>
      </c>
      <c r="AG128">
        <v>111.18660772654449</v>
      </c>
      <c r="AH128">
        <f>69.5474679426384*1</f>
        <v>69.547467942638406</v>
      </c>
      <c r="AI128">
        <f>3.41788366371104*1</f>
        <v>3.4178836637110401</v>
      </c>
      <c r="AJ128">
        <v>1</v>
      </c>
      <c r="AK128">
        <v>0</v>
      </c>
      <c r="AL128">
        <v>0</v>
      </c>
    </row>
    <row r="129" spans="1:38" hidden="1" x14ac:dyDescent="0.2">
      <c r="A129" t="s">
        <v>314</v>
      </c>
      <c r="B129" t="s">
        <v>315</v>
      </c>
      <c r="C129" t="s">
        <v>316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4.8</v>
      </c>
      <c r="AE129">
        <v>463</v>
      </c>
      <c r="AF129">
        <v>47.349206349206341</v>
      </c>
      <c r="AG129">
        <v>62.526014684692562</v>
      </c>
      <c r="AH129">
        <f>26.8447485658563*1</f>
        <v>26.8447485658563</v>
      </c>
      <c r="AI129">
        <f>1.53664633188412*1</f>
        <v>1.5366463318841199</v>
      </c>
      <c r="AJ129">
        <v>1</v>
      </c>
      <c r="AK129">
        <v>0</v>
      </c>
      <c r="AL129">
        <v>0</v>
      </c>
    </row>
    <row r="130" spans="1:38" hidden="1" x14ac:dyDescent="0.2">
      <c r="A130" t="s">
        <v>317</v>
      </c>
      <c r="B130" t="s">
        <v>318</v>
      </c>
      <c r="C130" t="s">
        <v>319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</v>
      </c>
      <c r="AE130">
        <v>464</v>
      </c>
      <c r="AF130">
        <v>62.115384615384571</v>
      </c>
      <c r="AG130">
        <v>82.429814630973453</v>
      </c>
      <c r="AH130">
        <f>33.2092206653517*1</f>
        <v>33.209220665351701</v>
      </c>
      <c r="AI130">
        <f>1.665170565849*1</f>
        <v>1.6651705658489999</v>
      </c>
      <c r="AJ130">
        <v>1</v>
      </c>
      <c r="AK130">
        <v>0</v>
      </c>
      <c r="AL130">
        <v>0</v>
      </c>
    </row>
    <row r="131" spans="1:38" hidden="1" x14ac:dyDescent="0.2">
      <c r="A131" t="s">
        <v>320</v>
      </c>
      <c r="B131" t="s">
        <v>321</v>
      </c>
      <c r="C131" t="s">
        <v>321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</v>
      </c>
      <c r="AE131">
        <v>467</v>
      </c>
      <c r="AF131">
        <v>49.648705720704207</v>
      </c>
      <c r="AG131">
        <v>64.499279702737013</v>
      </c>
      <c r="AH131">
        <f>35.549021560416*1</f>
        <v>35.549021560416001</v>
      </c>
      <c r="AI131">
        <f>1.99570554604164*1</f>
        <v>1.99570554604164</v>
      </c>
      <c r="AJ131">
        <v>1</v>
      </c>
      <c r="AK131">
        <v>0</v>
      </c>
      <c r="AL131">
        <v>0</v>
      </c>
    </row>
    <row r="132" spans="1:38" hidden="1" x14ac:dyDescent="0.2">
      <c r="A132" t="s">
        <v>322</v>
      </c>
      <c r="B132" t="s">
        <v>323</v>
      </c>
      <c r="C132" t="s">
        <v>323</v>
      </c>
      <c r="D132" t="s">
        <v>6</v>
      </c>
      <c r="E132">
        <v>0</v>
      </c>
      <c r="F132">
        <v>0</v>
      </c>
      <c r="G132">
        <v>0</v>
      </c>
      <c r="H132">
        <v>1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6.9</v>
      </c>
      <c r="AE132">
        <v>470</v>
      </c>
      <c r="AF132">
        <v>63.72146028109384</v>
      </c>
      <c r="AG132">
        <v>111.8533255784624</v>
      </c>
      <c r="AH132">
        <f>34.2065767156988*1</f>
        <v>34.206576715698802</v>
      </c>
      <c r="AI132">
        <f>1.81715090434691*1</f>
        <v>1.8171509043469101</v>
      </c>
      <c r="AJ132">
        <v>1</v>
      </c>
      <c r="AK132">
        <v>0</v>
      </c>
      <c r="AL132">
        <v>0</v>
      </c>
    </row>
    <row r="133" spans="1:38" hidden="1" x14ac:dyDescent="0.2">
      <c r="A133" t="s">
        <v>324</v>
      </c>
      <c r="B133" t="s">
        <v>325</v>
      </c>
      <c r="C133" t="s">
        <v>80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4.4000000000000004</v>
      </c>
      <c r="AE133">
        <v>475</v>
      </c>
      <c r="AF133">
        <v>49.921568627450952</v>
      </c>
      <c r="AG133">
        <v>54.948298876265653</v>
      </c>
      <c r="AH133">
        <f>37.2467188801035*1</f>
        <v>37.246718880103501</v>
      </c>
      <c r="AI133">
        <f>2.06887980973215*1</f>
        <v>2.0688798097321501</v>
      </c>
      <c r="AJ133">
        <v>1</v>
      </c>
      <c r="AK133">
        <v>0</v>
      </c>
      <c r="AL133">
        <v>0</v>
      </c>
    </row>
    <row r="134" spans="1:38" hidden="1" x14ac:dyDescent="0.2">
      <c r="A134" t="s">
        <v>326</v>
      </c>
      <c r="B134" t="s">
        <v>92</v>
      </c>
      <c r="C134" t="s">
        <v>92</v>
      </c>
      <c r="D134" t="s">
        <v>3</v>
      </c>
      <c r="E134">
        <v>1</v>
      </c>
      <c r="F134">
        <v>0</v>
      </c>
      <c r="G134">
        <v>0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5.0999999999999996</v>
      </c>
      <c r="AE134">
        <v>478</v>
      </c>
      <c r="AF134">
        <v>67.857142857142833</v>
      </c>
      <c r="AG134">
        <v>78.727552868755993</v>
      </c>
      <c r="AH134">
        <f>53.6364420073931*1</f>
        <v>53.6364420073931</v>
      </c>
      <c r="AI134">
        <f>3.04840455305596*1</f>
        <v>3.0484045530559598</v>
      </c>
      <c r="AJ134">
        <v>1</v>
      </c>
      <c r="AK134">
        <v>0</v>
      </c>
      <c r="AL134">
        <v>0</v>
      </c>
    </row>
    <row r="135" spans="1:38" hidden="1" x14ac:dyDescent="0.2">
      <c r="A135" t="s">
        <v>111</v>
      </c>
      <c r="B135" t="s">
        <v>327</v>
      </c>
      <c r="C135" t="s">
        <v>327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6.6</v>
      </c>
      <c r="AE135">
        <v>480</v>
      </c>
      <c r="AF135">
        <v>82.944162436548226</v>
      </c>
      <c r="AG135">
        <v>82.643379077156453</v>
      </c>
      <c r="AH135">
        <f>36.4968662140299*1</f>
        <v>36.4968662140299</v>
      </c>
      <c r="AI135">
        <f>1.94956273469849*1</f>
        <v>1.9495627346984901</v>
      </c>
      <c r="AJ135">
        <v>1</v>
      </c>
      <c r="AK135">
        <v>0</v>
      </c>
      <c r="AL135">
        <v>0</v>
      </c>
    </row>
    <row r="136" spans="1:38" hidden="1" x14ac:dyDescent="0.2">
      <c r="A136" t="s">
        <v>328</v>
      </c>
      <c r="B136" t="s">
        <v>329</v>
      </c>
      <c r="C136" t="s">
        <v>329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</v>
      </c>
      <c r="AE136">
        <v>495</v>
      </c>
      <c r="AF136">
        <v>73.153533809059155</v>
      </c>
      <c r="AG136">
        <v>76.534554622193724</v>
      </c>
      <c r="AH136">
        <f>42.2156597265159*1</f>
        <v>42.215659726515902</v>
      </c>
      <c r="AI136">
        <f>2.22229530829349*1</f>
        <v>2.2222953082934902</v>
      </c>
      <c r="AJ136">
        <v>1</v>
      </c>
      <c r="AK136">
        <v>0</v>
      </c>
      <c r="AL136">
        <v>0</v>
      </c>
    </row>
    <row r="137" spans="1:38" hidden="1" x14ac:dyDescent="0.2">
      <c r="A137" t="s">
        <v>311</v>
      </c>
      <c r="B137" t="s">
        <v>330</v>
      </c>
      <c r="C137" t="s">
        <v>331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6.1</v>
      </c>
      <c r="AE137">
        <v>497</v>
      </c>
      <c r="AF137">
        <v>70.434343434343432</v>
      </c>
      <c r="AG137">
        <v>68.949111133896949</v>
      </c>
      <c r="AH137">
        <f>48.1472719911777*1</f>
        <v>48.147271991177703</v>
      </c>
      <c r="AI137">
        <f>2.56422033072851*1</f>
        <v>2.5642203307285101</v>
      </c>
      <c r="AJ137">
        <v>1</v>
      </c>
      <c r="AK137">
        <v>0</v>
      </c>
      <c r="AL137">
        <v>0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4.4000000000000004</v>
      </c>
      <c r="AE138">
        <v>498</v>
      </c>
      <c r="AF138">
        <v>57.649360872875768</v>
      </c>
      <c r="AG138">
        <v>54.078983775028981</v>
      </c>
      <c r="AH138">
        <f>44.8060708458454*1</f>
        <v>44.806070845845397</v>
      </c>
      <c r="AI138">
        <f>2.3323772042186*1</f>
        <v>2.3323772042186</v>
      </c>
      <c r="AJ138">
        <v>1</v>
      </c>
      <c r="AK138">
        <v>0</v>
      </c>
      <c r="AL138">
        <v>0</v>
      </c>
    </row>
    <row r="139" spans="1:38" hidden="1" x14ac:dyDescent="0.2">
      <c r="A139" t="s">
        <v>334</v>
      </c>
      <c r="B139" t="s">
        <v>335</v>
      </c>
      <c r="C139" t="s">
        <v>335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7.4</v>
      </c>
      <c r="AE139">
        <v>500</v>
      </c>
      <c r="AF139">
        <v>118.3790677705985</v>
      </c>
      <c r="AG139">
        <v>52.951758795342883</v>
      </c>
      <c r="AH139">
        <f>55.6305699686274*1</f>
        <v>55.630569968627398</v>
      </c>
      <c r="AI139">
        <f>2.84656387575087*1</f>
        <v>2.8465638757508702</v>
      </c>
      <c r="AJ139">
        <v>1</v>
      </c>
      <c r="AK139">
        <v>0</v>
      </c>
      <c r="AL139">
        <v>0</v>
      </c>
    </row>
    <row r="140" spans="1:38" x14ac:dyDescent="0.2">
      <c r="A140" t="s">
        <v>100</v>
      </c>
      <c r="B140" t="s">
        <v>101</v>
      </c>
      <c r="C140" t="s">
        <v>101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14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4.7</v>
      </c>
      <c r="AE140">
        <v>82</v>
      </c>
      <c r="AF140">
        <v>48.739130434782638</v>
      </c>
      <c r="AG140">
        <v>45.511821928135248</v>
      </c>
      <c r="AH140">
        <f>64.046908656212*1</f>
        <v>64.046908656211997</v>
      </c>
      <c r="AI140">
        <f>3.25640965998675*1</f>
        <v>3.2564096599867498</v>
      </c>
      <c r="AJ140">
        <v>1</v>
      </c>
      <c r="AK140">
        <v>1</v>
      </c>
      <c r="AL140">
        <v>1</v>
      </c>
    </row>
    <row r="141" spans="1:38" x14ac:dyDescent="0.2">
      <c r="A141" t="s">
        <v>215</v>
      </c>
      <c r="B141" t="s">
        <v>216</v>
      </c>
      <c r="C141" t="s">
        <v>216</v>
      </c>
      <c r="D141" t="s">
        <v>3</v>
      </c>
      <c r="E141">
        <v>1</v>
      </c>
      <c r="F141">
        <v>0</v>
      </c>
      <c r="G141">
        <v>0</v>
      </c>
      <c r="H141">
        <v>0</v>
      </c>
      <c r="I141" t="s">
        <v>19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</v>
      </c>
      <c r="AE141">
        <v>282</v>
      </c>
      <c r="AF141">
        <v>69.889867841409696</v>
      </c>
      <c r="AG141">
        <v>66.371940004717729</v>
      </c>
      <c r="AH141">
        <f>58.7550161932101*1</f>
        <v>58.755016193210103</v>
      </c>
      <c r="AI141">
        <f>3.1374474057305*1</f>
        <v>3.1374474057305002</v>
      </c>
      <c r="AJ141">
        <v>1</v>
      </c>
      <c r="AK141">
        <v>1</v>
      </c>
      <c r="AL141">
        <v>1</v>
      </c>
    </row>
    <row r="142" spans="1:38" x14ac:dyDescent="0.2">
      <c r="A142" t="s">
        <v>217</v>
      </c>
      <c r="B142" t="s">
        <v>218</v>
      </c>
      <c r="C142" t="s">
        <v>218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19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4.8</v>
      </c>
      <c r="AE142">
        <v>283</v>
      </c>
      <c r="AF142">
        <v>57.143468280482267</v>
      </c>
      <c r="AG142">
        <v>54.207134270133473</v>
      </c>
      <c r="AH142">
        <f>38.9665332733219*1</f>
        <v>38.9665332733219</v>
      </c>
      <c r="AI142">
        <f>1.88500558498633*1</f>
        <v>1.8850055849863301</v>
      </c>
      <c r="AJ142">
        <v>1</v>
      </c>
      <c r="AK142">
        <v>1</v>
      </c>
      <c r="AL142">
        <v>1</v>
      </c>
    </row>
    <row r="143" spans="1:38" hidden="1" x14ac:dyDescent="0.2">
      <c r="A143" t="s">
        <v>342</v>
      </c>
      <c r="B143" t="s">
        <v>343</v>
      </c>
      <c r="C143" t="s">
        <v>344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</v>
      </c>
      <c r="AE143">
        <v>505</v>
      </c>
      <c r="AF143">
        <v>63.093231249031639</v>
      </c>
      <c r="AG143">
        <v>47.283846970323317</v>
      </c>
      <c r="AH143">
        <f>63.2996351276458*1</f>
        <v>63.2996351276458</v>
      </c>
      <c r="AI143">
        <f>3.30135668009831*1</f>
        <v>3.3013566800983098</v>
      </c>
      <c r="AJ143">
        <v>1</v>
      </c>
      <c r="AK143">
        <v>0</v>
      </c>
      <c r="AL143">
        <v>0</v>
      </c>
    </row>
    <row r="144" spans="1:38" hidden="1" x14ac:dyDescent="0.2">
      <c r="A144" t="s">
        <v>345</v>
      </c>
      <c r="B144" t="s">
        <v>346</v>
      </c>
      <c r="C144" t="s">
        <v>346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4.5</v>
      </c>
      <c r="AE144">
        <v>511</v>
      </c>
      <c r="AF144">
        <v>42.0189644949143</v>
      </c>
      <c r="AG144">
        <v>55.994050965162643</v>
      </c>
      <c r="AH144">
        <f>31.7480227466927*1</f>
        <v>31.748022746692701</v>
      </c>
      <c r="AI144">
        <f>1.59919872967588*1</f>
        <v>1.5991987296758801</v>
      </c>
      <c r="AJ144">
        <v>1</v>
      </c>
      <c r="AK144">
        <v>0</v>
      </c>
      <c r="AL144">
        <v>0</v>
      </c>
    </row>
    <row r="145" spans="1:38" hidden="1" x14ac:dyDescent="0.2">
      <c r="A145" t="s">
        <v>347</v>
      </c>
      <c r="B145" t="s">
        <v>348</v>
      </c>
      <c r="C145" t="s">
        <v>348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4.5999999999999996</v>
      </c>
      <c r="AE145">
        <v>512</v>
      </c>
      <c r="AF145">
        <v>44.691823899371109</v>
      </c>
      <c r="AG145">
        <v>43.67237155383571</v>
      </c>
      <c r="AH145">
        <f>20.2025789881449*1</f>
        <v>20.2025789881449</v>
      </c>
      <c r="AI145">
        <f>1.0552619949428*1</f>
        <v>1.0552619949427999</v>
      </c>
      <c r="AJ145">
        <v>1</v>
      </c>
      <c r="AK145">
        <v>0</v>
      </c>
      <c r="AL145">
        <v>0</v>
      </c>
    </row>
    <row r="146" spans="1:38" hidden="1" x14ac:dyDescent="0.2">
      <c r="A146" t="s">
        <v>349</v>
      </c>
      <c r="B146" t="s">
        <v>350</v>
      </c>
      <c r="C146" t="s">
        <v>350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4.9000000000000004</v>
      </c>
      <c r="AE146">
        <v>515</v>
      </c>
      <c r="AF146">
        <v>76.586419753086432</v>
      </c>
      <c r="AG146">
        <v>0</v>
      </c>
      <c r="AH146">
        <f>59.7112018643268*1</f>
        <v>59.711201864326803</v>
      </c>
      <c r="AI146">
        <f>3.14269483496456*1</f>
        <v>3.1426948349645598</v>
      </c>
      <c r="AJ146">
        <v>1</v>
      </c>
      <c r="AK146">
        <v>0</v>
      </c>
      <c r="AL146">
        <v>0</v>
      </c>
    </row>
    <row r="147" spans="1:38" hidden="1" x14ac:dyDescent="0.2">
      <c r="A147" t="s">
        <v>351</v>
      </c>
      <c r="B147" t="s">
        <v>352</v>
      </c>
      <c r="C147" t="s">
        <v>352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5.4</v>
      </c>
      <c r="AE147">
        <v>517</v>
      </c>
      <c r="AF147">
        <v>65.947282814732205</v>
      </c>
      <c r="AG147">
        <v>62.201738701717659</v>
      </c>
      <c r="AH147">
        <f>40.8447900753974*1</f>
        <v>40.844790075397398</v>
      </c>
      <c r="AI147">
        <f>1.86844429552502*1</f>
        <v>1.86844429552502</v>
      </c>
      <c r="AJ147">
        <v>1</v>
      </c>
      <c r="AK147">
        <v>0</v>
      </c>
      <c r="AL147">
        <v>0</v>
      </c>
    </row>
    <row r="148" spans="1:38" hidden="1" x14ac:dyDescent="0.2">
      <c r="A148" t="s">
        <v>353</v>
      </c>
      <c r="B148" t="s">
        <v>354</v>
      </c>
      <c r="C148" t="s">
        <v>354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5.5</v>
      </c>
      <c r="AE148">
        <v>519</v>
      </c>
      <c r="AF148">
        <v>0</v>
      </c>
      <c r="AG148">
        <v>0</v>
      </c>
      <c r="AH148">
        <f>0*1</f>
        <v>0</v>
      </c>
      <c r="AI148">
        <f>0*1</f>
        <v>0</v>
      </c>
      <c r="AJ148">
        <v>1</v>
      </c>
      <c r="AK148">
        <v>0</v>
      </c>
      <c r="AL148">
        <v>0</v>
      </c>
    </row>
    <row r="149" spans="1:38" hidden="1" x14ac:dyDescent="0.2">
      <c r="A149" t="s">
        <v>355</v>
      </c>
      <c r="B149" t="s">
        <v>356</v>
      </c>
      <c r="C149" t="s">
        <v>356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4.8</v>
      </c>
      <c r="AE149">
        <v>522</v>
      </c>
      <c r="AF149">
        <v>19</v>
      </c>
      <c r="AG149">
        <v>79.951312127395511</v>
      </c>
      <c r="AH149">
        <f>7.4760713068663*1</f>
        <v>7.4760713068662996</v>
      </c>
      <c r="AI149">
        <f>0.317977267335288*1</f>
        <v>0.31797726733528803</v>
      </c>
      <c r="AJ149">
        <v>1</v>
      </c>
      <c r="AK149">
        <v>0</v>
      </c>
      <c r="AL149">
        <v>0</v>
      </c>
    </row>
    <row r="150" spans="1:38" x14ac:dyDescent="0.2">
      <c r="A150" t="s">
        <v>213</v>
      </c>
      <c r="B150" t="s">
        <v>214</v>
      </c>
      <c r="C150" t="s">
        <v>214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19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4.3</v>
      </c>
      <c r="AE150">
        <v>279</v>
      </c>
      <c r="AF150">
        <v>55.917024252380287</v>
      </c>
      <c r="AG150">
        <v>70.323157628380528</v>
      </c>
      <c r="AH150">
        <f>33.3054967671741*1</f>
        <v>33.305496767174098</v>
      </c>
      <c r="AI150">
        <f>1.84417372253575*1</f>
        <v>1.84417372253575</v>
      </c>
      <c r="AJ150">
        <v>1</v>
      </c>
      <c r="AK150">
        <v>1</v>
      </c>
      <c r="AL150">
        <v>1</v>
      </c>
    </row>
    <row r="151" spans="1:38" hidden="1" x14ac:dyDescent="0.2">
      <c r="A151" t="s">
        <v>359</v>
      </c>
      <c r="B151" t="s">
        <v>360</v>
      </c>
      <c r="C151" t="s">
        <v>360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5</v>
      </c>
      <c r="AE151">
        <v>528</v>
      </c>
      <c r="AF151">
        <v>57</v>
      </c>
      <c r="AG151">
        <v>27.799686756349981</v>
      </c>
      <c r="AH151">
        <f>42.3074661215086*1</f>
        <v>42.307466121508597</v>
      </c>
      <c r="AI151">
        <f>2.17205826558226*1</f>
        <v>2.17205826558226</v>
      </c>
      <c r="AJ151">
        <v>1</v>
      </c>
      <c r="AK151">
        <v>0</v>
      </c>
      <c r="AL151">
        <v>0</v>
      </c>
    </row>
    <row r="152" spans="1:38" hidden="1" x14ac:dyDescent="0.2">
      <c r="A152" t="s">
        <v>361</v>
      </c>
      <c r="B152" t="s">
        <v>362</v>
      </c>
      <c r="C152" t="s">
        <v>362</v>
      </c>
      <c r="D152" t="s">
        <v>6</v>
      </c>
      <c r="E152">
        <v>0</v>
      </c>
      <c r="F152">
        <v>0</v>
      </c>
      <c r="G152">
        <v>0</v>
      </c>
      <c r="H152">
        <v>1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5.5</v>
      </c>
      <c r="AE152">
        <v>529</v>
      </c>
      <c r="AF152">
        <v>14.16903885107034</v>
      </c>
      <c r="AG152">
        <v>60.849244845244407</v>
      </c>
      <c r="AH152">
        <f>4.18241559830185*1</f>
        <v>4.1824155983018496</v>
      </c>
      <c r="AI152">
        <f>0.178414883107822*1</f>
        <v>0.178414883107822</v>
      </c>
      <c r="AJ152">
        <v>1</v>
      </c>
      <c r="AK152">
        <v>0</v>
      </c>
      <c r="AL152">
        <v>0</v>
      </c>
    </row>
    <row r="153" spans="1:38" hidden="1" x14ac:dyDescent="0.2">
      <c r="A153" t="s">
        <v>363</v>
      </c>
      <c r="B153" t="s">
        <v>364</v>
      </c>
      <c r="C153" t="s">
        <v>365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4.8</v>
      </c>
      <c r="AE153">
        <v>536</v>
      </c>
      <c r="AF153">
        <v>29.029307615557158</v>
      </c>
      <c r="AG153">
        <v>59.148137742391533</v>
      </c>
      <c r="AH153">
        <f>9.11170176314198*1</f>
        <v>9.1117017631419799</v>
      </c>
      <c r="AI153">
        <f>0.430343237442964*1</f>
        <v>0.43034323744296399</v>
      </c>
      <c r="AJ153">
        <v>1</v>
      </c>
      <c r="AK153">
        <v>0</v>
      </c>
      <c r="AL153">
        <v>0</v>
      </c>
    </row>
    <row r="154" spans="1:38" hidden="1" x14ac:dyDescent="0.2">
      <c r="A154" t="s">
        <v>334</v>
      </c>
      <c r="B154" t="s">
        <v>366</v>
      </c>
      <c r="C154" t="s">
        <v>366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5.2</v>
      </c>
      <c r="AE154">
        <v>537</v>
      </c>
      <c r="AF154">
        <v>54.887308177135743</v>
      </c>
      <c r="AG154">
        <v>48.51287909031462</v>
      </c>
      <c r="AH154">
        <f>41.7052607430773*1</f>
        <v>41.705260743077297</v>
      </c>
      <c r="AI154">
        <f>2.41121674881594*1</f>
        <v>2.4112167488159399</v>
      </c>
      <c r="AJ154">
        <v>1</v>
      </c>
      <c r="AK154">
        <v>0</v>
      </c>
      <c r="AL154">
        <v>0</v>
      </c>
    </row>
    <row r="155" spans="1:38" hidden="1" x14ac:dyDescent="0.2">
      <c r="A155" t="s">
        <v>85</v>
      </c>
      <c r="B155" t="s">
        <v>367</v>
      </c>
      <c r="C155" t="s">
        <v>367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6.4</v>
      </c>
      <c r="AE155">
        <v>538</v>
      </c>
      <c r="AF155">
        <v>87.938508756434089</v>
      </c>
      <c r="AG155">
        <v>51.288878325508939</v>
      </c>
      <c r="AH155">
        <f>76.8664030062485*1</f>
        <v>76.866403006248504</v>
      </c>
      <c r="AI155">
        <f>3.98661441639634*1</f>
        <v>3.98661441639634</v>
      </c>
      <c r="AJ155">
        <v>1</v>
      </c>
      <c r="AK155">
        <v>0</v>
      </c>
      <c r="AL155">
        <v>0</v>
      </c>
    </row>
    <row r="156" spans="1:38" hidden="1" x14ac:dyDescent="0.2">
      <c r="A156" t="s">
        <v>368</v>
      </c>
      <c r="B156" t="s">
        <v>369</v>
      </c>
      <c r="C156" t="s">
        <v>369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5.3</v>
      </c>
      <c r="AE156">
        <v>539</v>
      </c>
      <c r="AF156">
        <v>57.336283185840678</v>
      </c>
      <c r="AG156">
        <v>53.904333608233522</v>
      </c>
      <c r="AH156">
        <f>49.7304950160923*1</f>
        <v>49.730495016092298</v>
      </c>
      <c r="AI156">
        <f>2.72362380849461*1</f>
        <v>2.7236238084946098</v>
      </c>
      <c r="AJ156">
        <v>1</v>
      </c>
      <c r="AK156">
        <v>0</v>
      </c>
      <c r="AL156">
        <v>0</v>
      </c>
    </row>
    <row r="157" spans="1:38" hidden="1" x14ac:dyDescent="0.2">
      <c r="A157" t="s">
        <v>370</v>
      </c>
      <c r="B157" t="s">
        <v>371</v>
      </c>
      <c r="C157" t="s">
        <v>370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4.5999999999999996</v>
      </c>
      <c r="AE157">
        <v>541</v>
      </c>
      <c r="AF157">
        <v>47.880000000000017</v>
      </c>
      <c r="AG157">
        <v>42.888260029554331</v>
      </c>
      <c r="AH157">
        <f>94.8226385875736*0.986842105263157</f>
        <v>93.574972290368606</v>
      </c>
      <c r="AI157">
        <f>4.89458098395895*0.986842105263157</f>
        <v>4.8301786025910651</v>
      </c>
      <c r="AJ157">
        <v>0.98684210526315785</v>
      </c>
      <c r="AK157">
        <v>0</v>
      </c>
      <c r="AL157">
        <v>0</v>
      </c>
    </row>
    <row r="158" spans="1:38" hidden="1" x14ac:dyDescent="0.2">
      <c r="A158" t="s">
        <v>372</v>
      </c>
      <c r="B158" t="s">
        <v>373</v>
      </c>
      <c r="C158" t="s">
        <v>374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4.3</v>
      </c>
      <c r="AE158">
        <v>542</v>
      </c>
      <c r="AF158">
        <v>36.882352941176457</v>
      </c>
      <c r="AG158">
        <v>34.562283916374739</v>
      </c>
      <c r="AH158">
        <f>33.5794594678254*1</f>
        <v>33.579459467825401</v>
      </c>
      <c r="AI158">
        <f>1.70271087262615*1</f>
        <v>1.70271087262615</v>
      </c>
      <c r="AJ158">
        <v>1</v>
      </c>
      <c r="AK158">
        <v>0</v>
      </c>
      <c r="AL158">
        <v>0</v>
      </c>
    </row>
    <row r="159" spans="1:38" x14ac:dyDescent="0.2">
      <c r="A159" t="s">
        <v>200</v>
      </c>
      <c r="B159" t="s">
        <v>201</v>
      </c>
      <c r="C159" t="s">
        <v>202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18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5.9</v>
      </c>
      <c r="AE159">
        <v>256</v>
      </c>
      <c r="AF159">
        <v>69.93617021276593</v>
      </c>
      <c r="AG159">
        <v>46.001908608983193</v>
      </c>
      <c r="AH159">
        <f>32.2795207703638*1</f>
        <v>32.279520770363803</v>
      </c>
      <c r="AI159">
        <f>1.6981492197939*1</f>
        <v>1.6981492197939001</v>
      </c>
      <c r="AJ159">
        <v>1</v>
      </c>
      <c r="AK159">
        <v>1</v>
      </c>
      <c r="AL159">
        <v>1</v>
      </c>
    </row>
    <row r="160" spans="1:38" hidden="1" x14ac:dyDescent="0.2">
      <c r="A160" t="s">
        <v>377</v>
      </c>
      <c r="B160" t="s">
        <v>378</v>
      </c>
      <c r="C160" t="s">
        <v>378</v>
      </c>
      <c r="D160" t="s">
        <v>6</v>
      </c>
      <c r="E160">
        <v>0</v>
      </c>
      <c r="F160">
        <v>0</v>
      </c>
      <c r="G160">
        <v>0</v>
      </c>
      <c r="H160">
        <v>1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6.7</v>
      </c>
      <c r="AE160">
        <v>551</v>
      </c>
      <c r="AF160">
        <v>73.191048018347033</v>
      </c>
      <c r="AG160">
        <v>60.128392092168873</v>
      </c>
      <c r="AH160">
        <f>69.2294580784775*1</f>
        <v>69.229458078477506</v>
      </c>
      <c r="AI160">
        <f>4.43149798094646*1</f>
        <v>4.4314979809464603</v>
      </c>
      <c r="AJ160">
        <v>1</v>
      </c>
      <c r="AK160">
        <v>0</v>
      </c>
      <c r="AL160">
        <v>0</v>
      </c>
    </row>
    <row r="161" spans="1:38" hidden="1" x14ac:dyDescent="0.2">
      <c r="A161" t="s">
        <v>93</v>
      </c>
      <c r="B161" t="s">
        <v>379</v>
      </c>
      <c r="C161" t="s">
        <v>379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4.9000000000000004</v>
      </c>
      <c r="AE161">
        <v>553</v>
      </c>
      <c r="AF161">
        <v>37.037974683544313</v>
      </c>
      <c r="AG161">
        <v>29.67699805964233</v>
      </c>
      <c r="AH161">
        <f>36.7669364546767*1</f>
        <v>36.766936454676703</v>
      </c>
      <c r="AI161">
        <f>1.98020240883867*1</f>
        <v>1.98020240883867</v>
      </c>
      <c r="AJ161">
        <v>1</v>
      </c>
      <c r="AK161">
        <v>0</v>
      </c>
      <c r="AL161">
        <v>0</v>
      </c>
    </row>
    <row r="162" spans="1:38" hidden="1" x14ac:dyDescent="0.2">
      <c r="A162" t="s">
        <v>380</v>
      </c>
      <c r="B162" t="s">
        <v>381</v>
      </c>
      <c r="C162" t="s">
        <v>381</v>
      </c>
      <c r="D162" t="s">
        <v>6</v>
      </c>
      <c r="E162">
        <v>0</v>
      </c>
      <c r="F162">
        <v>0</v>
      </c>
      <c r="G162">
        <v>0</v>
      </c>
      <c r="H162">
        <v>1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5</v>
      </c>
      <c r="AE162">
        <v>561</v>
      </c>
      <c r="AF162">
        <v>43.089285714285687</v>
      </c>
      <c r="AG162">
        <v>50.516466378387413</v>
      </c>
      <c r="AH162">
        <f>25.6788784687606*1</f>
        <v>25.678878468760601</v>
      </c>
      <c r="AI162">
        <f>1.2499763414561*1</f>
        <v>1.2499763414561</v>
      </c>
      <c r="AJ162">
        <v>1</v>
      </c>
      <c r="AK162">
        <v>0</v>
      </c>
      <c r="AL162">
        <v>0</v>
      </c>
    </row>
    <row r="163" spans="1:38" hidden="1" x14ac:dyDescent="0.2">
      <c r="A163" t="s">
        <v>109</v>
      </c>
      <c r="B163" t="s">
        <v>382</v>
      </c>
      <c r="C163" t="s">
        <v>382</v>
      </c>
      <c r="D163" t="s">
        <v>6</v>
      </c>
      <c r="E163">
        <v>0</v>
      </c>
      <c r="F163">
        <v>0</v>
      </c>
      <c r="G163">
        <v>0</v>
      </c>
      <c r="H163">
        <v>1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5.0999999999999996</v>
      </c>
      <c r="AE163">
        <v>567</v>
      </c>
      <c r="AF163">
        <v>43.41130584174514</v>
      </c>
      <c r="AG163">
        <v>36.573778072176459</v>
      </c>
      <c r="AH163">
        <f>30.9424594394476*1</f>
        <v>30.9424594394476</v>
      </c>
      <c r="AI163">
        <f>1.94065901180989*1</f>
        <v>1.9406590118098901</v>
      </c>
      <c r="AJ163">
        <v>1</v>
      </c>
      <c r="AK163">
        <v>0</v>
      </c>
      <c r="AL163">
        <v>0</v>
      </c>
    </row>
    <row r="164" spans="1:38" hidden="1" x14ac:dyDescent="0.2">
      <c r="A164" t="s">
        <v>383</v>
      </c>
      <c r="B164" t="s">
        <v>384</v>
      </c>
      <c r="C164" t="s">
        <v>384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4</v>
      </c>
      <c r="AE164">
        <v>569</v>
      </c>
      <c r="AF164">
        <v>42.510500786480051</v>
      </c>
      <c r="AG164">
        <v>46.7952343121909</v>
      </c>
      <c r="AH164">
        <f>17.9780305379235*1</f>
        <v>17.978030537923502</v>
      </c>
      <c r="AI164">
        <f>1.04595661254805*1</f>
        <v>1.0459566125480499</v>
      </c>
      <c r="AJ164">
        <v>1</v>
      </c>
      <c r="AK164">
        <v>0</v>
      </c>
      <c r="AL164">
        <v>0</v>
      </c>
    </row>
    <row r="165" spans="1:38" hidden="1" x14ac:dyDescent="0.2">
      <c r="A165" t="s">
        <v>385</v>
      </c>
      <c r="B165" t="s">
        <v>386</v>
      </c>
      <c r="C165" t="s">
        <v>386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4.3</v>
      </c>
      <c r="AE165">
        <v>590</v>
      </c>
      <c r="AF165">
        <v>36.929147390911957</v>
      </c>
      <c r="AG165">
        <v>51.237654941742193</v>
      </c>
      <c r="AH165">
        <f>19.367985754055*1</f>
        <v>19.367985754054999</v>
      </c>
      <c r="AI165">
        <f>0.918835615982823*1</f>
        <v>0.91883561598282304</v>
      </c>
      <c r="AJ165">
        <v>1</v>
      </c>
      <c r="AK165">
        <v>0</v>
      </c>
      <c r="AL165">
        <v>0</v>
      </c>
    </row>
    <row r="166" spans="1:38" hidden="1" x14ac:dyDescent="0.2">
      <c r="A166" t="s">
        <v>387</v>
      </c>
      <c r="B166" t="s">
        <v>388</v>
      </c>
      <c r="C166" t="s">
        <v>388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4.8</v>
      </c>
      <c r="AE166">
        <v>593</v>
      </c>
      <c r="AF166">
        <v>0</v>
      </c>
      <c r="AG166">
        <v>0</v>
      </c>
      <c r="AH166">
        <f>0*1</f>
        <v>0</v>
      </c>
      <c r="AI166">
        <f>0*1</f>
        <v>0</v>
      </c>
      <c r="AJ166">
        <v>1</v>
      </c>
      <c r="AK166">
        <v>0</v>
      </c>
      <c r="AL166">
        <v>0</v>
      </c>
    </row>
    <row r="167" spans="1:38" hidden="1" x14ac:dyDescent="0.2">
      <c r="A167" t="s">
        <v>389</v>
      </c>
      <c r="B167" t="s">
        <v>390</v>
      </c>
      <c r="C167" t="s">
        <v>390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4.9000000000000004</v>
      </c>
      <c r="AE167">
        <v>603</v>
      </c>
      <c r="AF167">
        <v>35.803468208092497</v>
      </c>
      <c r="AG167">
        <v>40.322437857240352</v>
      </c>
      <c r="AH167">
        <f>28.7035806972188*1</f>
        <v>28.703580697218801</v>
      </c>
      <c r="AI167">
        <f>1.49890985009088*1</f>
        <v>1.49890985009088</v>
      </c>
      <c r="AJ167">
        <v>1</v>
      </c>
      <c r="AK167">
        <v>0</v>
      </c>
      <c r="AL167">
        <v>0</v>
      </c>
    </row>
    <row r="168" spans="1:38" hidden="1" x14ac:dyDescent="0.2">
      <c r="A168" t="s">
        <v>391</v>
      </c>
      <c r="B168" t="s">
        <v>392</v>
      </c>
      <c r="C168" t="s">
        <v>392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29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6.5</v>
      </c>
      <c r="AE168">
        <v>612</v>
      </c>
      <c r="AF168">
        <v>69.595505617977523</v>
      </c>
      <c r="AG168">
        <v>53.173574030979857</v>
      </c>
      <c r="AH168">
        <f>69.868584100441*1</f>
        <v>69.868584100440998</v>
      </c>
      <c r="AI168">
        <f>3.74825458438223*1</f>
        <v>3.7482545843822299</v>
      </c>
      <c r="AJ168">
        <v>1</v>
      </c>
      <c r="AK168">
        <v>0</v>
      </c>
      <c r="AL168">
        <v>0</v>
      </c>
    </row>
    <row r="169" spans="1:38" hidden="1" x14ac:dyDescent="0.2">
      <c r="A169" t="s">
        <v>393</v>
      </c>
      <c r="B169" t="s">
        <v>394</v>
      </c>
      <c r="C169" t="s">
        <v>394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6.4</v>
      </c>
      <c r="AE169">
        <v>613</v>
      </c>
      <c r="AF169">
        <v>74.628865979381487</v>
      </c>
      <c r="AG169">
        <v>66.931320168913089</v>
      </c>
      <c r="AH169">
        <f>46.6047489635233*1</f>
        <v>46.604748963523299</v>
      </c>
      <c r="AI169">
        <f>2.41100331791424*1</f>
        <v>2.4110033179142398</v>
      </c>
      <c r="AJ169">
        <v>1</v>
      </c>
      <c r="AK169">
        <v>0</v>
      </c>
      <c r="AL169">
        <v>0</v>
      </c>
    </row>
    <row r="170" spans="1:38" hidden="1" x14ac:dyDescent="0.2">
      <c r="A170" t="s">
        <v>217</v>
      </c>
      <c r="B170" t="s">
        <v>395</v>
      </c>
      <c r="C170" t="s">
        <v>395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7.7</v>
      </c>
      <c r="AE170">
        <v>615</v>
      </c>
      <c r="AF170">
        <v>84.838823298179094</v>
      </c>
      <c r="AG170">
        <v>92.043708961002181</v>
      </c>
      <c r="AH170">
        <f>64.0806465161332*1</f>
        <v>64.0806465161332</v>
      </c>
      <c r="AI170">
        <f>4.30388977541124*1</f>
        <v>4.30388977541124</v>
      </c>
      <c r="AJ170">
        <v>1</v>
      </c>
      <c r="AK170">
        <v>0</v>
      </c>
      <c r="AL170">
        <v>0</v>
      </c>
    </row>
    <row r="171" spans="1:38" hidden="1" x14ac:dyDescent="0.2">
      <c r="A171" t="s">
        <v>181</v>
      </c>
      <c r="B171" t="s">
        <v>396</v>
      </c>
      <c r="C171" t="s">
        <v>397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29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5.5</v>
      </c>
      <c r="AE171">
        <v>616</v>
      </c>
      <c r="AF171">
        <v>76.578202390189716</v>
      </c>
      <c r="AG171">
        <v>75.157512267519181</v>
      </c>
      <c r="AH171">
        <f>36.7538257043918*1</f>
        <v>36.753825704391801</v>
      </c>
      <c r="AI171">
        <f>2.34787501021282*1</f>
        <v>2.3478750102128201</v>
      </c>
      <c r="AJ171">
        <v>1</v>
      </c>
      <c r="AK171">
        <v>0</v>
      </c>
      <c r="AL171">
        <v>0</v>
      </c>
    </row>
    <row r="172" spans="1:38" hidden="1" x14ac:dyDescent="0.2">
      <c r="A172" t="s">
        <v>398</v>
      </c>
      <c r="B172" t="s">
        <v>201</v>
      </c>
      <c r="C172" t="s">
        <v>399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4.8</v>
      </c>
      <c r="AE172">
        <v>620</v>
      </c>
      <c r="AF172">
        <v>41.677419354838698</v>
      </c>
      <c r="AG172">
        <v>46.059774177604567</v>
      </c>
      <c r="AH172">
        <f>16.7606792052043*1</f>
        <v>16.760679205204301</v>
      </c>
      <c r="AI172">
        <f>0.85242848169301*1</f>
        <v>0.85242848169301</v>
      </c>
      <c r="AJ172">
        <v>1</v>
      </c>
      <c r="AK172">
        <v>0</v>
      </c>
      <c r="AL172">
        <v>0</v>
      </c>
    </row>
    <row r="173" spans="1:38" x14ac:dyDescent="0.2">
      <c r="A173" t="s">
        <v>375</v>
      </c>
      <c r="B173" t="s">
        <v>376</v>
      </c>
      <c r="C173" t="s">
        <v>376</v>
      </c>
      <c r="D173" t="s">
        <v>3</v>
      </c>
      <c r="E173">
        <v>1</v>
      </c>
      <c r="F173">
        <v>0</v>
      </c>
      <c r="G173">
        <v>0</v>
      </c>
      <c r="H173">
        <v>0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4.8</v>
      </c>
      <c r="AE173">
        <v>548</v>
      </c>
      <c r="AF173">
        <v>0</v>
      </c>
      <c r="AG173">
        <v>0</v>
      </c>
      <c r="AH173">
        <f>0*1</f>
        <v>0</v>
      </c>
      <c r="AI173">
        <f>0*1</f>
        <v>0</v>
      </c>
      <c r="AJ173">
        <v>1</v>
      </c>
      <c r="AK173">
        <v>1</v>
      </c>
      <c r="AL173">
        <v>1</v>
      </c>
    </row>
    <row r="174" spans="1:38" hidden="1" x14ac:dyDescent="0.2">
      <c r="A174" t="s">
        <v>402</v>
      </c>
      <c r="B174" t="s">
        <v>403</v>
      </c>
      <c r="C174" t="s">
        <v>403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29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4.9000000000000004</v>
      </c>
      <c r="AE174">
        <v>625</v>
      </c>
      <c r="AF174">
        <v>47.913043478260889</v>
      </c>
      <c r="AG174">
        <v>51.472646060213421</v>
      </c>
      <c r="AH174">
        <f>25.8512826384776*1</f>
        <v>25.851282638477599</v>
      </c>
      <c r="AI174">
        <f>1.41975264410116*1</f>
        <v>1.4197526441011601</v>
      </c>
      <c r="AJ174">
        <v>1</v>
      </c>
      <c r="AK174">
        <v>0</v>
      </c>
      <c r="AL174">
        <v>0</v>
      </c>
    </row>
    <row r="175" spans="1:38" hidden="1" x14ac:dyDescent="0.2">
      <c r="A175" t="s">
        <v>404</v>
      </c>
      <c r="B175" t="s">
        <v>405</v>
      </c>
      <c r="C175" t="s">
        <v>405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29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6.2</v>
      </c>
      <c r="AE175">
        <v>629</v>
      </c>
      <c r="AF175">
        <v>61.987500000000033</v>
      </c>
      <c r="AG175">
        <v>78.014831317344829</v>
      </c>
      <c r="AH175">
        <f>26.281592288716*1</f>
        <v>26.281592288715999</v>
      </c>
      <c r="AI175">
        <f>1.3185826930772*1</f>
        <v>1.3185826930772</v>
      </c>
      <c r="AJ175">
        <v>1</v>
      </c>
      <c r="AK175">
        <v>0</v>
      </c>
      <c r="AL175">
        <v>0</v>
      </c>
    </row>
    <row r="176" spans="1:38" hidden="1" x14ac:dyDescent="0.2">
      <c r="A176" t="s">
        <v>406</v>
      </c>
      <c r="B176" t="s">
        <v>407</v>
      </c>
      <c r="C176" t="s">
        <v>407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4.5999999999999996</v>
      </c>
      <c r="AE176">
        <v>639</v>
      </c>
      <c r="AF176">
        <v>57.62733674012366</v>
      </c>
      <c r="AG176">
        <v>61.351958991060648</v>
      </c>
      <c r="AH176">
        <f>37.4792313587703*1</f>
        <v>37.479231358770299</v>
      </c>
      <c r="AI176">
        <f>1.55063047203913*1</f>
        <v>1.55063047203913</v>
      </c>
      <c r="AJ176">
        <v>1</v>
      </c>
      <c r="AK176">
        <v>0</v>
      </c>
      <c r="AL176">
        <v>0</v>
      </c>
    </row>
    <row r="177" spans="1:38" hidden="1" x14ac:dyDescent="0.2">
      <c r="A177" t="s">
        <v>408</v>
      </c>
      <c r="B177" t="s">
        <v>409</v>
      </c>
      <c r="C177" t="s">
        <v>410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30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5</v>
      </c>
      <c r="AE177">
        <v>640</v>
      </c>
      <c r="AF177">
        <v>32.217391304347842</v>
      </c>
      <c r="AG177">
        <v>39.813420903104912</v>
      </c>
      <c r="AH177">
        <f>12.3752579366421*1</f>
        <v>12.3752579366421</v>
      </c>
      <c r="AI177">
        <f>0.652039390387254*1</f>
        <v>0.652039390387254</v>
      </c>
      <c r="AJ177">
        <v>1</v>
      </c>
      <c r="AK177">
        <v>0</v>
      </c>
      <c r="AL177">
        <v>0</v>
      </c>
    </row>
    <row r="178" spans="1:38" hidden="1" x14ac:dyDescent="0.2">
      <c r="A178" t="s">
        <v>411</v>
      </c>
      <c r="B178" t="s">
        <v>412</v>
      </c>
      <c r="C178" t="s">
        <v>412</v>
      </c>
      <c r="D178" t="s">
        <v>6</v>
      </c>
      <c r="E178">
        <v>0</v>
      </c>
      <c r="F178">
        <v>0</v>
      </c>
      <c r="G178">
        <v>0</v>
      </c>
      <c r="H178">
        <v>1</v>
      </c>
      <c r="I178" t="s">
        <v>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5.3</v>
      </c>
      <c r="AE178">
        <v>641</v>
      </c>
      <c r="AF178">
        <v>67.40957446808504</v>
      </c>
      <c r="AG178">
        <v>62.405015088593153</v>
      </c>
      <c r="AH178">
        <f>35.7324026522926*1</f>
        <v>35.732402652292599</v>
      </c>
      <c r="AI178">
        <f>1.84258806655375*1</f>
        <v>1.84258806655375</v>
      </c>
      <c r="AJ178">
        <v>1</v>
      </c>
      <c r="AK178">
        <v>0</v>
      </c>
      <c r="AL178">
        <v>0</v>
      </c>
    </row>
    <row r="179" spans="1:38" hidden="1" x14ac:dyDescent="0.2">
      <c r="A179" t="s">
        <v>413</v>
      </c>
      <c r="B179" t="s">
        <v>414</v>
      </c>
      <c r="C179" t="s">
        <v>414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7.5</v>
      </c>
      <c r="AE179">
        <v>643</v>
      </c>
      <c r="AF179">
        <v>86.676325387072112</v>
      </c>
      <c r="AG179">
        <v>87.780978914033895</v>
      </c>
      <c r="AH179">
        <f>61.0231281637342*1</f>
        <v>61.023128163734199</v>
      </c>
      <c r="AI179">
        <f>2.98896883956849*1</f>
        <v>2.9889688395684901</v>
      </c>
      <c r="AJ179">
        <v>1</v>
      </c>
      <c r="AK179">
        <v>0</v>
      </c>
      <c r="AL179">
        <v>0</v>
      </c>
    </row>
    <row r="180" spans="1:38" hidden="1" x14ac:dyDescent="0.2">
      <c r="A180" t="s">
        <v>415</v>
      </c>
      <c r="B180" t="s">
        <v>416</v>
      </c>
      <c r="C180" t="s">
        <v>415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30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4.4000000000000004</v>
      </c>
      <c r="AE180">
        <v>647</v>
      </c>
      <c r="AF180">
        <v>37.728984410504623</v>
      </c>
      <c r="AG180">
        <v>34.145887732267369</v>
      </c>
      <c r="AH180">
        <f>28.0346122440177*1</f>
        <v>28.034612244017701</v>
      </c>
      <c r="AI180">
        <f>0.906806072832379*1</f>
        <v>0.90680607283237902</v>
      </c>
      <c r="AJ180">
        <v>1</v>
      </c>
      <c r="AK180">
        <v>0</v>
      </c>
      <c r="AL180">
        <v>0</v>
      </c>
    </row>
    <row r="181" spans="1:38" hidden="1" x14ac:dyDescent="0.2">
      <c r="A181" t="s">
        <v>417</v>
      </c>
      <c r="B181" t="s">
        <v>418</v>
      </c>
      <c r="C181" t="s">
        <v>418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30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4.4000000000000004</v>
      </c>
      <c r="AE181">
        <v>651</v>
      </c>
      <c r="AF181">
        <v>52.881118881118923</v>
      </c>
      <c r="AG181">
        <v>59.866426693906583</v>
      </c>
      <c r="AH181">
        <f>27.0679348199425*1</f>
        <v>27.067934819942501</v>
      </c>
      <c r="AI181">
        <f>1.51158442781797*1</f>
        <v>1.51158442781797</v>
      </c>
      <c r="AJ181">
        <v>1</v>
      </c>
      <c r="AK181">
        <v>0</v>
      </c>
      <c r="AL181">
        <v>0</v>
      </c>
    </row>
    <row r="182" spans="1:38" hidden="1" x14ac:dyDescent="0.2">
      <c r="A182" t="s">
        <v>419</v>
      </c>
      <c r="B182" t="s">
        <v>420</v>
      </c>
      <c r="C182" t="s">
        <v>420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30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6.2</v>
      </c>
      <c r="AE182">
        <v>652</v>
      </c>
      <c r="AF182">
        <v>75.769112624346079</v>
      </c>
      <c r="AG182">
        <v>82.19835814527363</v>
      </c>
      <c r="AH182">
        <f>32.5184487323774*1</f>
        <v>32.518448732377401</v>
      </c>
      <c r="AI182">
        <f>1.99938394767983*1</f>
        <v>1.9993839476798301</v>
      </c>
      <c r="AJ182">
        <v>1</v>
      </c>
      <c r="AK182">
        <v>0</v>
      </c>
      <c r="AL182">
        <v>0</v>
      </c>
    </row>
    <row r="183" spans="1:38" hidden="1" x14ac:dyDescent="0.2">
      <c r="A183" t="s">
        <v>70</v>
      </c>
      <c r="B183" t="s">
        <v>421</v>
      </c>
      <c r="C183" t="s">
        <v>422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30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5.7</v>
      </c>
      <c r="AE183">
        <v>654</v>
      </c>
      <c r="AF183">
        <v>63.707625070989771</v>
      </c>
      <c r="AG183">
        <v>69.467361211129912</v>
      </c>
      <c r="AH183">
        <f>33.7482557603013*1</f>
        <v>33.748255760301298</v>
      </c>
      <c r="AI183">
        <f>1.39107257912778*1</f>
        <v>1.39107257912778</v>
      </c>
      <c r="AJ183">
        <v>1</v>
      </c>
      <c r="AK183">
        <v>0</v>
      </c>
      <c r="AL183">
        <v>0</v>
      </c>
    </row>
    <row r="184" spans="1:38" hidden="1" x14ac:dyDescent="0.2">
      <c r="A184" t="s">
        <v>423</v>
      </c>
      <c r="B184" t="s">
        <v>424</v>
      </c>
      <c r="C184" t="s">
        <v>424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4.4000000000000004</v>
      </c>
      <c r="AE184">
        <v>655</v>
      </c>
      <c r="AF184">
        <v>34.171204423378519</v>
      </c>
      <c r="AG184">
        <v>30.880641099032779</v>
      </c>
      <c r="AH184">
        <f>21.6670855393104*1</f>
        <v>21.667085539310399</v>
      </c>
      <c r="AI184">
        <f>0.742665987974913*1</f>
        <v>0.74266598797491301</v>
      </c>
      <c r="AJ184">
        <v>1</v>
      </c>
      <c r="AK184">
        <v>0</v>
      </c>
      <c r="AL184">
        <v>0</v>
      </c>
    </row>
    <row r="185" spans="1:38" hidden="1" x14ac:dyDescent="0.2">
      <c r="A185" t="s">
        <v>425</v>
      </c>
      <c r="B185" t="s">
        <v>426</v>
      </c>
      <c r="C185" t="s">
        <v>426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30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4.9000000000000004</v>
      </c>
      <c r="AE185">
        <v>657</v>
      </c>
      <c r="AF185">
        <v>61.925925925925931</v>
      </c>
      <c r="AG185">
        <v>71.562762128387931</v>
      </c>
      <c r="AH185">
        <f>54.6600718176118*1</f>
        <v>54.660071817611801</v>
      </c>
      <c r="AI185">
        <f>2.70010313226977*1</f>
        <v>2.7001031322697702</v>
      </c>
      <c r="AJ185">
        <v>1</v>
      </c>
      <c r="AK185">
        <v>0</v>
      </c>
      <c r="AL185">
        <v>0</v>
      </c>
    </row>
    <row r="186" spans="1:38" hidden="1" x14ac:dyDescent="0.2">
      <c r="A186" t="s">
        <v>427</v>
      </c>
      <c r="B186" t="s">
        <v>428</v>
      </c>
      <c r="C186" t="s">
        <v>428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30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5.6</v>
      </c>
      <c r="AE186">
        <v>660</v>
      </c>
      <c r="AF186">
        <v>39.266560815432832</v>
      </c>
      <c r="AG186">
        <v>76.707939829308089</v>
      </c>
      <c r="AH186">
        <f>24.164874819794*1</f>
        <v>24.164874819794001</v>
      </c>
      <c r="AI186">
        <f>0.985100076561068*1</f>
        <v>0.98510007656106802</v>
      </c>
      <c r="AJ186">
        <v>1</v>
      </c>
      <c r="AK186">
        <v>0</v>
      </c>
      <c r="AL186">
        <v>0</v>
      </c>
    </row>
    <row r="187" spans="1:38" hidden="1" x14ac:dyDescent="0.2">
      <c r="A187" t="s">
        <v>429</v>
      </c>
      <c r="B187" t="s">
        <v>430</v>
      </c>
      <c r="C187" t="s">
        <v>430</v>
      </c>
      <c r="D187" t="s">
        <v>4</v>
      </c>
      <c r="E187">
        <v>0</v>
      </c>
      <c r="F187">
        <v>1</v>
      </c>
      <c r="G187">
        <v>0</v>
      </c>
      <c r="H187">
        <v>0</v>
      </c>
      <c r="I187" t="s">
        <v>31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4.8</v>
      </c>
      <c r="AE187">
        <v>670</v>
      </c>
      <c r="AF187">
        <v>0</v>
      </c>
      <c r="AG187">
        <v>0</v>
      </c>
      <c r="AH187">
        <f>0*1</f>
        <v>0</v>
      </c>
      <c r="AI187">
        <f>0*1</f>
        <v>0</v>
      </c>
      <c r="AJ187">
        <v>1</v>
      </c>
      <c r="AK187">
        <v>0</v>
      </c>
      <c r="AL187">
        <v>0</v>
      </c>
    </row>
    <row r="188" spans="1:38" hidden="1" x14ac:dyDescent="0.2">
      <c r="A188" t="s">
        <v>431</v>
      </c>
      <c r="B188" t="s">
        <v>432</v>
      </c>
      <c r="C188" t="s">
        <v>432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31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4.9000000000000004</v>
      </c>
      <c r="AE188">
        <v>672</v>
      </c>
      <c r="AF188">
        <v>38.487179487179503</v>
      </c>
      <c r="AG188">
        <v>52.039603163723143</v>
      </c>
      <c r="AH188">
        <f>23.3658063097338*1</f>
        <v>23.365806309733799</v>
      </c>
      <c r="AI188">
        <f>1.17323342109785*1</f>
        <v>1.1732334210978499</v>
      </c>
      <c r="AJ188">
        <v>1</v>
      </c>
      <c r="AK188">
        <v>0</v>
      </c>
      <c r="AL188">
        <v>0</v>
      </c>
    </row>
    <row r="189" spans="1:38" x14ac:dyDescent="0.2">
      <c r="A189" t="s">
        <v>433</v>
      </c>
      <c r="B189" t="s">
        <v>434</v>
      </c>
      <c r="C189" t="s">
        <v>435</v>
      </c>
      <c r="D189" t="s">
        <v>6</v>
      </c>
      <c r="E189">
        <v>0</v>
      </c>
      <c r="F189">
        <v>0</v>
      </c>
      <c r="G189">
        <v>0</v>
      </c>
      <c r="H189">
        <v>1</v>
      </c>
      <c r="I189" t="s">
        <v>31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7</v>
      </c>
      <c r="AE189">
        <v>678</v>
      </c>
      <c r="AF189">
        <v>111.2933883828851</v>
      </c>
      <c r="AG189">
        <v>70.839769389154824</v>
      </c>
      <c r="AH189">
        <f>96.2931523216705*0.894736842105263</f>
        <v>86.157031024652539</v>
      </c>
      <c r="AI189">
        <v>0</v>
      </c>
      <c r="AJ189">
        <v>0.89473684210526316</v>
      </c>
      <c r="AK189">
        <v>1</v>
      </c>
      <c r="AL189">
        <v>1</v>
      </c>
    </row>
    <row r="190" spans="1:38" hidden="1" x14ac:dyDescent="0.2">
      <c r="A190" t="s">
        <v>436</v>
      </c>
      <c r="B190" t="s">
        <v>437</v>
      </c>
      <c r="C190" t="s">
        <v>437</v>
      </c>
      <c r="D190" t="s">
        <v>4</v>
      </c>
      <c r="E190">
        <v>0</v>
      </c>
      <c r="F190">
        <v>1</v>
      </c>
      <c r="G190">
        <v>0</v>
      </c>
      <c r="H190">
        <v>0</v>
      </c>
      <c r="I190" t="s">
        <v>31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4.4000000000000004</v>
      </c>
      <c r="AE190">
        <v>679</v>
      </c>
      <c r="AF190">
        <v>64.742830870400496</v>
      </c>
      <c r="AG190">
        <v>47.573720929391712</v>
      </c>
      <c r="AH190">
        <f>20.2307000821618*1</f>
        <v>20.2307000821618</v>
      </c>
      <c r="AI190">
        <f>0.781862294939499*1</f>
        <v>0.78186229493949899</v>
      </c>
      <c r="AJ190">
        <v>1</v>
      </c>
      <c r="AK190">
        <v>0</v>
      </c>
      <c r="AL190">
        <v>0</v>
      </c>
    </row>
    <row r="191" spans="1:38" hidden="1" x14ac:dyDescent="0.2">
      <c r="A191" t="s">
        <v>438</v>
      </c>
      <c r="B191" t="s">
        <v>439</v>
      </c>
      <c r="C191" t="s">
        <v>439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31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4.8</v>
      </c>
      <c r="AE191">
        <v>681</v>
      </c>
      <c r="AF191">
        <v>26.247956044868172</v>
      </c>
      <c r="AG191">
        <v>38.453946456284122</v>
      </c>
      <c r="AH191">
        <f>16.7953022415261*1</f>
        <v>16.795302241526102</v>
      </c>
      <c r="AI191">
        <f>0.827615731713007*1</f>
        <v>0.82761573171300695</v>
      </c>
      <c r="AJ191">
        <v>1</v>
      </c>
      <c r="AK191">
        <v>0</v>
      </c>
      <c r="AL191">
        <v>0</v>
      </c>
    </row>
    <row r="192" spans="1:38" hidden="1" x14ac:dyDescent="0.2">
      <c r="A192" t="s">
        <v>440</v>
      </c>
      <c r="B192" t="s">
        <v>441</v>
      </c>
      <c r="C192" t="s">
        <v>442</v>
      </c>
      <c r="D192" t="s">
        <v>5</v>
      </c>
      <c r="E192">
        <v>0</v>
      </c>
      <c r="F192">
        <v>0</v>
      </c>
      <c r="G192">
        <v>1</v>
      </c>
      <c r="H192">
        <v>0</v>
      </c>
      <c r="I192" t="s">
        <v>31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5.3</v>
      </c>
      <c r="AE192">
        <v>685</v>
      </c>
      <c r="AF192">
        <v>0</v>
      </c>
      <c r="AG192">
        <v>0</v>
      </c>
      <c r="AH192">
        <f>0*1</f>
        <v>0</v>
      </c>
      <c r="AI192">
        <f>0*1</f>
        <v>0</v>
      </c>
      <c r="AJ192">
        <v>1</v>
      </c>
      <c r="AK192">
        <v>0</v>
      </c>
      <c r="AL192">
        <v>0</v>
      </c>
    </row>
    <row r="193" spans="1:38" hidden="1" x14ac:dyDescent="0.2">
      <c r="A193" t="s">
        <v>443</v>
      </c>
      <c r="B193" t="s">
        <v>444</v>
      </c>
      <c r="C193" t="s">
        <v>445</v>
      </c>
      <c r="D193" t="s">
        <v>5</v>
      </c>
      <c r="E193">
        <v>0</v>
      </c>
      <c r="F193">
        <v>0</v>
      </c>
      <c r="G193">
        <v>1</v>
      </c>
      <c r="H193">
        <v>0</v>
      </c>
      <c r="I193" t="s">
        <v>31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4.9000000000000004</v>
      </c>
      <c r="AE193">
        <v>690</v>
      </c>
      <c r="AF193">
        <v>44.229989506822768</v>
      </c>
      <c r="AG193">
        <v>33.390723080271172</v>
      </c>
      <c r="AH193">
        <f>23.0092452946393*1</f>
        <v>23.0092452946393</v>
      </c>
      <c r="AI193">
        <f>1.17916005187359*1</f>
        <v>1.1791600518735901</v>
      </c>
      <c r="AJ193">
        <v>1</v>
      </c>
      <c r="AK193">
        <v>0</v>
      </c>
      <c r="AL193">
        <v>0</v>
      </c>
    </row>
    <row r="194" spans="1:38" hidden="1" x14ac:dyDescent="0.2">
      <c r="A194" t="s">
        <v>446</v>
      </c>
      <c r="B194" t="s">
        <v>447</v>
      </c>
      <c r="C194" t="s">
        <v>448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31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5</v>
      </c>
      <c r="AE194">
        <v>694</v>
      </c>
      <c r="AF194">
        <v>44.278260869565223</v>
      </c>
      <c r="AG194">
        <v>39.745457968326569</v>
      </c>
      <c r="AH194">
        <f>38.7656825045282*1</f>
        <v>38.765682504528201</v>
      </c>
      <c r="AI194">
        <f>2.0372823429712*1</f>
        <v>2.0372823429712001</v>
      </c>
      <c r="AJ194">
        <v>1</v>
      </c>
      <c r="AK194">
        <v>0</v>
      </c>
      <c r="AL194">
        <v>0</v>
      </c>
    </row>
    <row r="195" spans="1:38" hidden="1" x14ac:dyDescent="0.2">
      <c r="A195" t="s">
        <v>449</v>
      </c>
      <c r="B195" t="s">
        <v>450</v>
      </c>
      <c r="C195" t="s">
        <v>451</v>
      </c>
      <c r="D195" t="s">
        <v>4</v>
      </c>
      <c r="E195">
        <v>0</v>
      </c>
      <c r="F195">
        <v>1</v>
      </c>
      <c r="G195">
        <v>0</v>
      </c>
      <c r="H195">
        <v>0</v>
      </c>
      <c r="I195" t="s">
        <v>31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4.5</v>
      </c>
      <c r="AE195">
        <v>696</v>
      </c>
      <c r="AF195">
        <v>66.060280534961493</v>
      </c>
      <c r="AG195">
        <v>55.537949547516291</v>
      </c>
      <c r="AH195">
        <f>23.9254238325684*1</f>
        <v>23.925423832568399</v>
      </c>
      <c r="AI195">
        <f>1.02155456307959*1</f>
        <v>1.0215545630795899</v>
      </c>
      <c r="AJ195">
        <v>1</v>
      </c>
      <c r="AK195">
        <v>0</v>
      </c>
      <c r="AL195">
        <v>0</v>
      </c>
    </row>
    <row r="196" spans="1:38" hidden="1" x14ac:dyDescent="0.2">
      <c r="A196" t="s">
        <v>452</v>
      </c>
      <c r="B196" t="s">
        <v>453</v>
      </c>
      <c r="C196" t="s">
        <v>454</v>
      </c>
      <c r="D196" t="s">
        <v>4</v>
      </c>
      <c r="E196">
        <v>0</v>
      </c>
      <c r="F196">
        <v>1</v>
      </c>
      <c r="G196">
        <v>0</v>
      </c>
      <c r="H196">
        <v>0</v>
      </c>
      <c r="I196" t="s">
        <v>31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4.3</v>
      </c>
      <c r="AE196">
        <v>703</v>
      </c>
      <c r="AF196">
        <v>44.154929577464799</v>
      </c>
      <c r="AG196">
        <v>42.778242232801389</v>
      </c>
      <c r="AH196">
        <f>25.4100614562753*1</f>
        <v>25.410061456275301</v>
      </c>
      <c r="AI196">
        <f>1.2883572387623*1</f>
        <v>1.2883572387622999</v>
      </c>
      <c r="AJ196">
        <v>1</v>
      </c>
      <c r="AK196">
        <v>0</v>
      </c>
      <c r="AL19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2025-01-04T02:47:28Z</dcterms:created>
  <dcterms:modified xsi:type="dcterms:W3CDTF">2025-01-04T02:48:52Z</dcterms:modified>
</cp:coreProperties>
</file>