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orridog/Documents/GitHub/FPL-Predictor/Calibrations/2023-24/"/>
    </mc:Choice>
  </mc:AlternateContent>
  <xr:revisionPtr revIDLastSave="0" documentId="13_ncr:1_{EB8CF15F-B22F-7648-AF06-C684998F47A6}" xr6:coauthVersionLast="47" xr6:coauthVersionMax="47" xr10:uidLastSave="{00000000-0000-0000-0000-000000000000}"/>
  <bookViews>
    <workbookView xWindow="8480" yWindow="3220" windowWidth="16100" windowHeight="9660" firstSheet="12" activeTab="19" xr2:uid="{00000000-000D-0000-FFFF-FFFF00000000}"/>
  </bookViews>
  <sheets>
    <sheet name="ARS" sheetId="1" r:id="rId1"/>
    <sheet name="AVL" sheetId="2" r:id="rId2"/>
    <sheet name="BOU" sheetId="3" r:id="rId3"/>
    <sheet name="BRE" sheetId="4" r:id="rId4"/>
    <sheet name="BHA" sheetId="5" r:id="rId5"/>
    <sheet name="BUR" sheetId="6" r:id="rId6"/>
    <sheet name="CHE" sheetId="7" r:id="rId7"/>
    <sheet name="CRY" sheetId="8" r:id="rId8"/>
    <sheet name="EVE" sheetId="9" r:id="rId9"/>
    <sheet name="FUL" sheetId="10" r:id="rId10"/>
    <sheet name="LIV" sheetId="11" r:id="rId11"/>
    <sheet name="LUT" sheetId="12" r:id="rId12"/>
    <sheet name="MCI" sheetId="13" r:id="rId13"/>
    <sheet name="MUN" sheetId="14" r:id="rId14"/>
    <sheet name="NEW" sheetId="15" r:id="rId15"/>
    <sheet name="NFO" sheetId="16" r:id="rId16"/>
    <sheet name="SHU" sheetId="17" r:id="rId17"/>
    <sheet name="TOT" sheetId="18" r:id="rId18"/>
    <sheet name="WHU" sheetId="19" r:id="rId19"/>
    <sheet name="WOL" sheetId="20" r:id="rId2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20" l="1"/>
  <c r="F10" i="20" s="1"/>
  <c r="D9" i="20"/>
  <c r="F9" i="20" s="1"/>
  <c r="F8" i="20"/>
  <c r="D8" i="20"/>
  <c r="F7" i="20"/>
  <c r="D7" i="20"/>
  <c r="F6" i="20"/>
  <c r="D6" i="20"/>
  <c r="D5" i="20"/>
  <c r="I5" i="20" s="1"/>
  <c r="F4" i="20"/>
  <c r="D4" i="20"/>
  <c r="D3" i="20"/>
  <c r="F3" i="20" s="1"/>
  <c r="D2" i="20"/>
  <c r="F2" i="20" s="1"/>
  <c r="D10" i="19"/>
  <c r="F10" i="19" s="1"/>
  <c r="D9" i="19"/>
  <c r="F9" i="19" s="1"/>
  <c r="F8" i="19"/>
  <c r="D8" i="19"/>
  <c r="F7" i="19"/>
  <c r="D7" i="19"/>
  <c r="F6" i="19"/>
  <c r="D6" i="19"/>
  <c r="D5" i="19"/>
  <c r="I5" i="19" s="1"/>
  <c r="F4" i="19"/>
  <c r="D4" i="19"/>
  <c r="D3" i="19"/>
  <c r="F3" i="19" s="1"/>
  <c r="D2" i="19"/>
  <c r="F2" i="19" s="1"/>
  <c r="D10" i="18"/>
  <c r="F10" i="18" s="1"/>
  <c r="D9" i="18"/>
  <c r="F9" i="18" s="1"/>
  <c r="F8" i="18"/>
  <c r="D8" i="18"/>
  <c r="F7" i="18"/>
  <c r="D7" i="18"/>
  <c r="F6" i="18"/>
  <c r="D6" i="18"/>
  <c r="D5" i="18"/>
  <c r="I5" i="18" s="1"/>
  <c r="F4" i="18"/>
  <c r="D4" i="18"/>
  <c r="D3" i="18"/>
  <c r="F3" i="18" s="1"/>
  <c r="D2" i="18"/>
  <c r="F2" i="18" s="1"/>
  <c r="I5" i="17"/>
  <c r="D3" i="17"/>
  <c r="F3" i="17" s="1"/>
  <c r="F2" i="17"/>
  <c r="I7" i="17" s="1"/>
  <c r="D2" i="17"/>
  <c r="F6" i="16"/>
  <c r="D6" i="16"/>
  <c r="D5" i="16"/>
  <c r="F5" i="16" s="1"/>
  <c r="D4" i="16"/>
  <c r="F4" i="16" s="1"/>
  <c r="F3" i="16"/>
  <c r="D3" i="16"/>
  <c r="D2" i="16"/>
  <c r="F2" i="16" s="1"/>
  <c r="D8" i="15"/>
  <c r="F8" i="15" s="1"/>
  <c r="D7" i="15"/>
  <c r="F7" i="15" s="1"/>
  <c r="F6" i="15"/>
  <c r="D6" i="15"/>
  <c r="D5" i="15"/>
  <c r="I5" i="15" s="1"/>
  <c r="D4" i="15"/>
  <c r="F4" i="15" s="1"/>
  <c r="D3" i="15"/>
  <c r="F3" i="15" s="1"/>
  <c r="D2" i="15"/>
  <c r="F2" i="15" s="1"/>
  <c r="D6" i="14"/>
  <c r="F6" i="14" s="1"/>
  <c r="I5" i="14"/>
  <c r="D5" i="14"/>
  <c r="F5" i="14" s="1"/>
  <c r="D4" i="14"/>
  <c r="F4" i="14" s="1"/>
  <c r="D3" i="14"/>
  <c r="F3" i="14" s="1"/>
  <c r="F2" i="14"/>
  <c r="D2" i="14"/>
  <c r="D11" i="13"/>
  <c r="F11" i="13" s="1"/>
  <c r="D10" i="13"/>
  <c r="F10" i="13" s="1"/>
  <c r="D9" i="13"/>
  <c r="F9" i="13" s="1"/>
  <c r="D8" i="13"/>
  <c r="F8" i="13" s="1"/>
  <c r="D7" i="13"/>
  <c r="F7" i="13" s="1"/>
  <c r="F6" i="13"/>
  <c r="D6" i="13"/>
  <c r="D5" i="13"/>
  <c r="F5" i="13" s="1"/>
  <c r="D4" i="13"/>
  <c r="F4" i="13" s="1"/>
  <c r="F3" i="13"/>
  <c r="D3" i="13"/>
  <c r="D2" i="13"/>
  <c r="F2" i="13" s="1"/>
  <c r="I5" i="12"/>
  <c r="D4" i="12"/>
  <c r="F4" i="12" s="1"/>
  <c r="D3" i="12"/>
  <c r="F3" i="12" s="1"/>
  <c r="F2" i="12"/>
  <c r="D2" i="12"/>
  <c r="D11" i="11"/>
  <c r="F11" i="11" s="1"/>
  <c r="D10" i="11"/>
  <c r="F10" i="11" s="1"/>
  <c r="D9" i="11"/>
  <c r="F9" i="11" s="1"/>
  <c r="D8" i="11"/>
  <c r="F8" i="11" s="1"/>
  <c r="D7" i="11"/>
  <c r="F7" i="11" s="1"/>
  <c r="F6" i="11"/>
  <c r="D6" i="11"/>
  <c r="D5" i="11"/>
  <c r="F5" i="11" s="1"/>
  <c r="D4" i="11"/>
  <c r="F4" i="11" s="1"/>
  <c r="F3" i="11"/>
  <c r="D3" i="11"/>
  <c r="D2" i="11"/>
  <c r="F2" i="11" s="1"/>
  <c r="D10" i="10"/>
  <c r="F10" i="10" s="1"/>
  <c r="D9" i="10"/>
  <c r="F9" i="10" s="1"/>
  <c r="D8" i="10"/>
  <c r="F8" i="10" s="1"/>
  <c r="D7" i="10"/>
  <c r="F7" i="10" s="1"/>
  <c r="F6" i="10"/>
  <c r="D6" i="10"/>
  <c r="D5" i="10"/>
  <c r="F5" i="10" s="1"/>
  <c r="D4" i="10"/>
  <c r="F4" i="10" s="1"/>
  <c r="F3" i="10"/>
  <c r="D3" i="10"/>
  <c r="D2" i="10"/>
  <c r="F2" i="10" s="1"/>
  <c r="D9" i="9"/>
  <c r="F9" i="9" s="1"/>
  <c r="D8" i="9"/>
  <c r="F8" i="9" s="1"/>
  <c r="F7" i="9"/>
  <c r="D7" i="9"/>
  <c r="D6" i="9"/>
  <c r="F6" i="9" s="1"/>
  <c r="I5" i="9"/>
  <c r="D5" i="9"/>
  <c r="F5" i="9" s="1"/>
  <c r="D4" i="9"/>
  <c r="F4" i="9" s="1"/>
  <c r="D3" i="9"/>
  <c r="F3" i="9" s="1"/>
  <c r="F2" i="9"/>
  <c r="D2" i="9"/>
  <c r="D9" i="8"/>
  <c r="F9" i="8" s="1"/>
  <c r="F8" i="8"/>
  <c r="D8" i="8"/>
  <c r="D7" i="8"/>
  <c r="F7" i="8" s="1"/>
  <c r="F6" i="8"/>
  <c r="D6" i="8"/>
  <c r="F5" i="8"/>
  <c r="D5" i="8"/>
  <c r="I5" i="8" s="1"/>
  <c r="F4" i="8"/>
  <c r="D4" i="8"/>
  <c r="D3" i="8"/>
  <c r="F3" i="8" s="1"/>
  <c r="D2" i="8"/>
  <c r="F2" i="8" s="1"/>
  <c r="I7" i="8" s="1"/>
  <c r="F10" i="7"/>
  <c r="D10" i="7"/>
  <c r="D9" i="7"/>
  <c r="F9" i="7" s="1"/>
  <c r="F8" i="7"/>
  <c r="D8" i="7"/>
  <c r="D7" i="7"/>
  <c r="F7" i="7" s="1"/>
  <c r="D6" i="7"/>
  <c r="F6" i="7" s="1"/>
  <c r="D5" i="7"/>
  <c r="I5" i="7" s="1"/>
  <c r="F4" i="7"/>
  <c r="D4" i="7"/>
  <c r="D3" i="7"/>
  <c r="F3" i="7" s="1"/>
  <c r="D2" i="7"/>
  <c r="F2" i="7" s="1"/>
  <c r="D5" i="6"/>
  <c r="I5" i="6" s="1"/>
  <c r="F4" i="6"/>
  <c r="D4" i="6"/>
  <c r="D3" i="6"/>
  <c r="F3" i="6" s="1"/>
  <c r="D2" i="6"/>
  <c r="F2" i="6" s="1"/>
  <c r="F8" i="5"/>
  <c r="D8" i="5"/>
  <c r="F7" i="5"/>
  <c r="D7" i="5"/>
  <c r="F6" i="5"/>
  <c r="D6" i="5"/>
  <c r="D5" i="5"/>
  <c r="I5" i="5" s="1"/>
  <c r="F4" i="5"/>
  <c r="D4" i="5"/>
  <c r="D3" i="5"/>
  <c r="F3" i="5" s="1"/>
  <c r="F2" i="5"/>
  <c r="D2" i="5"/>
  <c r="D12" i="4"/>
  <c r="F12" i="4" s="1"/>
  <c r="D11" i="4"/>
  <c r="F11" i="4" s="1"/>
  <c r="F10" i="4"/>
  <c r="D10" i="4"/>
  <c r="D9" i="4"/>
  <c r="F9" i="4" s="1"/>
  <c r="F8" i="4"/>
  <c r="D8" i="4"/>
  <c r="D7" i="4"/>
  <c r="F7" i="4" s="1"/>
  <c r="D6" i="4"/>
  <c r="F6" i="4" s="1"/>
  <c r="D5" i="4"/>
  <c r="I5" i="4" s="1"/>
  <c r="F4" i="4"/>
  <c r="D4" i="4"/>
  <c r="D3" i="4"/>
  <c r="F3" i="4" s="1"/>
  <c r="D2" i="4"/>
  <c r="F2" i="4" s="1"/>
  <c r="F12" i="3"/>
  <c r="D12" i="3"/>
  <c r="D11" i="3"/>
  <c r="F11" i="3" s="1"/>
  <c r="F10" i="3"/>
  <c r="D10" i="3"/>
  <c r="D9" i="3"/>
  <c r="F9" i="3" s="1"/>
  <c r="D8" i="3"/>
  <c r="F8" i="3" s="1"/>
  <c r="D7" i="3"/>
  <c r="F7" i="3" s="1"/>
  <c r="F6" i="3"/>
  <c r="D6" i="3"/>
  <c r="D5" i="3"/>
  <c r="F5" i="3" s="1"/>
  <c r="D4" i="3"/>
  <c r="F4" i="3" s="1"/>
  <c r="F3" i="3"/>
  <c r="D3" i="3"/>
  <c r="D2" i="3"/>
  <c r="F2" i="3" s="1"/>
  <c r="F11" i="2"/>
  <c r="D11" i="2"/>
  <c r="D10" i="2"/>
  <c r="F10" i="2" s="1"/>
  <c r="D9" i="2"/>
  <c r="F9" i="2" s="1"/>
  <c r="F8" i="2"/>
  <c r="D8" i="2"/>
  <c r="F7" i="2"/>
  <c r="D7" i="2"/>
  <c r="F6" i="2"/>
  <c r="D6" i="2"/>
  <c r="D5" i="2"/>
  <c r="I5" i="2" s="1"/>
  <c r="F4" i="2"/>
  <c r="D4" i="2"/>
  <c r="D3" i="2"/>
  <c r="F3" i="2" s="1"/>
  <c r="F2" i="2"/>
  <c r="D2" i="2"/>
  <c r="D13" i="1"/>
  <c r="F13" i="1" s="1"/>
  <c r="D12" i="1"/>
  <c r="F12" i="1" s="1"/>
  <c r="F11" i="1"/>
  <c r="D11" i="1"/>
  <c r="D10" i="1"/>
  <c r="F10" i="1" s="1"/>
  <c r="D9" i="1"/>
  <c r="F9" i="1" s="1"/>
  <c r="D8" i="1"/>
  <c r="F8" i="1" s="1"/>
  <c r="D7" i="1"/>
  <c r="F7" i="1" s="1"/>
  <c r="D6" i="1"/>
  <c r="F6" i="1" s="1"/>
  <c r="I5" i="1"/>
  <c r="D5" i="1"/>
  <c r="F5" i="1" s="1"/>
  <c r="D4" i="1"/>
  <c r="F4" i="1" s="1"/>
  <c r="D3" i="1"/>
  <c r="F3" i="1" s="1"/>
  <c r="F2" i="1"/>
  <c r="I7" i="1" s="1"/>
  <c r="D2" i="1"/>
  <c r="I7" i="3" l="1"/>
  <c r="I7" i="16"/>
  <c r="I7" i="13"/>
  <c r="I7" i="5"/>
  <c r="I7" i="6"/>
  <c r="I7" i="9"/>
  <c r="I7" i="10"/>
  <c r="I7" i="11"/>
  <c r="I7" i="14"/>
  <c r="I7" i="12"/>
  <c r="F5" i="5"/>
  <c r="I5" i="3"/>
  <c r="I5" i="10"/>
  <c r="I5" i="11"/>
  <c r="I5" i="13"/>
  <c r="I5" i="16"/>
  <c r="F5" i="4"/>
  <c r="I7" i="4" s="1"/>
  <c r="F5" i="15"/>
  <c r="I7" i="15" s="1"/>
  <c r="F5" i="6"/>
  <c r="F5" i="7"/>
  <c r="I7" i="7" s="1"/>
  <c r="F5" i="18"/>
  <c r="I7" i="18" s="1"/>
  <c r="F5" i="19"/>
  <c r="I7" i="19" s="1"/>
  <c r="F5" i="20"/>
  <c r="I7" i="20" s="1"/>
  <c r="F5" i="2"/>
  <c r="I7" i="2" s="1"/>
</calcChain>
</file>

<file path=xl/sharedStrings.xml><?xml version="1.0" encoding="utf-8"?>
<sst xmlns="http://schemas.openxmlformats.org/spreadsheetml/2006/main" count="358" uniqueCount="168">
  <si>
    <t>ARIMA</t>
  </si>
  <si>
    <t>LSTM</t>
  </si>
  <si>
    <t>OFF</t>
  </si>
  <si>
    <t>AVG</t>
  </si>
  <si>
    <t>Name</t>
  </si>
  <si>
    <t>ARIMAPP</t>
  </si>
  <si>
    <t>LSTMPP</t>
  </si>
  <si>
    <t>PP</t>
  </si>
  <si>
    <t>AP</t>
  </si>
  <si>
    <t>DIFF</t>
  </si>
  <si>
    <t>Rice</t>
  </si>
  <si>
    <t>G.Jesus</t>
  </si>
  <si>
    <t>Zinchenko</t>
  </si>
  <si>
    <t>Saka</t>
  </si>
  <si>
    <t>Trossard</t>
  </si>
  <si>
    <t>Havertz</t>
  </si>
  <si>
    <t>Ødegaard</t>
  </si>
  <si>
    <t>Raya</t>
  </si>
  <si>
    <t>Saliba</t>
  </si>
  <si>
    <t>White</t>
  </si>
  <si>
    <t>Martinelli</t>
  </si>
  <si>
    <t>Gabriel</t>
  </si>
  <si>
    <t>Digne</t>
  </si>
  <si>
    <t>Tielemans</t>
  </si>
  <si>
    <t>Douglas Luiz</t>
  </si>
  <si>
    <t>McGinn</t>
  </si>
  <si>
    <t>Konsa</t>
  </si>
  <si>
    <t>Watkins</t>
  </si>
  <si>
    <t>Bailey</t>
  </si>
  <si>
    <t>Martinez</t>
  </si>
  <si>
    <t>Diaby</t>
  </si>
  <si>
    <t>Pau</t>
  </si>
  <si>
    <t>Smith</t>
  </si>
  <si>
    <t>L.Cook</t>
  </si>
  <si>
    <t>Solanke</t>
  </si>
  <si>
    <t>Christie</t>
  </si>
  <si>
    <t>Tavernier</t>
  </si>
  <si>
    <t>Senesi</t>
  </si>
  <si>
    <t>Neto</t>
  </si>
  <si>
    <t>Semenyo</t>
  </si>
  <si>
    <t>Zabarnyi</t>
  </si>
  <si>
    <t>Kluivert</t>
  </si>
  <si>
    <t>Kerkez</t>
  </si>
  <si>
    <t>Nørgaard</t>
  </si>
  <si>
    <t>Pinnock</t>
  </si>
  <si>
    <t>Janelt</t>
  </si>
  <si>
    <t>Mbeumo</t>
  </si>
  <si>
    <t>Ajer</t>
  </si>
  <si>
    <t>Wissa</t>
  </si>
  <si>
    <t>Jensen</t>
  </si>
  <si>
    <t>Roerslev</t>
  </si>
  <si>
    <t>Collins</t>
  </si>
  <si>
    <t>Lewis-Potter</t>
  </si>
  <si>
    <t>Flekken</t>
  </si>
  <si>
    <t>Dunk</t>
  </si>
  <si>
    <t>Gross</t>
  </si>
  <si>
    <t>Welbeck</t>
  </si>
  <si>
    <t>João Pedro</t>
  </si>
  <si>
    <t>Van Hecke</t>
  </si>
  <si>
    <t>Buonanotte</t>
  </si>
  <si>
    <t>Adingra</t>
  </si>
  <si>
    <t>Brownhill</t>
  </si>
  <si>
    <t>O'Shea</t>
  </si>
  <si>
    <t>Bruun Larsen</t>
  </si>
  <si>
    <t>Odobert</t>
  </si>
  <si>
    <t>Sterling</t>
  </si>
  <si>
    <t>Gallagher</t>
  </si>
  <si>
    <t>Palmer</t>
  </si>
  <si>
    <t>T.Silva</t>
  </si>
  <si>
    <t>Colwill</t>
  </si>
  <si>
    <t>Caicedo</t>
  </si>
  <si>
    <t>Mudryk</t>
  </si>
  <si>
    <t>Enzo</t>
  </si>
  <si>
    <t>N.Jackson</t>
  </si>
  <si>
    <t>Schlupp</t>
  </si>
  <si>
    <t>Hughes</t>
  </si>
  <si>
    <t>J.Ayew</t>
  </si>
  <si>
    <t>Mitchell</t>
  </si>
  <si>
    <t>Eze</t>
  </si>
  <si>
    <t>Andersen</t>
  </si>
  <si>
    <t>Mateta</t>
  </si>
  <si>
    <t>Lerma</t>
  </si>
  <si>
    <t>A.Doucoure</t>
  </si>
  <si>
    <t>Tarkowski</t>
  </si>
  <si>
    <t>Pickford</t>
  </si>
  <si>
    <t>Young</t>
  </si>
  <si>
    <t>Calvert-Lewin</t>
  </si>
  <si>
    <t>McNeil</t>
  </si>
  <si>
    <t>Garner</t>
  </si>
  <si>
    <t>Branthwaite</t>
  </si>
  <si>
    <t>Iwobi</t>
  </si>
  <si>
    <t>Leno</t>
  </si>
  <si>
    <t>Wilson</t>
  </si>
  <si>
    <t>Castagne</t>
  </si>
  <si>
    <t>Robinson</t>
  </si>
  <si>
    <t>J.Palhinha</t>
  </si>
  <si>
    <t>Andreas</t>
  </si>
  <si>
    <t>De Cordova-Reid</t>
  </si>
  <si>
    <t>Bassey</t>
  </si>
  <si>
    <t>A.Becker</t>
  </si>
  <si>
    <t>Salah</t>
  </si>
  <si>
    <t>Alexander-Arnold</t>
  </si>
  <si>
    <t>Virgil</t>
  </si>
  <si>
    <t>Elliott</t>
  </si>
  <si>
    <t>Mac Allister</t>
  </si>
  <si>
    <t>Luis Díaz</t>
  </si>
  <si>
    <t>Darwin</t>
  </si>
  <si>
    <t>Gakpo</t>
  </si>
  <si>
    <t>Szoboszlai</t>
  </si>
  <si>
    <t>Barkley</t>
  </si>
  <si>
    <t>Chong</t>
  </si>
  <si>
    <t>Morris</t>
  </si>
  <si>
    <t>Ederson M.</t>
  </si>
  <si>
    <t>Walker</t>
  </si>
  <si>
    <t>Aké</t>
  </si>
  <si>
    <t>Foden</t>
  </si>
  <si>
    <t>Rodrigo</t>
  </si>
  <si>
    <t>Haaland</t>
  </si>
  <si>
    <t>Bernardo</t>
  </si>
  <si>
    <t>J.Alvarez</t>
  </si>
  <si>
    <t>Rúben</t>
  </si>
  <si>
    <t>Akanji</t>
  </si>
  <si>
    <t>Rashford</t>
  </si>
  <si>
    <t>McTominay</t>
  </si>
  <si>
    <t>B.Fernandes</t>
  </si>
  <si>
    <t>Garnacho</t>
  </si>
  <si>
    <t>Onana</t>
  </si>
  <si>
    <t>Trippier</t>
  </si>
  <si>
    <t>Schär</t>
  </si>
  <si>
    <t>Longstaff</t>
  </si>
  <si>
    <t>Burn</t>
  </si>
  <si>
    <t>Gordon</t>
  </si>
  <si>
    <t>Bruno G.</t>
  </si>
  <si>
    <t>Isak</t>
  </si>
  <si>
    <t>Wood</t>
  </si>
  <si>
    <t>Gibbs-White</t>
  </si>
  <si>
    <t>Hudson-Odoi</t>
  </si>
  <si>
    <t>Elanga</t>
  </si>
  <si>
    <t>Danilo</t>
  </si>
  <si>
    <t>Archer</t>
  </si>
  <si>
    <t>Hamer</t>
  </si>
  <si>
    <t>Maddison</t>
  </si>
  <si>
    <t>Richarlison</t>
  </si>
  <si>
    <t>Romero</t>
  </si>
  <si>
    <t>Kulusevski</t>
  </si>
  <si>
    <t>Johnson</t>
  </si>
  <si>
    <t>Son</t>
  </si>
  <si>
    <t>Pedro Porro</t>
  </si>
  <si>
    <t>Udogie</t>
  </si>
  <si>
    <t>Vicario</t>
  </si>
  <si>
    <t>Ward-Prowse</t>
  </si>
  <si>
    <t>Zouma</t>
  </si>
  <si>
    <t>Emerson</t>
  </si>
  <si>
    <t>Bowen</t>
  </si>
  <si>
    <t>Areola</t>
  </si>
  <si>
    <t>L.Paquetá</t>
  </si>
  <si>
    <t>Souček</t>
  </si>
  <si>
    <t>Álvarez</t>
  </si>
  <si>
    <t>Kudus</t>
  </si>
  <si>
    <t>Mario Jr.</t>
  </si>
  <si>
    <t>Dawson</t>
  </si>
  <si>
    <t>José Sá</t>
  </si>
  <si>
    <t>Toti</t>
  </si>
  <si>
    <t>Hee Chan</t>
  </si>
  <si>
    <t>Aït-Nouri</t>
  </si>
  <si>
    <t>Cunha</t>
  </si>
  <si>
    <t>Sarabia</t>
  </si>
  <si>
    <t>João Gomes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</si>
</sst>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ARS" displayName="TableARS" ref="A1:F13" totalsRowShown="0">
  <autoFilter ref="A1:F13" xr:uid="{00000000-0009-0000-0100-000001000000}"/>
  <tableColumns count="6">
    <tableColumn id="1" xr3:uid="{00000000-0010-0000-0000-000001000000}" name="Name"/>
    <tableColumn id="2" xr3:uid="{00000000-0010-0000-0000-000002000000}" name="ARIMAPP"/>
    <tableColumn id="3" xr3:uid="{00000000-0010-0000-0000-000003000000}" name="LSTMPP"/>
    <tableColumn id="4" xr3:uid="{00000000-0010-0000-0000-000004000000}" name="PP">
      <calculatedColumnFormula>TableARS[[#This Row],[ARIMAPP]]*$I$2+TableARS[[#This Row],[LSTMPP]]*$I$3</calculatedColumnFormula>
    </tableColumn>
    <tableColumn id="5" xr3:uid="{00000000-0010-0000-0000-000005000000}" name="AP"/>
    <tableColumn id="6" xr3:uid="{00000000-0010-0000-0000-000006000000}" name="DIFF">
      <calculatedColumnFormula>ABS(TableARS[[#This Row],[PP]]-TableARS[[#This Row],[AP]])</calculatedColumnFormula>
    </tableColumn>
  </tableColumns>
  <tableStyleInfo name="TableStyleMedium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ableFUL" displayName="TableFUL" ref="A1:F10" totalsRowShown="0">
  <autoFilter ref="A1:F10" xr:uid="{00000000-0009-0000-0100-00000A000000}"/>
  <tableColumns count="6">
    <tableColumn id="1" xr3:uid="{00000000-0010-0000-0900-000001000000}" name="Name"/>
    <tableColumn id="2" xr3:uid="{00000000-0010-0000-0900-000002000000}" name="ARIMAPP"/>
    <tableColumn id="3" xr3:uid="{00000000-0010-0000-0900-000003000000}" name="LSTMPP"/>
    <tableColumn id="4" xr3:uid="{00000000-0010-0000-0900-000004000000}" name="PP">
      <calculatedColumnFormula>TableFUL[[#This Row],[ARIMAPP]]*$I$2+TableFUL[[#This Row],[LSTMPP]]*$I$3</calculatedColumnFormula>
    </tableColumn>
    <tableColumn id="5" xr3:uid="{00000000-0010-0000-0900-000005000000}" name="AP"/>
    <tableColumn id="6" xr3:uid="{00000000-0010-0000-0900-000006000000}" name="DIFF">
      <calculatedColumnFormula>ABS(TableFUL[[#This Row],[PP]]-TableFUL[[#This Row],[AP]])</calculatedColumnFormula>
    </tableColumn>
  </tableColumns>
  <tableStyleInfo name="TableStyleMedium9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TableLIV" displayName="TableLIV" ref="A1:F11" totalsRowShown="0">
  <autoFilter ref="A1:F11" xr:uid="{00000000-0009-0000-0100-00000B000000}"/>
  <tableColumns count="6">
    <tableColumn id="1" xr3:uid="{00000000-0010-0000-0A00-000001000000}" name="Name"/>
    <tableColumn id="2" xr3:uid="{00000000-0010-0000-0A00-000002000000}" name="ARIMAPP"/>
    <tableColumn id="3" xr3:uid="{00000000-0010-0000-0A00-000003000000}" name="LSTMPP"/>
    <tableColumn id="4" xr3:uid="{00000000-0010-0000-0A00-000004000000}" name="PP">
      <calculatedColumnFormula>TableLIV[[#This Row],[ARIMAPP]]*$I$2+TableLIV[[#This Row],[LSTMPP]]*$I$3</calculatedColumnFormula>
    </tableColumn>
    <tableColumn id="5" xr3:uid="{00000000-0010-0000-0A00-000005000000}" name="AP"/>
    <tableColumn id="6" xr3:uid="{00000000-0010-0000-0A00-000006000000}" name="DIFF">
      <calculatedColumnFormula>ABS(TableLIV[[#This Row],[PP]]-TableLIV[[#This Row],[AP]])</calculatedColumnFormula>
    </tableColumn>
  </tableColumns>
  <tableStyleInfo name="TableStyleMedium9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TableLUT" displayName="TableLUT" ref="A1:F4" totalsRowShown="0">
  <autoFilter ref="A1:F4" xr:uid="{00000000-0009-0000-0100-00000C000000}"/>
  <tableColumns count="6">
    <tableColumn id="1" xr3:uid="{00000000-0010-0000-0B00-000001000000}" name="Name"/>
    <tableColumn id="2" xr3:uid="{00000000-0010-0000-0B00-000002000000}" name="ARIMAPP"/>
    <tableColumn id="3" xr3:uid="{00000000-0010-0000-0B00-000003000000}" name="LSTMPP"/>
    <tableColumn id="4" xr3:uid="{00000000-0010-0000-0B00-000004000000}" name="PP">
      <calculatedColumnFormula>TableLUT[[#This Row],[ARIMAPP]]*$I$2+TableLUT[[#This Row],[LSTMPP]]*$I$3</calculatedColumnFormula>
    </tableColumn>
    <tableColumn id="5" xr3:uid="{00000000-0010-0000-0B00-000005000000}" name="AP"/>
    <tableColumn id="6" xr3:uid="{00000000-0010-0000-0B00-000006000000}" name="DIFF">
      <calculatedColumnFormula>ABS(TableLUT[[#This Row],[PP]]-TableLUT[[#This Row],[AP]])</calculatedColumnFormula>
    </tableColumn>
  </tableColumns>
  <tableStyleInfo name="TableStyleMedium9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C000000}" name="TableMCI" displayName="TableMCI" ref="A1:F11" totalsRowShown="0">
  <autoFilter ref="A1:F11" xr:uid="{00000000-0009-0000-0100-00000D000000}"/>
  <tableColumns count="6">
    <tableColumn id="1" xr3:uid="{00000000-0010-0000-0C00-000001000000}" name="Name"/>
    <tableColumn id="2" xr3:uid="{00000000-0010-0000-0C00-000002000000}" name="ARIMAPP"/>
    <tableColumn id="3" xr3:uid="{00000000-0010-0000-0C00-000003000000}" name="LSTMPP"/>
    <tableColumn id="4" xr3:uid="{00000000-0010-0000-0C00-000004000000}" name="PP">
      <calculatedColumnFormula>TableMCI[[#This Row],[ARIMAPP]]*$I$2+TableMCI[[#This Row],[LSTMPP]]*$I$3</calculatedColumnFormula>
    </tableColumn>
    <tableColumn id="5" xr3:uid="{00000000-0010-0000-0C00-000005000000}" name="AP"/>
    <tableColumn id="6" xr3:uid="{00000000-0010-0000-0C00-000006000000}" name="DIFF">
      <calculatedColumnFormula>ABS(TableMCI[[#This Row],[PP]]-TableMCI[[#This Row],[AP]])</calculatedColumnFormula>
    </tableColumn>
  </tableColumns>
  <tableStyleInfo name="TableStyleMedium9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D000000}" name="TableMUN" displayName="TableMUN" ref="A1:F6" totalsRowShown="0">
  <autoFilter ref="A1:F6" xr:uid="{00000000-0009-0000-0100-00000E000000}"/>
  <tableColumns count="6">
    <tableColumn id="1" xr3:uid="{00000000-0010-0000-0D00-000001000000}" name="Name"/>
    <tableColumn id="2" xr3:uid="{00000000-0010-0000-0D00-000002000000}" name="ARIMAPP"/>
    <tableColumn id="3" xr3:uid="{00000000-0010-0000-0D00-000003000000}" name="LSTMPP"/>
    <tableColumn id="4" xr3:uid="{00000000-0010-0000-0D00-000004000000}" name="PP">
      <calculatedColumnFormula>TableMUN[[#This Row],[ARIMAPP]]*$I$2+TableMUN[[#This Row],[LSTMPP]]*$I$3</calculatedColumnFormula>
    </tableColumn>
    <tableColumn id="5" xr3:uid="{00000000-0010-0000-0D00-000005000000}" name="AP"/>
    <tableColumn id="6" xr3:uid="{00000000-0010-0000-0D00-000006000000}" name="DIFF">
      <calculatedColumnFormula>ABS(TableMUN[[#This Row],[PP]]-TableMUN[[#This Row],[AP]])</calculatedColumnFormula>
    </tableColumn>
  </tableColumns>
  <tableStyleInfo name="TableStyleMedium9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TableNEW" displayName="TableNEW" ref="A1:F8" totalsRowShown="0">
  <autoFilter ref="A1:F8" xr:uid="{00000000-0009-0000-0100-00000F000000}"/>
  <tableColumns count="6">
    <tableColumn id="1" xr3:uid="{00000000-0010-0000-0E00-000001000000}" name="Name"/>
    <tableColumn id="2" xr3:uid="{00000000-0010-0000-0E00-000002000000}" name="ARIMAPP"/>
    <tableColumn id="3" xr3:uid="{00000000-0010-0000-0E00-000003000000}" name="LSTMPP"/>
    <tableColumn id="4" xr3:uid="{00000000-0010-0000-0E00-000004000000}" name="PP">
      <calculatedColumnFormula>TableNEW[[#This Row],[ARIMAPP]]*$I$2+TableNEW[[#This Row],[LSTMPP]]*$I$3</calculatedColumnFormula>
    </tableColumn>
    <tableColumn id="5" xr3:uid="{00000000-0010-0000-0E00-000005000000}" name="AP"/>
    <tableColumn id="6" xr3:uid="{00000000-0010-0000-0E00-000006000000}" name="DIFF">
      <calculatedColumnFormula>ABS(TableNEW[[#This Row],[PP]]-TableNEW[[#This Row],[AP]])</calculatedColumnFormula>
    </tableColumn>
  </tableColumns>
  <tableStyleInfo name="TableStyleMedium9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F000000}" name="TableNFO" displayName="TableNFO" ref="A1:F6" totalsRowShown="0">
  <autoFilter ref="A1:F6" xr:uid="{00000000-0009-0000-0100-000010000000}"/>
  <tableColumns count="6">
    <tableColumn id="1" xr3:uid="{00000000-0010-0000-0F00-000001000000}" name="Name"/>
    <tableColumn id="2" xr3:uid="{00000000-0010-0000-0F00-000002000000}" name="ARIMAPP"/>
    <tableColumn id="3" xr3:uid="{00000000-0010-0000-0F00-000003000000}" name="LSTMPP"/>
    <tableColumn id="4" xr3:uid="{00000000-0010-0000-0F00-000004000000}" name="PP">
      <calculatedColumnFormula>TableNFO[[#This Row],[ARIMAPP]]*$I$2+TableNFO[[#This Row],[LSTMPP]]*$I$3</calculatedColumnFormula>
    </tableColumn>
    <tableColumn id="5" xr3:uid="{00000000-0010-0000-0F00-000005000000}" name="AP"/>
    <tableColumn id="6" xr3:uid="{00000000-0010-0000-0F00-000006000000}" name="DIFF">
      <calculatedColumnFormula>ABS(TableNFO[[#This Row],[PP]]-TableNFO[[#This Row],[AP]])</calculatedColumnFormula>
    </tableColumn>
  </tableColumns>
  <tableStyleInfo name="TableStyleMedium9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0000000}" name="TableSHU" displayName="TableSHU" ref="A1:F3" totalsRowShown="0">
  <autoFilter ref="A1:F3" xr:uid="{00000000-0009-0000-0100-000011000000}"/>
  <tableColumns count="6">
    <tableColumn id="1" xr3:uid="{00000000-0010-0000-1000-000001000000}" name="Name"/>
    <tableColumn id="2" xr3:uid="{00000000-0010-0000-1000-000002000000}" name="ARIMAPP"/>
    <tableColumn id="3" xr3:uid="{00000000-0010-0000-1000-000003000000}" name="LSTMPP"/>
    <tableColumn id="4" xr3:uid="{00000000-0010-0000-1000-000004000000}" name="PP">
      <calculatedColumnFormula>TableSHU[[#This Row],[ARIMAPP]]*$I$2+TableSHU[[#This Row],[LSTMPP]]*$I$3</calculatedColumnFormula>
    </tableColumn>
    <tableColumn id="5" xr3:uid="{00000000-0010-0000-1000-000005000000}" name="AP"/>
    <tableColumn id="6" xr3:uid="{00000000-0010-0000-1000-000006000000}" name="DIFF">
      <calculatedColumnFormula>ABS(TableSHU[[#This Row],[PP]]-TableSHU[[#This Row],[AP]])</calculatedColumnFormula>
    </tableColumn>
  </tableColumns>
  <tableStyleInfo name="TableStyleMedium9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11000000}" name="TableTOT" displayName="TableTOT" ref="A1:F10" totalsRowShown="0">
  <autoFilter ref="A1:F10" xr:uid="{00000000-0009-0000-0100-000012000000}"/>
  <tableColumns count="6">
    <tableColumn id="1" xr3:uid="{00000000-0010-0000-1100-000001000000}" name="Name"/>
    <tableColumn id="2" xr3:uid="{00000000-0010-0000-1100-000002000000}" name="ARIMAPP"/>
    <tableColumn id="3" xr3:uid="{00000000-0010-0000-1100-000003000000}" name="LSTMPP"/>
    <tableColumn id="4" xr3:uid="{00000000-0010-0000-1100-000004000000}" name="PP">
      <calculatedColumnFormula>TableTOT[[#This Row],[ARIMAPP]]*$I$2+TableTOT[[#This Row],[LSTMPP]]*$I$3</calculatedColumnFormula>
    </tableColumn>
    <tableColumn id="5" xr3:uid="{00000000-0010-0000-1100-000005000000}" name="AP"/>
    <tableColumn id="6" xr3:uid="{00000000-0010-0000-1100-000006000000}" name="DIFF">
      <calculatedColumnFormula>ABS(TableTOT[[#This Row],[PP]]-TableTOT[[#This Row],[AP]])</calculatedColumnFormula>
    </tableColumn>
  </tableColumns>
  <tableStyleInfo name="TableStyleMedium9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12000000}" name="TableWHU" displayName="TableWHU" ref="A1:F10" totalsRowShown="0">
  <autoFilter ref="A1:F10" xr:uid="{00000000-0009-0000-0100-000013000000}"/>
  <tableColumns count="6">
    <tableColumn id="1" xr3:uid="{00000000-0010-0000-1200-000001000000}" name="Name"/>
    <tableColumn id="2" xr3:uid="{00000000-0010-0000-1200-000002000000}" name="ARIMAPP"/>
    <tableColumn id="3" xr3:uid="{00000000-0010-0000-1200-000003000000}" name="LSTMPP"/>
    <tableColumn id="4" xr3:uid="{00000000-0010-0000-1200-000004000000}" name="PP">
      <calculatedColumnFormula>TableWHU[[#This Row],[ARIMAPP]]*$I$2+TableWHU[[#This Row],[LSTMPP]]*$I$3</calculatedColumnFormula>
    </tableColumn>
    <tableColumn id="5" xr3:uid="{00000000-0010-0000-1200-000005000000}" name="AP"/>
    <tableColumn id="6" xr3:uid="{00000000-0010-0000-1200-000006000000}" name="DIFF">
      <calculatedColumnFormula>ABS(TableWHU[[#This Row],[PP]]-TableWHU[[#This Row],[AP]])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AVL" displayName="TableAVL" ref="A1:F11" totalsRowShown="0">
  <autoFilter ref="A1:F11" xr:uid="{00000000-0009-0000-0100-000002000000}"/>
  <tableColumns count="6">
    <tableColumn id="1" xr3:uid="{00000000-0010-0000-0100-000001000000}" name="Name"/>
    <tableColumn id="2" xr3:uid="{00000000-0010-0000-0100-000002000000}" name="ARIMAPP"/>
    <tableColumn id="3" xr3:uid="{00000000-0010-0000-0100-000003000000}" name="LSTMPP"/>
    <tableColumn id="4" xr3:uid="{00000000-0010-0000-0100-000004000000}" name="PP">
      <calculatedColumnFormula>TableAVL[[#This Row],[ARIMAPP]]*$I$2+TableAVL[[#This Row],[LSTMPP]]*$I$3</calculatedColumnFormula>
    </tableColumn>
    <tableColumn id="5" xr3:uid="{00000000-0010-0000-0100-000005000000}" name="AP"/>
    <tableColumn id="6" xr3:uid="{00000000-0010-0000-0100-000006000000}" name="DIFF">
      <calculatedColumnFormula>ABS(TableAVL[[#This Row],[PP]]-TableAVL[[#This Row],[AP]])</calculatedColumnFormula>
    </tableColumn>
  </tableColumns>
  <tableStyleInfo name="TableStyleMedium9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13000000}" name="TableWOL" displayName="TableWOL" ref="A1:F10" totalsRowShown="0">
  <autoFilter ref="A1:F10" xr:uid="{00000000-0009-0000-0100-000014000000}"/>
  <tableColumns count="6">
    <tableColumn id="1" xr3:uid="{00000000-0010-0000-1300-000001000000}" name="Name"/>
    <tableColumn id="2" xr3:uid="{00000000-0010-0000-1300-000002000000}" name="ARIMAPP"/>
    <tableColumn id="3" xr3:uid="{00000000-0010-0000-1300-000003000000}" name="LSTMPP"/>
    <tableColumn id="4" xr3:uid="{00000000-0010-0000-1300-000004000000}" name="PP">
      <calculatedColumnFormula>TableWOL[[#This Row],[ARIMAPP]]*$I$2+TableWOL[[#This Row],[LSTMPP]]*$I$3</calculatedColumnFormula>
    </tableColumn>
    <tableColumn id="5" xr3:uid="{00000000-0010-0000-1300-000005000000}" name="AP"/>
    <tableColumn id="6" xr3:uid="{00000000-0010-0000-1300-000006000000}" name="DIFF">
      <calculatedColumnFormula>ABS(TableWOL[[#This Row],[PP]]-TableWOL[[#This Row],[AP]])</calculatedColumnFormula>
    </tableColumn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BOU" displayName="TableBOU" ref="A1:F12" totalsRowShown="0">
  <autoFilter ref="A1:F12" xr:uid="{00000000-0009-0000-0100-000003000000}"/>
  <tableColumns count="6">
    <tableColumn id="1" xr3:uid="{00000000-0010-0000-0200-000001000000}" name="Name"/>
    <tableColumn id="2" xr3:uid="{00000000-0010-0000-0200-000002000000}" name="ARIMAPP"/>
    <tableColumn id="3" xr3:uid="{00000000-0010-0000-0200-000003000000}" name="LSTMPP"/>
    <tableColumn id="4" xr3:uid="{00000000-0010-0000-0200-000004000000}" name="PP">
      <calculatedColumnFormula>TableBOU[[#This Row],[ARIMAPP]]*$I$2+TableBOU[[#This Row],[LSTMPP]]*$I$3</calculatedColumnFormula>
    </tableColumn>
    <tableColumn id="5" xr3:uid="{00000000-0010-0000-0200-000005000000}" name="AP"/>
    <tableColumn id="6" xr3:uid="{00000000-0010-0000-0200-000006000000}" name="DIFF">
      <calculatedColumnFormula>ABS(TableBOU[[#This Row],[PP]]-TableBOU[[#This Row],[AP]])</calculatedColumnFormula>
    </tableColumn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BRE" displayName="TableBRE" ref="A1:F12" totalsRowShown="0">
  <autoFilter ref="A1:F12" xr:uid="{00000000-0009-0000-0100-000004000000}"/>
  <tableColumns count="6">
    <tableColumn id="1" xr3:uid="{00000000-0010-0000-0300-000001000000}" name="Name"/>
    <tableColumn id="2" xr3:uid="{00000000-0010-0000-0300-000002000000}" name="ARIMAPP"/>
    <tableColumn id="3" xr3:uid="{00000000-0010-0000-0300-000003000000}" name="LSTMPP"/>
    <tableColumn id="4" xr3:uid="{00000000-0010-0000-0300-000004000000}" name="PP">
      <calculatedColumnFormula>TableBRE[[#This Row],[ARIMAPP]]*$I$2+TableBRE[[#This Row],[LSTMPP]]*$I$3</calculatedColumnFormula>
    </tableColumn>
    <tableColumn id="5" xr3:uid="{00000000-0010-0000-0300-000005000000}" name="AP"/>
    <tableColumn id="6" xr3:uid="{00000000-0010-0000-0300-000006000000}" name="DIFF">
      <calculatedColumnFormula>ABS(TableBRE[[#This Row],[PP]]-TableBRE[[#This Row],[AP]])</calculatedColumnFormula>
    </tableColumn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BHA" displayName="TableBHA" ref="A1:F8" totalsRowShown="0">
  <autoFilter ref="A1:F8" xr:uid="{00000000-0009-0000-0100-000005000000}"/>
  <tableColumns count="6">
    <tableColumn id="1" xr3:uid="{00000000-0010-0000-0400-000001000000}" name="Name"/>
    <tableColumn id="2" xr3:uid="{00000000-0010-0000-0400-000002000000}" name="ARIMAPP"/>
    <tableColumn id="3" xr3:uid="{00000000-0010-0000-0400-000003000000}" name="LSTMPP"/>
    <tableColumn id="4" xr3:uid="{00000000-0010-0000-0400-000004000000}" name="PP">
      <calculatedColumnFormula>TableBHA[[#This Row],[ARIMAPP]]*$I$2+TableBHA[[#This Row],[LSTMPP]]*$I$3</calculatedColumnFormula>
    </tableColumn>
    <tableColumn id="5" xr3:uid="{00000000-0010-0000-0400-000005000000}" name="AP"/>
    <tableColumn id="6" xr3:uid="{00000000-0010-0000-0400-000006000000}" name="DIFF">
      <calculatedColumnFormula>ABS(TableBHA[[#This Row],[PP]]-TableBHA[[#This Row],[AP]])</calculatedColumnFormula>
    </tableColumn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BUR" displayName="TableBUR" ref="A1:F5" totalsRowShown="0">
  <autoFilter ref="A1:F5" xr:uid="{00000000-0009-0000-0100-000006000000}"/>
  <tableColumns count="6">
    <tableColumn id="1" xr3:uid="{00000000-0010-0000-0500-000001000000}" name="Name"/>
    <tableColumn id="2" xr3:uid="{00000000-0010-0000-0500-000002000000}" name="ARIMAPP"/>
    <tableColumn id="3" xr3:uid="{00000000-0010-0000-0500-000003000000}" name="LSTMPP"/>
    <tableColumn id="4" xr3:uid="{00000000-0010-0000-0500-000004000000}" name="PP">
      <calculatedColumnFormula>TableBUR[[#This Row],[ARIMAPP]]*$I$2+TableBUR[[#This Row],[LSTMPP]]*$I$3</calculatedColumnFormula>
    </tableColumn>
    <tableColumn id="5" xr3:uid="{00000000-0010-0000-0500-000005000000}" name="AP"/>
    <tableColumn id="6" xr3:uid="{00000000-0010-0000-0500-000006000000}" name="DIFF">
      <calculatedColumnFormula>ABS(TableBUR[[#This Row],[PP]]-TableBUR[[#This Row],[AP]])</calculatedColumnFormula>
    </tableColumn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CHE" displayName="TableCHE" ref="A1:F10" totalsRowShown="0">
  <autoFilter ref="A1:F10" xr:uid="{00000000-0009-0000-0100-000007000000}"/>
  <tableColumns count="6">
    <tableColumn id="1" xr3:uid="{00000000-0010-0000-0600-000001000000}" name="Name"/>
    <tableColumn id="2" xr3:uid="{00000000-0010-0000-0600-000002000000}" name="ARIMAPP"/>
    <tableColumn id="3" xr3:uid="{00000000-0010-0000-0600-000003000000}" name="LSTMPP"/>
    <tableColumn id="4" xr3:uid="{00000000-0010-0000-0600-000004000000}" name="PP">
      <calculatedColumnFormula>TableCHE[[#This Row],[ARIMAPP]]*$I$2+TableCHE[[#This Row],[LSTMPP]]*$I$3</calculatedColumnFormula>
    </tableColumn>
    <tableColumn id="5" xr3:uid="{00000000-0010-0000-0600-000005000000}" name="AP"/>
    <tableColumn id="6" xr3:uid="{00000000-0010-0000-0600-000006000000}" name="DIFF">
      <calculatedColumnFormula>ABS(TableCHE[[#This Row],[PP]]-TableCHE[[#This Row],[AP]])</calculatedColumnFormula>
    </tableColumn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CRY" displayName="TableCRY" ref="A1:F9" totalsRowShown="0">
  <autoFilter ref="A1:F9" xr:uid="{00000000-0009-0000-0100-000008000000}"/>
  <tableColumns count="6">
    <tableColumn id="1" xr3:uid="{00000000-0010-0000-0700-000001000000}" name="Name"/>
    <tableColumn id="2" xr3:uid="{00000000-0010-0000-0700-000002000000}" name="ARIMAPP"/>
    <tableColumn id="3" xr3:uid="{00000000-0010-0000-0700-000003000000}" name="LSTMPP"/>
    <tableColumn id="4" xr3:uid="{00000000-0010-0000-0700-000004000000}" name="PP">
      <calculatedColumnFormula>TableCRY[[#This Row],[ARIMAPP]]*$I$2+TableCRY[[#This Row],[LSTMPP]]*$I$3</calculatedColumnFormula>
    </tableColumn>
    <tableColumn id="5" xr3:uid="{00000000-0010-0000-0700-000005000000}" name="AP"/>
    <tableColumn id="6" xr3:uid="{00000000-0010-0000-0700-000006000000}" name="DIFF">
      <calculatedColumnFormula>ABS(TableCRY[[#This Row],[PP]]-TableCRY[[#This Row],[AP]])</calculatedColumnFormula>
    </tableColumn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eEVE" displayName="TableEVE" ref="A1:F9" totalsRowShown="0">
  <autoFilter ref="A1:F9" xr:uid="{00000000-0009-0000-0100-000009000000}"/>
  <tableColumns count="6">
    <tableColumn id="1" xr3:uid="{00000000-0010-0000-0800-000001000000}" name="Name"/>
    <tableColumn id="2" xr3:uid="{00000000-0010-0000-0800-000002000000}" name="ARIMAPP"/>
    <tableColumn id="3" xr3:uid="{00000000-0010-0000-0800-000003000000}" name="LSTMPP"/>
    <tableColumn id="4" xr3:uid="{00000000-0010-0000-0800-000004000000}" name="PP">
      <calculatedColumnFormula>TableEVE[[#This Row],[ARIMAPP]]*$I$2+TableEVE[[#This Row],[LSTMPP]]*$I$3</calculatedColumnFormula>
    </tableColumn>
    <tableColumn id="5" xr3:uid="{00000000-0010-0000-0800-000005000000}" name="AP"/>
    <tableColumn id="6" xr3:uid="{00000000-0010-0000-0800-000006000000}" name="DIFF">
      <calculatedColumnFormula>ABS(TableEVE[[#This Row],[PP]]-TableEVE[[#This Row],[AP]])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"/>
  <sheetViews>
    <sheetView workbookViewId="0">
      <selection activeCell="I3" sqref="I3"/>
    </sheetView>
  </sheetViews>
  <sheetFormatPr baseColWidth="10" defaultColWidth="8.83203125" defaultRowHeight="15" x14ac:dyDescent="0.2"/>
  <cols>
    <col min="2" max="3" width="0" hidden="1" customWidth="1"/>
  </cols>
  <sheetData>
    <row r="1" spans="1:9" x14ac:dyDescent="0.2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9" x14ac:dyDescent="0.2">
      <c r="A2" t="s">
        <v>10</v>
      </c>
      <c r="B2">
        <v>28.974772328563791</v>
      </c>
      <c r="C2">
        <v>26.5355117256453</v>
      </c>
      <c r="D2">
        <f>TableARS[[#This Row],[ARIMAPP]]*$I$2+TableARS[[#This Row],[LSTMPP]]*$I$3</f>
        <v>34.186137336966766</v>
      </c>
      <c r="E2">
        <v>61</v>
      </c>
      <c r="F2">
        <f>ABS(TableARS[[#This Row],[PP]]-TableARS[[#This Row],[AP]])</f>
        <v>26.813862663033234</v>
      </c>
      <c r="H2" t="s">
        <v>0</v>
      </c>
      <c r="I2">
        <v>1.1798587042999999</v>
      </c>
    </row>
    <row r="3" spans="1:9" x14ac:dyDescent="0.2">
      <c r="A3" t="s">
        <v>11</v>
      </c>
      <c r="B3">
        <v>40.454545454545453</v>
      </c>
      <c r="C3">
        <v>40.969829668831331</v>
      </c>
      <c r="D3">
        <f>TableARS[[#This Row],[ARIMAPP]]*$I$2+TableARS[[#This Row],[LSTMPP]]*$I$3</f>
        <v>47.730647583045453</v>
      </c>
      <c r="E3">
        <v>31</v>
      </c>
      <c r="F3">
        <f>ABS(TableARS[[#This Row],[PP]]-TableARS[[#This Row],[AP]])</f>
        <v>16.730647583045453</v>
      </c>
      <c r="H3" t="s">
        <v>1</v>
      </c>
      <c r="I3">
        <v>0</v>
      </c>
    </row>
    <row r="4" spans="1:9" x14ac:dyDescent="0.2">
      <c r="A4" t="s">
        <v>12</v>
      </c>
      <c r="B4">
        <v>34.134615384615373</v>
      </c>
      <c r="C4">
        <v>32.230085360445933</v>
      </c>
      <c r="D4">
        <f>TableARS[[#This Row],[ARIMAPP]]*$I$2+TableARS[[#This Row],[LSTMPP]]*$I$3</f>
        <v>40.274023079471135</v>
      </c>
      <c r="E4">
        <v>35</v>
      </c>
      <c r="F4">
        <f>ABS(TableARS[[#This Row],[PP]]-TableARS[[#This Row],[AP]])</f>
        <v>5.2740230794711351</v>
      </c>
    </row>
    <row r="5" spans="1:9" x14ac:dyDescent="0.2">
      <c r="A5" t="s">
        <v>13</v>
      </c>
      <c r="B5">
        <v>59.603796907875306</v>
      </c>
      <c r="C5">
        <v>37.661719432941908</v>
      </c>
      <c r="D5">
        <f>TableARS[[#This Row],[ARIMAPP]]*$I$2+TableARS[[#This Row],[LSTMPP]]*$I$3</f>
        <v>70.3240585910861</v>
      </c>
      <c r="E5">
        <v>77</v>
      </c>
      <c r="F5">
        <f>ABS(TableARS[[#This Row],[PP]]-TableARS[[#This Row],[AP]])</f>
        <v>6.6759414089139</v>
      </c>
      <c r="H5" t="s">
        <v>2</v>
      </c>
      <c r="I5">
        <f>SUM(ABS(TableARS[[#This Row],[PP]]-TableARS[[#This Row],[AP]]))</f>
        <v>6.6759414089139</v>
      </c>
    </row>
    <row r="6" spans="1:9" x14ac:dyDescent="0.2">
      <c r="A6" t="s">
        <v>14</v>
      </c>
      <c r="B6">
        <v>40.250450702412707</v>
      </c>
      <c r="C6">
        <v>38.804175266807647</v>
      </c>
      <c r="D6">
        <f>TableARS[[#This Row],[ARIMAPP]]*$I$2+TableARS[[#This Row],[LSTMPP]]*$I$3</f>
        <v>47.489844613239676</v>
      </c>
      <c r="E6">
        <v>35</v>
      </c>
      <c r="F6">
        <f>ABS(TableARS[[#This Row],[PP]]-TableARS[[#This Row],[AP]])</f>
        <v>12.489844613239676</v>
      </c>
    </row>
    <row r="7" spans="1:9" x14ac:dyDescent="0.2">
      <c r="A7" t="s">
        <v>15</v>
      </c>
      <c r="B7">
        <v>32.545454545454511</v>
      </c>
      <c r="C7">
        <v>29.644284704783519</v>
      </c>
      <c r="D7">
        <f>TableARS[[#This Row],[ARIMAPP]]*$I$2+TableARS[[#This Row],[LSTMPP]]*$I$3</f>
        <v>38.399037830854503</v>
      </c>
      <c r="E7">
        <v>90</v>
      </c>
      <c r="F7">
        <f>ABS(TableARS[[#This Row],[PP]]-TableARS[[#This Row],[AP]])</f>
        <v>51.600962169145497</v>
      </c>
      <c r="H7" t="s">
        <v>3</v>
      </c>
      <c r="I7">
        <f>AVERAGE(TableARS[DIFF])/10</f>
        <v>1.6804722645415597</v>
      </c>
    </row>
    <row r="8" spans="1:9" x14ac:dyDescent="0.2">
      <c r="A8" t="s">
        <v>16</v>
      </c>
      <c r="B8">
        <v>53.642107178569923</v>
      </c>
      <c r="C8">
        <v>45.479358172714498</v>
      </c>
      <c r="D8">
        <f>TableARS[[#This Row],[ARIMAPP]]*$I$2+TableARS[[#This Row],[LSTMPP]]*$I$3</f>
        <v>63.290107071629237</v>
      </c>
      <c r="E8">
        <v>50</v>
      </c>
      <c r="F8">
        <f>ABS(TableARS[[#This Row],[PP]]-TableARS[[#This Row],[AP]])</f>
        <v>13.290107071629237</v>
      </c>
    </row>
    <row r="9" spans="1:9" x14ac:dyDescent="0.2">
      <c r="A9" t="s">
        <v>17</v>
      </c>
      <c r="B9">
        <v>41.139240506329109</v>
      </c>
      <c r="C9">
        <v>42.261128598865177</v>
      </c>
      <c r="D9">
        <f>TableARS[[#This Row],[ARIMAPP]]*$I$2+TableARS[[#This Row],[LSTMPP]]*$I$3</f>
        <v>48.538490999683539</v>
      </c>
      <c r="E9">
        <v>45</v>
      </c>
      <c r="F9">
        <f>ABS(TableARS[[#This Row],[PP]]-TableARS[[#This Row],[AP]])</f>
        <v>3.538490999683539</v>
      </c>
    </row>
    <row r="10" spans="1:9" x14ac:dyDescent="0.2">
      <c r="A10" t="s">
        <v>18</v>
      </c>
      <c r="B10">
        <v>39.809456049912789</v>
      </c>
      <c r="C10">
        <v>44.289502116677554</v>
      </c>
      <c r="D10">
        <f>TableARS[[#This Row],[ARIMAPP]]*$I$2+TableARS[[#This Row],[LSTMPP]]*$I$3</f>
        <v>46.969533233937895</v>
      </c>
      <c r="E10">
        <v>43</v>
      </c>
      <c r="F10">
        <f>ABS(TableARS[[#This Row],[PP]]-TableARS[[#This Row],[AP]])</f>
        <v>3.969533233937895</v>
      </c>
    </row>
    <row r="11" spans="1:9" x14ac:dyDescent="0.2">
      <c r="A11" t="s">
        <v>19</v>
      </c>
      <c r="B11">
        <v>40.000000000000007</v>
      </c>
      <c r="C11">
        <v>37.87438290495259</v>
      </c>
      <c r="D11">
        <f>TableARS[[#This Row],[ARIMAPP]]*$I$2+TableARS[[#This Row],[LSTMPP]]*$I$3</f>
        <v>47.194348172000005</v>
      </c>
      <c r="E11">
        <v>75</v>
      </c>
      <c r="F11">
        <f>ABS(TableARS[[#This Row],[PP]]-TableARS[[#This Row],[AP]])</f>
        <v>27.805651827999995</v>
      </c>
    </row>
    <row r="12" spans="1:9" x14ac:dyDescent="0.2">
      <c r="A12" t="s">
        <v>20</v>
      </c>
      <c r="B12">
        <v>48.571428571428577</v>
      </c>
      <c r="C12">
        <v>49.562726427174411</v>
      </c>
      <c r="D12">
        <f>TableARS[[#This Row],[ARIMAPP]]*$I$2+TableARS[[#This Row],[LSTMPP]]*$I$3</f>
        <v>57.307422780285719</v>
      </c>
      <c r="E12">
        <v>27</v>
      </c>
      <c r="F12">
        <f>ABS(TableARS[[#This Row],[PP]]-TableARS[[#This Row],[AP]])</f>
        <v>30.307422780285719</v>
      </c>
    </row>
    <row r="13" spans="1:9" x14ac:dyDescent="0.2">
      <c r="A13" t="s">
        <v>21</v>
      </c>
      <c r="B13">
        <v>37.428366764308237</v>
      </c>
      <c r="C13">
        <v>32.940938022420617</v>
      </c>
      <c r="D13">
        <f>TableARS[[#This Row],[ARIMAPP]]*$I$2+TableARS[[#This Row],[LSTMPP]]*$I$3</f>
        <v>44.160184314601899</v>
      </c>
      <c r="E13">
        <v>41</v>
      </c>
      <c r="F13">
        <f>ABS(TableARS[[#This Row],[PP]]-TableARS[[#This Row],[AP]])</f>
        <v>3.1601843146018993</v>
      </c>
    </row>
  </sheetData>
  <conditionalFormatting sqref="I7">
    <cfRule type="colorScale" priority="1">
      <colorScale>
        <cfvo type="num" val="0"/>
        <cfvo type="num" val="1"/>
        <cfvo type="num" val="2"/>
        <color rgb="FF00FF00"/>
        <color rgb="FFFFFF00"/>
        <color rgb="FFFF0000"/>
      </colorScale>
    </cfRule>
  </conditionalFormatting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10"/>
  <sheetViews>
    <sheetView workbookViewId="0">
      <selection activeCell="I3" sqref="I3"/>
    </sheetView>
  </sheetViews>
  <sheetFormatPr baseColWidth="10" defaultColWidth="8.83203125" defaultRowHeight="15" x14ac:dyDescent="0.2"/>
  <cols>
    <col min="2" max="3" width="0" hidden="1" customWidth="1"/>
  </cols>
  <sheetData>
    <row r="1" spans="1:9" x14ac:dyDescent="0.2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9" x14ac:dyDescent="0.2">
      <c r="A2" t="s">
        <v>90</v>
      </c>
      <c r="B2">
        <v>27.705882352941149</v>
      </c>
      <c r="C2">
        <v>26.33906758016164</v>
      </c>
      <c r="D2">
        <f>TableFUL[[#This Row],[ARIMAPP]]*$I$2+TableFUL[[#This Row],[LSTMPP]]*$I$3</f>
        <v>35.15527051703468</v>
      </c>
      <c r="E2">
        <v>34</v>
      </c>
      <c r="F2">
        <f>ABS(TableFUL[[#This Row],[PP]]-TableFUL[[#This Row],[AP]])</f>
        <v>1.1552705170346798</v>
      </c>
      <c r="H2" t="s">
        <v>0</v>
      </c>
      <c r="I2">
        <v>0.99621842540000005</v>
      </c>
    </row>
    <row r="3" spans="1:9" x14ac:dyDescent="0.2">
      <c r="A3" t="s">
        <v>91</v>
      </c>
      <c r="B3">
        <v>36.153948532925043</v>
      </c>
      <c r="C3">
        <v>34.715607999801307</v>
      </c>
      <c r="D3">
        <f>TableFUL[[#This Row],[ARIMAPP]]*$I$2+TableFUL[[#This Row],[LSTMPP]]*$I$3</f>
        <v>45.973818210927483</v>
      </c>
      <c r="E3">
        <v>41</v>
      </c>
      <c r="F3">
        <f>ABS(TableFUL[[#This Row],[PP]]-TableFUL[[#This Row],[AP]])</f>
        <v>4.9738182109274831</v>
      </c>
      <c r="H3" t="s">
        <v>1</v>
      </c>
      <c r="I3">
        <v>0.28680438295999999</v>
      </c>
    </row>
    <row r="4" spans="1:9" x14ac:dyDescent="0.2">
      <c r="A4" t="s">
        <v>92</v>
      </c>
      <c r="B4">
        <v>23.550757042510799</v>
      </c>
      <c r="C4">
        <v>24.170373254773981</v>
      </c>
      <c r="D4">
        <f>TableFUL[[#This Row],[ARIMAPP]]*$I$2+TableFUL[[#This Row],[LSTMPP]]*$I$3</f>
        <v>30.393867085116408</v>
      </c>
      <c r="E4">
        <v>25</v>
      </c>
      <c r="F4">
        <f>ABS(TableFUL[[#This Row],[PP]]-TableFUL[[#This Row],[AP]])</f>
        <v>5.3938670851164083</v>
      </c>
    </row>
    <row r="5" spans="1:9" x14ac:dyDescent="0.2">
      <c r="A5" t="s">
        <v>93</v>
      </c>
      <c r="B5">
        <v>29.29694371780154</v>
      </c>
      <c r="C5">
        <v>32.092752198008789</v>
      </c>
      <c r="D5">
        <f>TableFUL[[#This Row],[ARIMAPP]]*$I$2+TableFUL[[#This Row],[LSTMPP]]*$I$3</f>
        <v>38.390497131218766</v>
      </c>
      <c r="E5">
        <v>51</v>
      </c>
      <c r="F5">
        <f>ABS(TableFUL[[#This Row],[PP]]-TableFUL[[#This Row],[AP]])</f>
        <v>12.609502868781234</v>
      </c>
      <c r="H5" t="s">
        <v>2</v>
      </c>
      <c r="I5">
        <f>SUM(ABS(TableFUL[[#This Row],[PP]]-TableFUL[[#This Row],[AP]]))</f>
        <v>12.609502868781234</v>
      </c>
    </row>
    <row r="6" spans="1:9" x14ac:dyDescent="0.2">
      <c r="A6" t="s">
        <v>94</v>
      </c>
      <c r="B6">
        <v>24.588235294117649</v>
      </c>
      <c r="C6">
        <v>24.041699257690482</v>
      </c>
      <c r="D6">
        <f>TableFUL[[#This Row],[ARIMAPP]]*$I$2+TableFUL[[#This Row],[LSTMPP]]*$I$3</f>
        <v>31.390517768982399</v>
      </c>
      <c r="E6">
        <v>38</v>
      </c>
      <c r="F6">
        <f>ABS(TableFUL[[#This Row],[PP]]-TableFUL[[#This Row],[AP]])</f>
        <v>6.6094822310176014</v>
      </c>
    </row>
    <row r="7" spans="1:9" x14ac:dyDescent="0.2">
      <c r="A7" t="s">
        <v>95</v>
      </c>
      <c r="B7">
        <v>24.788158087648871</v>
      </c>
      <c r="C7">
        <v>22.74092971826396</v>
      </c>
      <c r="D7">
        <f>TableFUL[[#This Row],[ARIMAPP]]*$I$2+TableFUL[[#This Row],[LSTMPP]]*$I$3</f>
        <v>31.216618134427254</v>
      </c>
      <c r="E7">
        <v>25</v>
      </c>
      <c r="F7">
        <f>ABS(TableFUL[[#This Row],[PP]]-TableFUL[[#This Row],[AP]])</f>
        <v>6.2166181344272538</v>
      </c>
      <c r="H7" t="s">
        <v>3</v>
      </c>
      <c r="I7">
        <f>AVERAGE(TableFUL[DIFF])/10</f>
        <v>0.56189647373491913</v>
      </c>
    </row>
    <row r="8" spans="1:9" x14ac:dyDescent="0.2">
      <c r="A8" t="s">
        <v>96</v>
      </c>
      <c r="B8">
        <v>34.827586206896548</v>
      </c>
      <c r="C8">
        <v>46.416302987852681</v>
      </c>
      <c r="D8">
        <f>TableFUL[[#This Row],[ARIMAPP]]*$I$2+TableFUL[[#This Row],[LSTMPP]]*$I$3</f>
        <v>48.008282229232734</v>
      </c>
      <c r="E8">
        <v>45</v>
      </c>
      <c r="F8">
        <f>ABS(TableFUL[[#This Row],[PP]]-TableFUL[[#This Row],[AP]])</f>
        <v>3.0082822292327336</v>
      </c>
    </row>
    <row r="9" spans="1:9" x14ac:dyDescent="0.2">
      <c r="A9" t="s">
        <v>97</v>
      </c>
      <c r="B9">
        <v>26.319529853301791</v>
      </c>
      <c r="C9">
        <v>27.34382975689855</v>
      </c>
      <c r="D9">
        <f>TableFUL[[#This Row],[ARIMAPP]]*$I$2+TableFUL[[#This Row],[LSTMPP]]*$I$3</f>
        <v>34.062330808915178</v>
      </c>
      <c r="E9">
        <v>31</v>
      </c>
      <c r="F9">
        <f>ABS(TableFUL[[#This Row],[PP]]-TableFUL[[#This Row],[AP]])</f>
        <v>3.0623308089151777</v>
      </c>
    </row>
    <row r="10" spans="1:9" x14ac:dyDescent="0.2">
      <c r="A10" t="s">
        <v>98</v>
      </c>
      <c r="B10">
        <v>19.411764705882359</v>
      </c>
      <c r="C10">
        <v>17.852348443693501</v>
      </c>
      <c r="D10">
        <f>TableFUL[[#This Row],[ARIMAPP]]*$I$2+TableFUL[[#This Row],[LSTMPP]]*$I$3</f>
        <v>24.458489449309848</v>
      </c>
      <c r="E10">
        <v>32</v>
      </c>
      <c r="F10">
        <f>ABS(TableFUL[[#This Row],[PP]]-TableFUL[[#This Row],[AP]])</f>
        <v>7.5415105506901519</v>
      </c>
    </row>
  </sheetData>
  <conditionalFormatting sqref="I7">
    <cfRule type="colorScale" priority="1">
      <colorScale>
        <cfvo type="num" val="0"/>
        <cfvo type="num" val="1"/>
        <cfvo type="num" val="2"/>
        <color rgb="FF00FF00"/>
        <color rgb="FFFFFF00"/>
        <color rgb="FFFF0000"/>
      </colorScale>
    </cfRule>
  </conditionalFormatting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11"/>
  <sheetViews>
    <sheetView workbookViewId="0">
      <selection activeCell="I3" sqref="I3"/>
    </sheetView>
  </sheetViews>
  <sheetFormatPr baseColWidth="10" defaultColWidth="8.83203125" defaultRowHeight="15" x14ac:dyDescent="0.2"/>
  <cols>
    <col min="2" max="3" width="0" hidden="1" customWidth="1"/>
  </cols>
  <sheetData>
    <row r="1" spans="1:9" x14ac:dyDescent="0.2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9" x14ac:dyDescent="0.2">
      <c r="A2" t="s">
        <v>99</v>
      </c>
      <c r="B2">
        <v>44.796963262200862</v>
      </c>
      <c r="C2">
        <v>41.379382861015131</v>
      </c>
      <c r="D2">
        <f>TableLIV[[#This Row],[ARIMAPP]]*$I$2+TableLIV[[#This Row],[LSTMPP]]*$I$3</f>
        <v>33.496714623001935</v>
      </c>
      <c r="E2">
        <v>29</v>
      </c>
      <c r="F2">
        <f>ABS(TableLIV[[#This Row],[PP]]-TableLIV[[#This Row],[AP]])</f>
        <v>4.4967146230019353</v>
      </c>
      <c r="H2" t="s">
        <v>0</v>
      </c>
      <c r="I2">
        <v>0</v>
      </c>
    </row>
    <row r="3" spans="1:9" x14ac:dyDescent="0.2">
      <c r="A3" t="s">
        <v>100</v>
      </c>
      <c r="B3">
        <v>68.900523560209436</v>
      </c>
      <c r="C3">
        <v>70.509704063695438</v>
      </c>
      <c r="D3">
        <f>TableLIV[[#This Row],[ARIMAPP]]*$I$2+TableLIV[[#This Row],[LSTMPP]]*$I$3</f>
        <v>57.077782989342161</v>
      </c>
      <c r="E3">
        <v>62</v>
      </c>
      <c r="F3">
        <f>ABS(TableLIV[[#This Row],[PP]]-TableLIV[[#This Row],[AP]])</f>
        <v>4.9222170106578389</v>
      </c>
      <c r="H3" t="s">
        <v>1</v>
      </c>
      <c r="I3">
        <v>0.80950251808999996</v>
      </c>
    </row>
    <row r="4" spans="1:9" x14ac:dyDescent="0.2">
      <c r="A4" t="s">
        <v>101</v>
      </c>
      <c r="B4">
        <v>54.11993121588619</v>
      </c>
      <c r="C4">
        <v>48.378319884706308</v>
      </c>
      <c r="D4">
        <f>TableLIV[[#This Row],[ARIMAPP]]*$I$2+TableLIV[[#This Row],[LSTMPP]]*$I$3</f>
        <v>39.162371767633275</v>
      </c>
      <c r="E4">
        <v>22</v>
      </c>
      <c r="F4">
        <f>ABS(TableLIV[[#This Row],[PP]]-TableLIV[[#This Row],[AP]])</f>
        <v>17.162371767633275</v>
      </c>
    </row>
    <row r="5" spans="1:9" x14ac:dyDescent="0.2">
      <c r="A5" t="s">
        <v>102</v>
      </c>
      <c r="B5">
        <v>47.300613496932513</v>
      </c>
      <c r="C5">
        <v>47.129558860901952</v>
      </c>
      <c r="D5">
        <f>TableLIV[[#This Row],[ARIMAPP]]*$I$2+TableLIV[[#This Row],[LSTMPP]]*$I$3</f>
        <v>38.151496574371002</v>
      </c>
      <c r="E5">
        <v>24</v>
      </c>
      <c r="F5">
        <f>ABS(TableLIV[[#This Row],[PP]]-TableLIV[[#This Row],[AP]])</f>
        <v>14.151496574371002</v>
      </c>
      <c r="H5" t="s">
        <v>2</v>
      </c>
      <c r="I5">
        <f>SUM(ABS(TableLIV[[#This Row],[PP]]-TableLIV[[#This Row],[AP]]))</f>
        <v>14.151496574371002</v>
      </c>
    </row>
    <row r="6" spans="1:9" x14ac:dyDescent="0.2">
      <c r="A6" t="s">
        <v>103</v>
      </c>
      <c r="B6">
        <v>19.666666666666679</v>
      </c>
      <c r="C6">
        <v>17.348632361081251</v>
      </c>
      <c r="D6">
        <f>TableLIV[[#This Row],[ARIMAPP]]*$I$2+TableLIV[[#This Row],[LSTMPP]]*$I$3</f>
        <v>14.043761581712934</v>
      </c>
      <c r="E6">
        <v>37</v>
      </c>
      <c r="F6">
        <f>ABS(TableLIV[[#This Row],[PP]]-TableLIV[[#This Row],[AP]])</f>
        <v>22.956238418287064</v>
      </c>
    </row>
    <row r="7" spans="1:9" x14ac:dyDescent="0.2">
      <c r="A7" t="s">
        <v>104</v>
      </c>
      <c r="B7">
        <v>28.148148148148159</v>
      </c>
      <c r="C7">
        <v>31.146634338164869</v>
      </c>
      <c r="D7">
        <f>TableLIV[[#This Row],[ARIMAPP]]*$I$2+TableLIV[[#This Row],[LSTMPP]]*$I$3</f>
        <v>25.213278926772922</v>
      </c>
      <c r="E7">
        <v>48</v>
      </c>
      <c r="F7">
        <f>ABS(TableLIV[[#This Row],[PP]]-TableLIV[[#This Row],[AP]])</f>
        <v>22.786721073227078</v>
      </c>
      <c r="H7" t="s">
        <v>3</v>
      </c>
      <c r="I7">
        <f>AVERAGE(TableLIV[DIFF])/10</f>
        <v>1.3277476746416619</v>
      </c>
    </row>
    <row r="8" spans="1:9" x14ac:dyDescent="0.2">
      <c r="A8" t="s">
        <v>105</v>
      </c>
      <c r="B8">
        <v>35.510204081632672</v>
      </c>
      <c r="C8">
        <v>36.110155580092403</v>
      </c>
      <c r="D8">
        <f>TableLIV[[#This Row],[ARIMAPP]]*$I$2+TableLIV[[#This Row],[LSTMPP]]*$I$3</f>
        <v>29.231261870706465</v>
      </c>
      <c r="E8">
        <v>45</v>
      </c>
      <c r="F8">
        <f>ABS(TableLIV[[#This Row],[PP]]-TableLIV[[#This Row],[AP]])</f>
        <v>15.768738129293535</v>
      </c>
    </row>
    <row r="9" spans="1:9" x14ac:dyDescent="0.2">
      <c r="A9" t="s">
        <v>106</v>
      </c>
      <c r="B9">
        <v>38.800000000000018</v>
      </c>
      <c r="C9">
        <v>36.09324918914637</v>
      </c>
      <c r="D9">
        <f>TableLIV[[#This Row],[ARIMAPP]]*$I$2+TableLIV[[#This Row],[LSTMPP]]*$I$3</f>
        <v>29.217576104663834</v>
      </c>
      <c r="E9">
        <v>33</v>
      </c>
      <c r="F9">
        <f>ABS(TableLIV[[#This Row],[PP]]-TableLIV[[#This Row],[AP]])</f>
        <v>3.7824238953361657</v>
      </c>
    </row>
    <row r="10" spans="1:9" x14ac:dyDescent="0.2">
      <c r="A10" t="s">
        <v>107</v>
      </c>
      <c r="B10">
        <v>22.995678946205469</v>
      </c>
      <c r="C10">
        <v>34.605499108583622</v>
      </c>
      <c r="D10">
        <f>TableLIV[[#This Row],[ARIMAPP]]*$I$2+TableLIV[[#This Row],[LSTMPP]]*$I$3</f>
        <v>28.013238668159691</v>
      </c>
      <c r="E10">
        <v>38</v>
      </c>
      <c r="F10">
        <f>ABS(TableLIV[[#This Row],[PP]]-TableLIV[[#This Row],[AP]])</f>
        <v>9.9867613318403095</v>
      </c>
    </row>
    <row r="11" spans="1:9" x14ac:dyDescent="0.2">
      <c r="A11" t="s">
        <v>108</v>
      </c>
      <c r="B11">
        <v>36.499999999999993</v>
      </c>
      <c r="C11">
        <v>49.117925827251547</v>
      </c>
      <c r="D11">
        <f>TableLIV[[#This Row],[ARIMAPP]]*$I$2+TableLIV[[#This Row],[LSTMPP]]*$I$3</f>
        <v>39.761084640517971</v>
      </c>
      <c r="E11">
        <v>23</v>
      </c>
      <c r="F11">
        <f>ABS(TableLIV[[#This Row],[PP]]-TableLIV[[#This Row],[AP]])</f>
        <v>16.761084640517971</v>
      </c>
    </row>
  </sheetData>
  <conditionalFormatting sqref="I7">
    <cfRule type="colorScale" priority="1">
      <colorScale>
        <cfvo type="num" val="0"/>
        <cfvo type="num" val="1"/>
        <cfvo type="num" val="2"/>
        <color rgb="FF00FF00"/>
        <color rgb="FFFFFF00"/>
        <color rgb="FFFF0000"/>
      </colorScale>
    </cfRule>
  </conditionalFormatting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7"/>
  <sheetViews>
    <sheetView workbookViewId="0">
      <selection activeCell="I3" sqref="I3"/>
    </sheetView>
  </sheetViews>
  <sheetFormatPr baseColWidth="10" defaultColWidth="8.83203125" defaultRowHeight="15" x14ac:dyDescent="0.2"/>
  <cols>
    <col min="2" max="3" width="0" hidden="1" customWidth="1"/>
  </cols>
  <sheetData>
    <row r="1" spans="1:9" x14ac:dyDescent="0.2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9" x14ac:dyDescent="0.2">
      <c r="A2" t="s">
        <v>109</v>
      </c>
      <c r="B2">
        <v>29.157274666367051</v>
      </c>
      <c r="C2">
        <v>24.094974079603269</v>
      </c>
      <c r="D2">
        <f>TableLUT[[#This Row],[ARIMAPP]]*$I$2+TableLUT[[#This Row],[LSTMPP]]*$I$3</f>
        <v>30.815301931550888</v>
      </c>
      <c r="E2">
        <v>32</v>
      </c>
      <c r="F2">
        <f>ABS(TableLUT[[#This Row],[PP]]-TableLUT[[#This Row],[AP]])</f>
        <v>1.1846980684491122</v>
      </c>
      <c r="H2" t="s">
        <v>0</v>
      </c>
      <c r="I2">
        <v>0</v>
      </c>
    </row>
    <row r="3" spans="1:9" x14ac:dyDescent="0.2">
      <c r="A3" t="s">
        <v>110</v>
      </c>
      <c r="B3">
        <v>15</v>
      </c>
      <c r="C3">
        <v>15.53768742864901</v>
      </c>
      <c r="D3">
        <f>TableLUT[[#This Row],[ARIMAPP]]*$I$2+TableLUT[[#This Row],[LSTMPP]]*$I$3</f>
        <v>19.871302946832859</v>
      </c>
      <c r="E3">
        <v>36</v>
      </c>
      <c r="F3">
        <f>ABS(TableLUT[[#This Row],[PP]]-TableLUT[[#This Row],[AP]])</f>
        <v>16.128697053167141</v>
      </c>
      <c r="H3" t="s">
        <v>1</v>
      </c>
      <c r="I3">
        <v>1.2789099432</v>
      </c>
    </row>
    <row r="4" spans="1:9" x14ac:dyDescent="0.2">
      <c r="A4" t="s">
        <v>111</v>
      </c>
      <c r="B4">
        <v>36.956521739130437</v>
      </c>
      <c r="C4">
        <v>35.141982783577653</v>
      </c>
      <c r="D4">
        <f>TableLUT[[#This Row],[ARIMAPP]]*$I$2+TableLUT[[#This Row],[LSTMPP]]*$I$3</f>
        <v>44.943431205680675</v>
      </c>
      <c r="E4">
        <v>37</v>
      </c>
      <c r="F4">
        <f>ABS(TableLUT[[#This Row],[PP]]-TableLUT[[#This Row],[AP]])</f>
        <v>7.9434312056806746</v>
      </c>
    </row>
    <row r="5" spans="1:9" x14ac:dyDescent="0.2">
      <c r="H5" t="s">
        <v>2</v>
      </c>
      <c r="I5" t="e">
        <f>SUM(ABS(TableLUT[[#This Row],[PP]]-TableLUT[[#This Row],[AP]]))</f>
        <v>#VALUE!</v>
      </c>
    </row>
    <row r="7" spans="1:9" x14ac:dyDescent="0.2">
      <c r="H7" t="s">
        <v>3</v>
      </c>
      <c r="I7">
        <f>AVERAGE(TableLUT[DIFF])/10</f>
        <v>0.84189421090989769</v>
      </c>
    </row>
  </sheetData>
  <conditionalFormatting sqref="I7">
    <cfRule type="colorScale" priority="1">
      <colorScale>
        <cfvo type="num" val="0"/>
        <cfvo type="num" val="1"/>
        <cfvo type="num" val="2"/>
        <color rgb="FF00FF00"/>
        <color rgb="FFFFFF00"/>
        <color rgb="FFFF0000"/>
      </colorScale>
    </cfRule>
  </conditionalFormatting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11"/>
  <sheetViews>
    <sheetView workbookViewId="0">
      <selection activeCell="I2" sqref="I2"/>
    </sheetView>
  </sheetViews>
  <sheetFormatPr baseColWidth="10" defaultColWidth="8.83203125" defaultRowHeight="15" x14ac:dyDescent="0.2"/>
  <cols>
    <col min="2" max="3" width="0" hidden="1" customWidth="1"/>
  </cols>
  <sheetData>
    <row r="1" spans="1:9" x14ac:dyDescent="0.2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9" x14ac:dyDescent="0.2">
      <c r="A2" t="s">
        <v>112</v>
      </c>
      <c r="B2">
        <v>38.894736842105303</v>
      </c>
      <c r="C2">
        <v>41.3260437921736</v>
      </c>
      <c r="D2">
        <f>TableMCI[[#This Row],[ARIMAPP]]*$I$2+TableMCI[[#This Row],[LSTMPP]]*$I$3</f>
        <v>47.438475998963206</v>
      </c>
      <c r="E2">
        <v>38</v>
      </c>
      <c r="F2">
        <f>ABS(TableMCI[[#This Row],[PP]]-TableMCI[[#This Row],[AP]])</f>
        <v>9.4384759989632059</v>
      </c>
      <c r="H2" t="s">
        <v>0</v>
      </c>
      <c r="I2">
        <v>1.2196631176999999</v>
      </c>
    </row>
    <row r="3" spans="1:9" x14ac:dyDescent="0.2">
      <c r="A3" t="s">
        <v>113</v>
      </c>
      <c r="B3">
        <v>30.79566537040148</v>
      </c>
      <c r="C3">
        <v>42.492768401614008</v>
      </c>
      <c r="D3">
        <f>TableMCI[[#This Row],[ARIMAPP]]*$I$2+TableMCI[[#This Row],[LSTMPP]]*$I$3</f>
        <v>37.560337237309788</v>
      </c>
      <c r="E3">
        <v>48</v>
      </c>
      <c r="F3">
        <f>ABS(TableMCI[[#This Row],[PP]]-TableMCI[[#This Row],[AP]])</f>
        <v>10.439662762690212</v>
      </c>
      <c r="H3" t="s">
        <v>1</v>
      </c>
      <c r="I3">
        <v>0</v>
      </c>
    </row>
    <row r="4" spans="1:9" x14ac:dyDescent="0.2">
      <c r="A4" t="s">
        <v>114</v>
      </c>
      <c r="B4">
        <v>32.499999999999993</v>
      </c>
      <c r="C4">
        <v>27.9182284277144</v>
      </c>
      <c r="D4">
        <f>TableMCI[[#This Row],[ARIMAPP]]*$I$2+TableMCI[[#This Row],[LSTMPP]]*$I$3</f>
        <v>39.639051325249987</v>
      </c>
      <c r="E4">
        <v>40</v>
      </c>
      <c r="F4">
        <f>ABS(TableMCI[[#This Row],[PP]]-TableMCI[[#This Row],[AP]])</f>
        <v>0.3609486747500128</v>
      </c>
    </row>
    <row r="5" spans="1:9" x14ac:dyDescent="0.2">
      <c r="A5" t="s">
        <v>115</v>
      </c>
      <c r="B5">
        <v>49.4932096454557</v>
      </c>
      <c r="C5">
        <v>38.339682193369541</v>
      </c>
      <c r="D5">
        <f>TableMCI[[#This Row],[ARIMAPP]]*$I$2+TableMCI[[#This Row],[LSTMPP]]*$I$3</f>
        <v>60.365042381156208</v>
      </c>
      <c r="E5">
        <v>98</v>
      </c>
      <c r="F5">
        <f>ABS(TableMCI[[#This Row],[PP]]-TableMCI[[#This Row],[AP]])</f>
        <v>37.634957618843792</v>
      </c>
      <c r="H5" t="s">
        <v>2</v>
      </c>
      <c r="I5">
        <f>SUM(ABS(TableMCI[[#This Row],[PP]]-TableMCI[[#This Row],[AP]]))</f>
        <v>37.634957618843792</v>
      </c>
    </row>
    <row r="6" spans="1:9" x14ac:dyDescent="0.2">
      <c r="A6" t="s">
        <v>116</v>
      </c>
      <c r="B6">
        <v>33.235198545302168</v>
      </c>
      <c r="C6">
        <v>28.858592972959009</v>
      </c>
      <c r="D6">
        <f>TableMCI[[#This Row],[ARIMAPP]]*$I$2+TableMCI[[#This Row],[LSTMPP]]*$I$3</f>
        <v>40.535745875141743</v>
      </c>
      <c r="E6">
        <v>53</v>
      </c>
      <c r="F6">
        <f>ABS(TableMCI[[#This Row],[PP]]-TableMCI[[#This Row],[AP]])</f>
        <v>12.464254124858257</v>
      </c>
    </row>
    <row r="7" spans="1:9" x14ac:dyDescent="0.2">
      <c r="A7" t="s">
        <v>117</v>
      </c>
      <c r="B7">
        <v>78.125000000000014</v>
      </c>
      <c r="C7">
        <v>82.560103357601818</v>
      </c>
      <c r="D7">
        <f>TableMCI[[#This Row],[ARIMAPP]]*$I$2+TableMCI[[#This Row],[LSTMPP]]*$I$3</f>
        <v>95.286181070312509</v>
      </c>
      <c r="E7">
        <v>80</v>
      </c>
      <c r="F7">
        <f>ABS(TableMCI[[#This Row],[PP]]-TableMCI[[#This Row],[AP]])</f>
        <v>15.286181070312509</v>
      </c>
      <c r="H7" t="s">
        <v>3</v>
      </c>
      <c r="I7">
        <f>AVERAGE(TableMCI[DIFF])/10</f>
        <v>1.2907706021330829</v>
      </c>
    </row>
    <row r="8" spans="1:9" x14ac:dyDescent="0.2">
      <c r="A8" t="s">
        <v>118</v>
      </c>
      <c r="B8">
        <v>38.6</v>
      </c>
      <c r="C8">
        <v>42.471666143793833</v>
      </c>
      <c r="D8">
        <f>TableMCI[[#This Row],[ARIMAPP]]*$I$2+TableMCI[[#This Row],[LSTMPP]]*$I$3</f>
        <v>47.078996343219998</v>
      </c>
      <c r="E8">
        <v>26</v>
      </c>
      <c r="F8">
        <f>ABS(TableMCI[[#This Row],[PP]]-TableMCI[[#This Row],[AP]])</f>
        <v>21.078996343219998</v>
      </c>
    </row>
    <row r="9" spans="1:9" x14ac:dyDescent="0.2">
      <c r="A9" t="s">
        <v>119</v>
      </c>
      <c r="B9">
        <v>38.269230769230766</v>
      </c>
      <c r="C9">
        <v>36.266594009823073</v>
      </c>
      <c r="D9">
        <f>TableMCI[[#This Row],[ARIMAPP]]*$I$2+TableMCI[[#This Row],[LSTMPP]]*$I$3</f>
        <v>46.675569311980766</v>
      </c>
      <c r="E9">
        <v>34</v>
      </c>
      <c r="F9">
        <f>ABS(TableMCI[[#This Row],[PP]]-TableMCI[[#This Row],[AP]])</f>
        <v>12.675569311980766</v>
      </c>
    </row>
    <row r="10" spans="1:9" x14ac:dyDescent="0.2">
      <c r="A10" t="s">
        <v>120</v>
      </c>
      <c r="B10">
        <v>28.500000000000011</v>
      </c>
      <c r="C10">
        <v>11.23338691179657</v>
      </c>
      <c r="D10">
        <f>TableMCI[[#This Row],[ARIMAPP]]*$I$2+TableMCI[[#This Row],[LSTMPP]]*$I$3</f>
        <v>34.76039885445001</v>
      </c>
      <c r="E10">
        <v>34</v>
      </c>
      <c r="F10">
        <f>ABS(TableMCI[[#This Row],[PP]]-TableMCI[[#This Row],[AP]])</f>
        <v>0.76039885445000976</v>
      </c>
    </row>
    <row r="11" spans="1:9" x14ac:dyDescent="0.2">
      <c r="A11" t="s">
        <v>121</v>
      </c>
      <c r="B11">
        <v>30.387394690307168</v>
      </c>
      <c r="C11">
        <v>32.950560558613709</v>
      </c>
      <c r="D11">
        <f>TableMCI[[#This Row],[ARIMAPP]]*$I$2+TableMCI[[#This Row],[LSTMPP]]*$I$3</f>
        <v>37.062384546760462</v>
      </c>
      <c r="E11">
        <v>46</v>
      </c>
      <c r="F11">
        <f>ABS(TableMCI[[#This Row],[PP]]-TableMCI[[#This Row],[AP]])</f>
        <v>8.9376154532395375</v>
      </c>
    </row>
  </sheetData>
  <conditionalFormatting sqref="I7">
    <cfRule type="colorScale" priority="1">
      <colorScale>
        <cfvo type="num" val="0"/>
        <cfvo type="num" val="1"/>
        <cfvo type="num" val="2"/>
        <color rgb="FF00FF00"/>
        <color rgb="FFFFFF00"/>
        <color rgb="FFFF0000"/>
      </colorScale>
    </cfRule>
  </conditionalFormatting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7"/>
  <sheetViews>
    <sheetView workbookViewId="0">
      <selection activeCell="I3" sqref="I3"/>
    </sheetView>
  </sheetViews>
  <sheetFormatPr baseColWidth="10" defaultColWidth="8.83203125" defaultRowHeight="15" x14ac:dyDescent="0.2"/>
  <cols>
    <col min="2" max="3" width="0" hidden="1" customWidth="1"/>
  </cols>
  <sheetData>
    <row r="1" spans="1:9" x14ac:dyDescent="0.2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9" x14ac:dyDescent="0.2">
      <c r="A2" t="s">
        <v>122</v>
      </c>
      <c r="B2">
        <v>46.029057244439883</v>
      </c>
      <c r="C2">
        <v>42.787153040600757</v>
      </c>
      <c r="D2">
        <f>TableMUN[[#This Row],[ARIMAPP]]*$I$2+TableMUN[[#This Row],[LSTMPP]]*$I$3</f>
        <v>49.432699759778536</v>
      </c>
      <c r="E2">
        <v>32</v>
      </c>
      <c r="F2">
        <f>ABS(TableMUN[[#This Row],[PP]]-TableMUN[[#This Row],[AP]])</f>
        <v>17.432699759778536</v>
      </c>
      <c r="H2" t="s">
        <v>0</v>
      </c>
      <c r="I2">
        <v>0.18599567904</v>
      </c>
    </row>
    <row r="3" spans="1:9" x14ac:dyDescent="0.2">
      <c r="A3" t="s">
        <v>123</v>
      </c>
      <c r="B3">
        <v>25.928571428571409</v>
      </c>
      <c r="C3">
        <v>23.9711473800654</v>
      </c>
      <c r="D3">
        <f>TableMUN[[#This Row],[ARIMAPP]]*$I$2+TableMUN[[#This Row],[LSTMPP]]*$I$3</f>
        <v>27.720517552064628</v>
      </c>
      <c r="E3">
        <v>20</v>
      </c>
      <c r="F3">
        <f>ABS(TableMUN[[#This Row],[PP]]-TableMUN[[#This Row],[AP]])</f>
        <v>7.7205175520646279</v>
      </c>
      <c r="H3" t="s">
        <v>1</v>
      </c>
      <c r="I3">
        <v>0.95522817242000002</v>
      </c>
    </row>
    <row r="4" spans="1:9" x14ac:dyDescent="0.2">
      <c r="A4" t="s">
        <v>124</v>
      </c>
      <c r="B4">
        <v>40.727272727272712</v>
      </c>
      <c r="C4">
        <v>55.163985870988583</v>
      </c>
      <c r="D4">
        <f>TableMUN[[#This Row],[ARIMAPP]]*$I$2+TableMUN[[#This Row],[LSTMPP]]*$I$3</f>
        <v>60.269290153303487</v>
      </c>
      <c r="E4">
        <v>78</v>
      </c>
      <c r="F4">
        <f>ABS(TableMUN[[#This Row],[PP]]-TableMUN[[#This Row],[AP]])</f>
        <v>17.730709846696513</v>
      </c>
    </row>
    <row r="5" spans="1:9" x14ac:dyDescent="0.2">
      <c r="A5" t="s">
        <v>125</v>
      </c>
      <c r="B5">
        <v>61.779762625364469</v>
      </c>
      <c r="C5">
        <v>23.50697754417391</v>
      </c>
      <c r="D5">
        <f>TableMUN[[#This Row],[ARIMAPP]]*$I$2+TableMUN[[#This Row],[LSTMPP]]*$I$3</f>
        <v>33.9452960990739</v>
      </c>
      <c r="E5">
        <v>43</v>
      </c>
      <c r="F5">
        <f>ABS(TableMUN[[#This Row],[PP]]-TableMUN[[#This Row],[AP]])</f>
        <v>9.0547039009260999</v>
      </c>
      <c r="H5" t="s">
        <v>2</v>
      </c>
      <c r="I5">
        <f>SUM(ABS(TableMUN[[#This Row],[PP]]-TableMUN[[#This Row],[AP]]))</f>
        <v>9.0547039009260999</v>
      </c>
    </row>
    <row r="6" spans="1:9" x14ac:dyDescent="0.2">
      <c r="A6" t="s">
        <v>126</v>
      </c>
      <c r="B6">
        <v>36.000000000000007</v>
      </c>
      <c r="C6">
        <v>33.554455032373447</v>
      </c>
      <c r="D6">
        <f>TableMUN[[#This Row],[ARIMAPP]]*$I$2+TableMUN[[#This Row],[LSTMPP]]*$I$3</f>
        <v>38.748005202563164</v>
      </c>
      <c r="E6">
        <v>31</v>
      </c>
      <c r="F6">
        <f>ABS(TableMUN[[#This Row],[PP]]-TableMUN[[#This Row],[AP]])</f>
        <v>7.7480052025631636</v>
      </c>
    </row>
    <row r="7" spans="1:9" x14ac:dyDescent="0.2">
      <c r="H7" t="s">
        <v>3</v>
      </c>
      <c r="I7">
        <f>AVERAGE(TableMUN[DIFF])/10</f>
        <v>1.1937327252405789</v>
      </c>
    </row>
  </sheetData>
  <conditionalFormatting sqref="I7">
    <cfRule type="colorScale" priority="1">
      <colorScale>
        <cfvo type="num" val="0"/>
        <cfvo type="num" val="1"/>
        <cfvo type="num" val="2"/>
        <color rgb="FF00FF00"/>
        <color rgb="FFFFFF00"/>
        <color rgb="FFFF0000"/>
      </colorScale>
    </cfRule>
  </conditionalFormatting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I8"/>
  <sheetViews>
    <sheetView workbookViewId="0">
      <selection activeCell="I3" sqref="I3"/>
    </sheetView>
  </sheetViews>
  <sheetFormatPr baseColWidth="10" defaultColWidth="8.83203125" defaultRowHeight="15" x14ac:dyDescent="0.2"/>
  <cols>
    <col min="2" max="3" width="0" hidden="1" customWidth="1"/>
  </cols>
  <sheetData>
    <row r="1" spans="1:9" x14ac:dyDescent="0.2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9" x14ac:dyDescent="0.2">
      <c r="A2" t="s">
        <v>127</v>
      </c>
      <c r="B2">
        <v>47.763086683688101</v>
      </c>
      <c r="C2">
        <v>35.56183931246948</v>
      </c>
      <c r="D2">
        <f>TableNEW[[#This Row],[ARIMAPP]]*$I$2+TableNEW[[#This Row],[LSTMPP]]*$I$3</f>
        <v>52.91082547570285</v>
      </c>
      <c r="E2">
        <v>25</v>
      </c>
      <c r="F2">
        <f>ABS(TableNEW[[#This Row],[PP]]-TableNEW[[#This Row],[AP]])</f>
        <v>27.91082547570285</v>
      </c>
      <c r="H2" t="s">
        <v>0</v>
      </c>
      <c r="I2">
        <v>0.53682639277999999</v>
      </c>
    </row>
    <row r="3" spans="1:9" x14ac:dyDescent="0.2">
      <c r="A3" t="s">
        <v>128</v>
      </c>
      <c r="B3">
        <v>34.374231819603253</v>
      </c>
      <c r="C3">
        <v>35.152165251398827</v>
      </c>
      <c r="D3">
        <f>TableNEW[[#This Row],[ARIMAPP]]*$I$2+TableNEW[[#This Row],[LSTMPP]]*$I$3</f>
        <v>45.409179217107265</v>
      </c>
      <c r="E3">
        <v>41</v>
      </c>
      <c r="F3">
        <f>ABS(TableNEW[[#This Row],[PP]]-TableNEW[[#This Row],[AP]])</f>
        <v>4.4091792171072655</v>
      </c>
      <c r="H3" t="s">
        <v>1</v>
      </c>
      <c r="I3">
        <v>0.76684278627000002</v>
      </c>
    </row>
    <row r="4" spans="1:9" x14ac:dyDescent="0.2">
      <c r="A4" t="s">
        <v>129</v>
      </c>
      <c r="B4">
        <v>32.922174028323582</v>
      </c>
      <c r="C4">
        <v>22.594593881615609</v>
      </c>
      <c r="D4">
        <f>TableNEW[[#This Row],[ARIMAPP]]*$I$2+TableNEW[[#This Row],[LSTMPP]]*$I$3</f>
        <v>34.999993252917562</v>
      </c>
      <c r="E4">
        <v>27</v>
      </c>
      <c r="F4">
        <f>ABS(TableNEW[[#This Row],[PP]]-TableNEW[[#This Row],[AP]])</f>
        <v>7.9999932529175624</v>
      </c>
    </row>
    <row r="5" spans="1:9" x14ac:dyDescent="0.2">
      <c r="A5" t="s">
        <v>130</v>
      </c>
      <c r="B5">
        <v>30.238994137351419</v>
      </c>
      <c r="C5">
        <v>29.65521250661034</v>
      </c>
      <c r="D5">
        <f>TableNEW[[#This Row],[ARIMAPP]]*$I$2+TableNEW[[#This Row],[LSTMPP]]*$I$3</f>
        <v>38.973975930047956</v>
      </c>
      <c r="E5">
        <v>33</v>
      </c>
      <c r="F5">
        <f>ABS(TableNEW[[#This Row],[PP]]-TableNEW[[#This Row],[AP]])</f>
        <v>5.9739759300479562</v>
      </c>
      <c r="H5" t="s">
        <v>2</v>
      </c>
      <c r="I5">
        <f>SUM(ABS(TableNEW[[#This Row],[PP]]-TableNEW[[#This Row],[AP]]))</f>
        <v>5.9739759300479562</v>
      </c>
    </row>
    <row r="6" spans="1:9" x14ac:dyDescent="0.2">
      <c r="A6" t="s">
        <v>131</v>
      </c>
      <c r="B6">
        <v>38.513790604639077</v>
      </c>
      <c r="C6">
        <v>22.246838535359601</v>
      </c>
      <c r="D6">
        <f>TableNEW[[#This Row],[ARIMAPP]]*$I$2+TableNEW[[#This Row],[LSTMPP]]*$I$3</f>
        <v>37.735046930726611</v>
      </c>
      <c r="E6">
        <v>64</v>
      </c>
      <c r="F6">
        <f>ABS(TableNEW[[#This Row],[PP]]-TableNEW[[#This Row],[AP]])</f>
        <v>26.264953069273389</v>
      </c>
    </row>
    <row r="7" spans="1:9" x14ac:dyDescent="0.2">
      <c r="A7" t="s">
        <v>132</v>
      </c>
      <c r="B7">
        <v>34.411764705882327</v>
      </c>
      <c r="C7">
        <v>31.056693928063069</v>
      </c>
      <c r="D7">
        <f>TableNEW[[#This Row],[ARIMAPP]]*$I$2+TableNEW[[#This Row],[LSTMPP]]*$I$3</f>
        <v>42.288745220383404</v>
      </c>
      <c r="E7">
        <v>53</v>
      </c>
      <c r="F7">
        <f>ABS(TableNEW[[#This Row],[PP]]-TableNEW[[#This Row],[AP]])</f>
        <v>10.711254779616596</v>
      </c>
      <c r="H7" t="s">
        <v>3</v>
      </c>
      <c r="I7">
        <f>AVERAGE(TableNEW[DIFF])/10</f>
        <v>1.3581444992733893</v>
      </c>
    </row>
    <row r="8" spans="1:9" x14ac:dyDescent="0.2">
      <c r="A8" t="s">
        <v>133</v>
      </c>
      <c r="B8">
        <v>46.48648648648652</v>
      </c>
      <c r="C8">
        <v>49.873187316527527</v>
      </c>
      <c r="D8">
        <f>TableNEW[[#This Row],[ARIMAPP]]*$I$2+TableNEW[[#This Row],[LSTMPP]]*$I$3</f>
        <v>63.20006677552837</v>
      </c>
      <c r="E8">
        <v>75</v>
      </c>
      <c r="F8">
        <f>ABS(TableNEW[[#This Row],[PP]]-TableNEW[[#This Row],[AP]])</f>
        <v>11.79993322447163</v>
      </c>
    </row>
  </sheetData>
  <conditionalFormatting sqref="I7">
    <cfRule type="colorScale" priority="1">
      <colorScale>
        <cfvo type="num" val="0"/>
        <cfvo type="num" val="1"/>
        <cfvo type="num" val="2"/>
        <color rgb="FF00FF00"/>
        <color rgb="FFFFFF00"/>
        <color rgb="FFFF0000"/>
      </colorScale>
    </cfRule>
  </conditionalFormatting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I7"/>
  <sheetViews>
    <sheetView workbookViewId="0">
      <selection activeCell="I3" sqref="I3"/>
    </sheetView>
  </sheetViews>
  <sheetFormatPr baseColWidth="10" defaultColWidth="8.83203125" defaultRowHeight="15" x14ac:dyDescent="0.2"/>
  <cols>
    <col min="2" max="3" width="0" hidden="1" customWidth="1"/>
  </cols>
  <sheetData>
    <row r="1" spans="1:9" x14ac:dyDescent="0.2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9" x14ac:dyDescent="0.2">
      <c r="A2" t="s">
        <v>134</v>
      </c>
      <c r="B2">
        <v>35.987850589817803</v>
      </c>
      <c r="C2">
        <v>34.992185760581563</v>
      </c>
      <c r="D2">
        <f>TableNFO[[#This Row],[ARIMAPP]]*$I$2+TableNFO[[#This Row],[LSTMPP]]*$I$3</f>
        <v>42.400175057919931</v>
      </c>
      <c r="E2">
        <v>42</v>
      </c>
      <c r="F2">
        <f>ABS(TableNFO[[#This Row],[PP]]-TableNFO[[#This Row],[AP]])</f>
        <v>0.40017505791993102</v>
      </c>
      <c r="H2" t="s">
        <v>0</v>
      </c>
      <c r="I2">
        <v>0.99934543509999996</v>
      </c>
    </row>
    <row r="3" spans="1:9" x14ac:dyDescent="0.2">
      <c r="A3" t="s">
        <v>135</v>
      </c>
      <c r="B3">
        <v>36.626782850260327</v>
      </c>
      <c r="C3">
        <v>24.42031430653411</v>
      </c>
      <c r="D3">
        <f>TableNFO[[#This Row],[ARIMAPP]]*$I$2+TableNFO[[#This Row],[LSTMPP]]*$I$3</f>
        <v>41.094274833483091</v>
      </c>
      <c r="E3">
        <v>48</v>
      </c>
      <c r="F3">
        <f>ABS(TableNFO[[#This Row],[PP]]-TableNFO[[#This Row],[AP]])</f>
        <v>6.905725166516909</v>
      </c>
      <c r="H3" t="s">
        <v>1</v>
      </c>
      <c r="I3">
        <v>0.18392337351999999</v>
      </c>
    </row>
    <row r="4" spans="1:9" x14ac:dyDescent="0.2">
      <c r="A4" t="s">
        <v>136</v>
      </c>
      <c r="B4">
        <v>28.571428571428569</v>
      </c>
      <c r="C4">
        <v>29.191870753604611</v>
      </c>
      <c r="D4">
        <f>TableNFO[[#This Row],[ARIMAPP]]*$I$2+TableNFO[[#This Row],[LSTMPP]]*$I$3</f>
        <v>33.921794065505637</v>
      </c>
      <c r="E4">
        <v>36</v>
      </c>
      <c r="F4">
        <f>ABS(TableNFO[[#This Row],[PP]]-TableNFO[[#This Row],[AP]])</f>
        <v>2.0782059344943633</v>
      </c>
    </row>
    <row r="5" spans="1:9" x14ac:dyDescent="0.2">
      <c r="A5" t="s">
        <v>137</v>
      </c>
      <c r="B5">
        <v>28.813559322033878</v>
      </c>
      <c r="C5">
        <v>24.35348728004077</v>
      </c>
      <c r="D5">
        <f>TableNFO[[#This Row],[ARIMAPP]]*$I$2+TableNFO[[#This Row],[LSTMPP]]*$I$3</f>
        <v>33.273874514979113</v>
      </c>
      <c r="E5">
        <v>21</v>
      </c>
      <c r="F5">
        <f>ABS(TableNFO[[#This Row],[PP]]-TableNFO[[#This Row],[AP]])</f>
        <v>12.273874514979113</v>
      </c>
      <c r="H5" t="s">
        <v>2</v>
      </c>
      <c r="I5">
        <f>SUM(ABS(TableNFO[[#This Row],[PP]]-TableNFO[[#This Row],[AP]]))</f>
        <v>12.273874514979113</v>
      </c>
    </row>
    <row r="6" spans="1:9" x14ac:dyDescent="0.2">
      <c r="A6" t="s">
        <v>138</v>
      </c>
      <c r="B6">
        <v>22.354322616969419</v>
      </c>
      <c r="C6">
        <v>33.528469870116112</v>
      </c>
      <c r="D6">
        <f>TableNFO[[#This Row],[ARIMAPP]]*$I$2+TableNFO[[#This Row],[LSTMPP]]*$I$3</f>
        <v>28.506359549496501</v>
      </c>
      <c r="E6">
        <v>31</v>
      </c>
      <c r="F6">
        <f>ABS(TableNFO[[#This Row],[PP]]-TableNFO[[#This Row],[AP]])</f>
        <v>2.4936404505034986</v>
      </c>
    </row>
    <row r="7" spans="1:9" x14ac:dyDescent="0.2">
      <c r="H7" t="s">
        <v>3</v>
      </c>
      <c r="I7">
        <f>AVERAGE(TableNFO[DIFF])/10</f>
        <v>0.48303242248827633</v>
      </c>
    </row>
  </sheetData>
  <conditionalFormatting sqref="I7">
    <cfRule type="colorScale" priority="1">
      <colorScale>
        <cfvo type="num" val="0"/>
        <cfvo type="num" val="1"/>
        <cfvo type="num" val="2"/>
        <color rgb="FF00FF00"/>
        <color rgb="FFFFFF00"/>
        <color rgb="FFFF0000"/>
      </colorScale>
    </cfRule>
  </conditionalFormatting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I7"/>
  <sheetViews>
    <sheetView workbookViewId="0">
      <selection activeCell="I3" sqref="I3"/>
    </sheetView>
  </sheetViews>
  <sheetFormatPr baseColWidth="10" defaultColWidth="8.83203125" defaultRowHeight="15" x14ac:dyDescent="0.2"/>
  <cols>
    <col min="2" max="3" width="0" hidden="1" customWidth="1"/>
  </cols>
  <sheetData>
    <row r="1" spans="1:9" x14ac:dyDescent="0.2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9" x14ac:dyDescent="0.2">
      <c r="A2" t="s">
        <v>139</v>
      </c>
      <c r="B2">
        <v>24.615384615384599</v>
      </c>
      <c r="C2">
        <v>23.288103987856079</v>
      </c>
      <c r="D2">
        <f>TableSHU[[#This Row],[ARIMAPP]]*$I$2+TableSHU[[#This Row],[LSTMPP]]*$I$3</f>
        <v>26.073763540772919</v>
      </c>
      <c r="E2">
        <v>22</v>
      </c>
      <c r="F2">
        <f>ABS(TableSHU[[#This Row],[PP]]-TableSHU[[#This Row],[AP]])</f>
        <v>4.0737635407729194</v>
      </c>
      <c r="H2" t="s">
        <v>0</v>
      </c>
      <c r="I2">
        <v>0</v>
      </c>
    </row>
    <row r="3" spans="1:9" x14ac:dyDescent="0.2">
      <c r="A3" t="s">
        <v>140</v>
      </c>
      <c r="B3">
        <v>26.086956521739129</v>
      </c>
      <c r="C3">
        <v>29.257700598793409</v>
      </c>
      <c r="D3">
        <f>TableSHU[[#This Row],[ARIMAPP]]*$I$2+TableSHU[[#This Row],[LSTMPP]]*$I$3</f>
        <v>32.757427034741568</v>
      </c>
      <c r="E3">
        <v>36</v>
      </c>
      <c r="F3">
        <f>ABS(TableSHU[[#This Row],[PP]]-TableSHU[[#This Row],[AP]])</f>
        <v>3.2425729652584323</v>
      </c>
      <c r="H3" t="s">
        <v>1</v>
      </c>
      <c r="I3">
        <v>1.1196172756</v>
      </c>
    </row>
    <row r="5" spans="1:9" x14ac:dyDescent="0.2">
      <c r="H5" t="s">
        <v>2</v>
      </c>
      <c r="I5" t="e">
        <f>SUM(ABS(TableSHU[[#This Row],[PP]]-TableSHU[[#This Row],[AP]]))</f>
        <v>#VALUE!</v>
      </c>
    </row>
    <row r="7" spans="1:9" x14ac:dyDescent="0.2">
      <c r="H7" t="s">
        <v>3</v>
      </c>
      <c r="I7">
        <f>AVERAGE(TableSHU[DIFF])/10</f>
        <v>0.36581682530156756</v>
      </c>
    </row>
  </sheetData>
  <conditionalFormatting sqref="I7">
    <cfRule type="colorScale" priority="1">
      <colorScale>
        <cfvo type="num" val="0"/>
        <cfvo type="num" val="1"/>
        <cfvo type="num" val="2"/>
        <color rgb="FF00FF00"/>
        <color rgb="FFFFFF00"/>
        <color rgb="FFFF0000"/>
      </colorScale>
    </cfRule>
  </conditionalFormatting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I10"/>
  <sheetViews>
    <sheetView workbookViewId="0">
      <selection activeCell="I3" sqref="I3"/>
    </sheetView>
  </sheetViews>
  <sheetFormatPr baseColWidth="10" defaultColWidth="8.83203125" defaultRowHeight="15" x14ac:dyDescent="0.2"/>
  <cols>
    <col min="2" max="3" width="0" hidden="1" customWidth="1"/>
  </cols>
  <sheetData>
    <row r="1" spans="1:9" x14ac:dyDescent="0.2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9" x14ac:dyDescent="0.2">
      <c r="A2" t="s">
        <v>141</v>
      </c>
      <c r="B2">
        <v>43.974316972819999</v>
      </c>
      <c r="C2">
        <v>40.39698918316089</v>
      </c>
      <c r="D2">
        <f>TableTOT[[#This Row],[ARIMAPP]]*$I$2+TableTOT[[#This Row],[LSTMPP]]*$I$3</f>
        <v>39.794073861215104</v>
      </c>
      <c r="E2">
        <v>27</v>
      </c>
      <c r="F2">
        <f>ABS(TableTOT[[#This Row],[PP]]-TableTOT[[#This Row],[AP]])</f>
        <v>12.794073861215104</v>
      </c>
      <c r="H2" t="s">
        <v>0</v>
      </c>
      <c r="I2">
        <v>0.51191011185000002</v>
      </c>
    </row>
    <row r="3" spans="1:9" x14ac:dyDescent="0.2">
      <c r="A3" t="s">
        <v>142</v>
      </c>
      <c r="B3">
        <v>35.611325907224902</v>
      </c>
      <c r="C3">
        <v>37.014945411237022</v>
      </c>
      <c r="D3">
        <f>TableTOT[[#This Row],[ARIMAPP]]*$I$2+TableTOT[[#This Row],[LSTMPP]]*$I$3</f>
        <v>34.066023292998793</v>
      </c>
      <c r="E3">
        <v>48</v>
      </c>
      <c r="F3">
        <f>ABS(TableTOT[[#This Row],[PP]]-TableTOT[[#This Row],[AP]])</f>
        <v>13.933976707001207</v>
      </c>
      <c r="H3" t="s">
        <v>1</v>
      </c>
      <c r="I3">
        <v>0.42783327893</v>
      </c>
    </row>
    <row r="4" spans="1:9" x14ac:dyDescent="0.2">
      <c r="A4" t="s">
        <v>143</v>
      </c>
      <c r="B4">
        <v>30</v>
      </c>
      <c r="C4">
        <v>30.489502487218228</v>
      </c>
      <c r="D4">
        <f>TableTOT[[#This Row],[ARIMAPP]]*$I$2+TableTOT[[#This Row],[LSTMPP]]*$I$3</f>
        <v>28.401727177550967</v>
      </c>
      <c r="E4">
        <v>25</v>
      </c>
      <c r="F4">
        <f>ABS(TableTOT[[#This Row],[PP]]-TableTOT[[#This Row],[AP]])</f>
        <v>3.401727177550967</v>
      </c>
    </row>
    <row r="5" spans="1:9" x14ac:dyDescent="0.2">
      <c r="A5" t="s">
        <v>144</v>
      </c>
      <c r="B5">
        <v>36.559160239727603</v>
      </c>
      <c r="C5">
        <v>44.832541710474359</v>
      </c>
      <c r="D5">
        <f>TableTOT[[#This Row],[ARIMAPP]]*$I$2+TableTOT[[#This Row],[LSTMPP]]*$I$3</f>
        <v>37.895857130219269</v>
      </c>
      <c r="E5">
        <v>27</v>
      </c>
      <c r="F5">
        <f>ABS(TableTOT[[#This Row],[PP]]-TableTOT[[#This Row],[AP]])</f>
        <v>10.895857130219269</v>
      </c>
      <c r="H5" t="s">
        <v>2</v>
      </c>
      <c r="I5">
        <f>SUM(ABS(TableTOT[[#This Row],[PP]]-TableTOT[[#This Row],[AP]]))</f>
        <v>10.895857130219269</v>
      </c>
    </row>
    <row r="6" spans="1:9" x14ac:dyDescent="0.2">
      <c r="A6" t="s">
        <v>145</v>
      </c>
      <c r="B6">
        <v>31.556309131538949</v>
      </c>
      <c r="C6">
        <v>30.698736112254839</v>
      </c>
      <c r="D6">
        <f>TableTOT[[#This Row],[ARIMAPP]]*$I$2+TableTOT[[#This Row],[LSTMPP]]*$I$3</f>
        <v>29.287934667012067</v>
      </c>
      <c r="E6">
        <v>46</v>
      </c>
      <c r="F6">
        <f>ABS(TableTOT[[#This Row],[PP]]-TableTOT[[#This Row],[AP]])</f>
        <v>16.712065332987933</v>
      </c>
    </row>
    <row r="7" spans="1:9" x14ac:dyDescent="0.2">
      <c r="A7" t="s">
        <v>146</v>
      </c>
      <c r="B7">
        <v>51.785714285714299</v>
      </c>
      <c r="C7">
        <v>46.305239737684978</v>
      </c>
      <c r="D7">
        <f>TableTOT[[#This Row],[ARIMAPP]]*$I$2+TableTOT[[#This Row],[LSTMPP]]*$I$3</f>
        <v>46.320553340845649</v>
      </c>
      <c r="E7">
        <v>55</v>
      </c>
      <c r="F7">
        <f>ABS(TableTOT[[#This Row],[PP]]-TableTOT[[#This Row],[AP]])</f>
        <v>8.6794466591543511</v>
      </c>
      <c r="H7" t="s">
        <v>3</v>
      </c>
      <c r="I7">
        <f>AVERAGE(TableTOT[DIFF])/10</f>
        <v>0.89974582362215971</v>
      </c>
    </row>
    <row r="8" spans="1:9" x14ac:dyDescent="0.2">
      <c r="A8" t="s">
        <v>147</v>
      </c>
      <c r="B8">
        <v>39.722222222222207</v>
      </c>
      <c r="C8">
        <v>33.500346717345963</v>
      </c>
      <c r="D8">
        <f>TableTOT[[#This Row],[ARIMAPP]]*$I$2+TableTOT[[#This Row],[LSTMPP]]*$I$3</f>
        <v>34.666770402082307</v>
      </c>
      <c r="E8">
        <v>27</v>
      </c>
      <c r="F8">
        <f>ABS(TableTOT[[#This Row],[PP]]-TableTOT[[#This Row],[AP]])</f>
        <v>7.6667704020823066</v>
      </c>
    </row>
    <row r="9" spans="1:9" x14ac:dyDescent="0.2">
      <c r="A9" t="s">
        <v>148</v>
      </c>
      <c r="B9">
        <v>24.731519734482362</v>
      </c>
      <c r="C9">
        <v>37.943715050849057</v>
      </c>
      <c r="D9">
        <f>TableTOT[[#This Row],[ARIMAPP]]*$I$2+TableTOT[[#This Row],[LSTMPP]]*$I$3</f>
        <v>28.893899058489691</v>
      </c>
      <c r="E9">
        <v>31</v>
      </c>
      <c r="F9">
        <f>ABS(TableTOT[[#This Row],[PP]]-TableTOT[[#This Row],[AP]])</f>
        <v>2.1061009415103094</v>
      </c>
    </row>
    <row r="10" spans="1:9" x14ac:dyDescent="0.2">
      <c r="A10" t="s">
        <v>149</v>
      </c>
      <c r="B10">
        <v>32.919657769978592</v>
      </c>
      <c r="C10">
        <v>30.234207716449859</v>
      </c>
      <c r="D10">
        <f>TableTOT[[#This Row],[ARIMAPP]]*$I$2+TableTOT[[#This Row],[LSTMPP]]*$I$3</f>
        <v>29.787105914272914</v>
      </c>
      <c r="E10">
        <v>25</v>
      </c>
      <c r="F10">
        <f>ABS(TableTOT[[#This Row],[PP]]-TableTOT[[#This Row],[AP]])</f>
        <v>4.7871059142729138</v>
      </c>
    </row>
  </sheetData>
  <conditionalFormatting sqref="I7">
    <cfRule type="colorScale" priority="1">
      <colorScale>
        <cfvo type="num" val="0"/>
        <cfvo type="num" val="1"/>
        <cfvo type="num" val="2"/>
        <color rgb="FF00FF00"/>
        <color rgb="FFFFFF00"/>
        <color rgb="FFFF0000"/>
      </colorScale>
    </cfRule>
  </conditionalFormatting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I10"/>
  <sheetViews>
    <sheetView workbookViewId="0">
      <selection activeCell="I2" sqref="I2"/>
    </sheetView>
  </sheetViews>
  <sheetFormatPr baseColWidth="10" defaultColWidth="8.83203125" defaultRowHeight="15" x14ac:dyDescent="0.2"/>
  <cols>
    <col min="2" max="3" width="0" hidden="1" customWidth="1"/>
  </cols>
  <sheetData>
    <row r="1" spans="1:9" x14ac:dyDescent="0.2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9" x14ac:dyDescent="0.2">
      <c r="A2" t="s">
        <v>150</v>
      </c>
      <c r="B2">
        <v>38.554894087997774</v>
      </c>
      <c r="C2">
        <v>36.293069070402268</v>
      </c>
      <c r="D2">
        <f>TableWHU[[#This Row],[ARIMAPP]]*$I$2+TableWHU[[#This Row],[LSTMPP]]*$I$3</f>
        <v>35.323584273335747</v>
      </c>
      <c r="E2">
        <v>27</v>
      </c>
      <c r="F2">
        <f>ABS(TableWHU[[#This Row],[PP]]-TableWHU[[#This Row],[AP]])</f>
        <v>8.3235842733357472</v>
      </c>
      <c r="H2" t="s">
        <v>0</v>
      </c>
      <c r="I2">
        <v>0.91618937384999999</v>
      </c>
    </row>
    <row r="3" spans="1:9" x14ac:dyDescent="0.2">
      <c r="A3" t="s">
        <v>151</v>
      </c>
      <c r="B3">
        <v>29.931191306396201</v>
      </c>
      <c r="C3">
        <v>36.771366589985057</v>
      </c>
      <c r="D3">
        <f>TableWHU[[#This Row],[ARIMAPP]]*$I$2+TableWHU[[#This Row],[LSTMPP]]*$I$3</f>
        <v>27.422639421591697</v>
      </c>
      <c r="E3">
        <v>25</v>
      </c>
      <c r="F3">
        <f>ABS(TableWHU[[#This Row],[PP]]-TableWHU[[#This Row],[AP]])</f>
        <v>2.4226394215916969</v>
      </c>
      <c r="H3" t="s">
        <v>1</v>
      </c>
      <c r="I3">
        <v>0</v>
      </c>
    </row>
    <row r="4" spans="1:9" x14ac:dyDescent="0.2">
      <c r="A4" t="s">
        <v>152</v>
      </c>
      <c r="B4">
        <v>19.5552375168913</v>
      </c>
      <c r="C4">
        <v>17.171671281343169</v>
      </c>
      <c r="D4">
        <f>TableWHU[[#This Row],[ARIMAPP]]*$I$2+TableWHU[[#This Row],[LSTMPP]]*$I$3</f>
        <v>17.916300816088668</v>
      </c>
      <c r="E4">
        <v>21</v>
      </c>
      <c r="F4">
        <f>ABS(TableWHU[[#This Row],[PP]]-TableWHU[[#This Row],[AP]])</f>
        <v>3.0836991839113317</v>
      </c>
    </row>
    <row r="5" spans="1:9" x14ac:dyDescent="0.2">
      <c r="A5" t="s">
        <v>153</v>
      </c>
      <c r="B5">
        <v>44.51388888888885</v>
      </c>
      <c r="C5">
        <v>44.62944276541716</v>
      </c>
      <c r="D5">
        <f>TableWHU[[#This Row],[ARIMAPP]]*$I$2+TableWHU[[#This Row],[LSTMPP]]*$I$3</f>
        <v>40.783151988739547</v>
      </c>
      <c r="E5">
        <v>62</v>
      </c>
      <c r="F5">
        <f>ABS(TableWHU[[#This Row],[PP]]-TableWHU[[#This Row],[AP]])</f>
        <v>21.216848011260453</v>
      </c>
      <c r="H5" t="s">
        <v>2</v>
      </c>
      <c r="I5">
        <f>SUM(ABS(TableWHU[[#This Row],[PP]]-TableWHU[[#This Row],[AP]]))</f>
        <v>21.216848011260453</v>
      </c>
    </row>
    <row r="6" spans="1:9" x14ac:dyDescent="0.2">
      <c r="A6" t="s">
        <v>154</v>
      </c>
      <c r="B6">
        <v>34.137931034482769</v>
      </c>
      <c r="C6">
        <v>29.247794485032259</v>
      </c>
      <c r="D6">
        <f>TableWHU[[#This Row],[ARIMAPP]]*$I$2+TableWHU[[#This Row],[LSTMPP]]*$I$3</f>
        <v>31.27680965901725</v>
      </c>
      <c r="E6">
        <v>30</v>
      </c>
      <c r="F6">
        <f>ABS(TableWHU[[#This Row],[PP]]-TableWHU[[#This Row],[AP]])</f>
        <v>1.2768096590172497</v>
      </c>
    </row>
    <row r="7" spans="1:9" x14ac:dyDescent="0.2">
      <c r="A7" t="s">
        <v>155</v>
      </c>
      <c r="B7">
        <v>35.111111111111121</v>
      </c>
      <c r="C7">
        <v>40.385239909301752</v>
      </c>
      <c r="D7">
        <f>TableWHU[[#This Row],[ARIMAPP]]*$I$2+TableWHU[[#This Row],[LSTMPP]]*$I$3</f>
        <v>32.168426904066678</v>
      </c>
      <c r="E7">
        <v>31</v>
      </c>
      <c r="F7">
        <f>ABS(TableWHU[[#This Row],[PP]]-TableWHU[[#This Row],[AP]])</f>
        <v>1.1684269040666777</v>
      </c>
      <c r="H7" t="s">
        <v>3</v>
      </c>
      <c r="I7">
        <f>AVERAGE(TableWHU[DIFF])/10</f>
        <v>0.65406439928784155</v>
      </c>
    </row>
    <row r="8" spans="1:9" x14ac:dyDescent="0.2">
      <c r="A8" t="s">
        <v>156</v>
      </c>
      <c r="B8">
        <v>37.08209608538224</v>
      </c>
      <c r="C8">
        <v>41.282412653015157</v>
      </c>
      <c r="D8">
        <f>TableWHU[[#This Row],[ARIMAPP]]*$I$2+TableWHU[[#This Row],[LSTMPP]]*$I$3</f>
        <v>33.974222393511887</v>
      </c>
      <c r="E8">
        <v>22</v>
      </c>
      <c r="F8">
        <f>ABS(TableWHU[[#This Row],[PP]]-TableWHU[[#This Row],[AP]])</f>
        <v>11.974222393511887</v>
      </c>
    </row>
    <row r="9" spans="1:9" x14ac:dyDescent="0.2">
      <c r="A9" t="s">
        <v>157</v>
      </c>
      <c r="B9">
        <v>19.499999999999989</v>
      </c>
      <c r="C9">
        <v>21.341922671076691</v>
      </c>
      <c r="D9">
        <f>TableWHU[[#This Row],[ARIMAPP]]*$I$2+TableWHU[[#This Row],[LSTMPP]]*$I$3</f>
        <v>17.865692790074991</v>
      </c>
      <c r="E9">
        <v>23</v>
      </c>
      <c r="F9">
        <f>ABS(TableWHU[[#This Row],[PP]]-TableWHU[[#This Row],[AP]])</f>
        <v>5.1343072099250087</v>
      </c>
    </row>
    <row r="10" spans="1:9" x14ac:dyDescent="0.2">
      <c r="A10" t="s">
        <v>158</v>
      </c>
      <c r="B10">
        <v>42.85714285714284</v>
      </c>
      <c r="C10">
        <v>52.374360281774457</v>
      </c>
      <c r="D10">
        <f>TableWHU[[#This Row],[ARIMAPP]]*$I$2+TableWHU[[#This Row],[LSTMPP]]*$I$3</f>
        <v>39.265258879285696</v>
      </c>
      <c r="E10">
        <v>35</v>
      </c>
      <c r="F10">
        <f>ABS(TableWHU[[#This Row],[PP]]-TableWHU[[#This Row],[AP]])</f>
        <v>4.265258879285696</v>
      </c>
    </row>
  </sheetData>
  <conditionalFormatting sqref="I7">
    <cfRule type="colorScale" priority="1">
      <colorScale>
        <cfvo type="num" val="0"/>
        <cfvo type="num" val="1"/>
        <cfvo type="num" val="2"/>
        <color rgb="FF00FF00"/>
        <color rgb="FFFFFF00"/>
        <color rgb="FFFF0000"/>
      </colorScale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1"/>
  <sheetViews>
    <sheetView workbookViewId="0">
      <selection activeCell="I3" sqref="I3"/>
    </sheetView>
  </sheetViews>
  <sheetFormatPr baseColWidth="10" defaultColWidth="8.83203125" defaultRowHeight="15" x14ac:dyDescent="0.2"/>
  <cols>
    <col min="2" max="3" width="0" hidden="1" customWidth="1"/>
  </cols>
  <sheetData>
    <row r="1" spans="1:9" x14ac:dyDescent="0.2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9" x14ac:dyDescent="0.2">
      <c r="A2" t="s">
        <v>22</v>
      </c>
      <c r="B2">
        <v>25.10097015789658</v>
      </c>
      <c r="C2">
        <v>36.084682848474827</v>
      </c>
      <c r="D2">
        <f>TableAVL[[#This Row],[ARIMAPP]]*$I$2+TableAVL[[#This Row],[LSTMPP]]*$I$3</f>
        <v>36.329421080348034</v>
      </c>
      <c r="E2">
        <v>26</v>
      </c>
      <c r="F2">
        <f>ABS(TableAVL[[#This Row],[PP]]-TableAVL[[#This Row],[AP]])</f>
        <v>10.329421080348034</v>
      </c>
      <c r="H2" t="s">
        <v>0</v>
      </c>
      <c r="I2">
        <v>0.27978280020000001</v>
      </c>
    </row>
    <row r="3" spans="1:9" x14ac:dyDescent="0.2">
      <c r="A3" t="s">
        <v>23</v>
      </c>
      <c r="B3">
        <v>25.721004168438881</v>
      </c>
      <c r="C3">
        <v>30.481209050599102</v>
      </c>
      <c r="D3">
        <f>TableAVL[[#This Row],[ARIMAPP]]*$I$2+TableAVL[[#This Row],[LSTMPP]]*$I$3</f>
        <v>31.951968505975934</v>
      </c>
      <c r="E3">
        <v>24</v>
      </c>
      <c r="F3">
        <f>ABS(TableAVL[[#This Row],[PP]]-TableAVL[[#This Row],[AP]])</f>
        <v>7.951968505975934</v>
      </c>
      <c r="H3" t="s">
        <v>1</v>
      </c>
      <c r="I3">
        <v>0.81216181073000004</v>
      </c>
    </row>
    <row r="4" spans="1:9" x14ac:dyDescent="0.2">
      <c r="A4" t="s">
        <v>24</v>
      </c>
      <c r="B4">
        <v>48.376665667915148</v>
      </c>
      <c r="C4">
        <v>23.144352417248552</v>
      </c>
      <c r="D4">
        <f>TableAVL[[#This Row],[ARIMAPP]]*$I$2+TableAVL[[#This Row],[LSTMPP]]*$I$3</f>
        <v>32.331918152274341</v>
      </c>
      <c r="E4">
        <v>32</v>
      </c>
      <c r="F4">
        <f>ABS(TableAVL[[#This Row],[PP]]-TableAVL[[#This Row],[AP]])</f>
        <v>0.33191815227434063</v>
      </c>
    </row>
    <row r="5" spans="1:9" x14ac:dyDescent="0.2">
      <c r="A5" t="s">
        <v>25</v>
      </c>
      <c r="B5">
        <v>30.800000000000018</v>
      </c>
      <c r="C5">
        <v>26.31603093597359</v>
      </c>
      <c r="D5">
        <f>TableAVL[[#This Row],[ARIMAPP]]*$I$2+TableAVL[[#This Row],[LSTMPP]]*$I$3</f>
        <v>29.990185582347014</v>
      </c>
      <c r="E5">
        <v>27</v>
      </c>
      <c r="F5">
        <f>ABS(TableAVL[[#This Row],[PP]]-TableAVL[[#This Row],[AP]])</f>
        <v>2.9901855823470136</v>
      </c>
      <c r="H5" t="s">
        <v>2</v>
      </c>
      <c r="I5">
        <f>SUM(ABS(TableAVL[[#This Row],[PP]]-TableAVL[[#This Row],[AP]]))</f>
        <v>2.9901855823470136</v>
      </c>
    </row>
    <row r="6" spans="1:9" x14ac:dyDescent="0.2">
      <c r="A6" t="s">
        <v>26</v>
      </c>
      <c r="B6">
        <v>28.137931034482779</v>
      </c>
      <c r="C6">
        <v>30.019274908158071</v>
      </c>
      <c r="D6">
        <f>TableAVL[[#This Row],[ARIMAPP]]*$I$2+TableAVL[[#This Row],[LSTMPP]]*$I$3</f>
        <v>32.253017802873394</v>
      </c>
      <c r="E6">
        <v>31</v>
      </c>
      <c r="F6">
        <f>ABS(TableAVL[[#This Row],[PP]]-TableAVL[[#This Row],[AP]])</f>
        <v>1.2530178028733943</v>
      </c>
    </row>
    <row r="7" spans="1:9" x14ac:dyDescent="0.2">
      <c r="A7" t="s">
        <v>27</v>
      </c>
      <c r="B7">
        <v>47.031249999999993</v>
      </c>
      <c r="C7">
        <v>40.715547403074112</v>
      </c>
      <c r="D7">
        <f>TableAVL[[#This Row],[ARIMAPP]]*$I$2+TableAVL[[#This Row],[LSTMPP]]*$I$3</f>
        <v>46.22614752565007</v>
      </c>
      <c r="E7">
        <v>60</v>
      </c>
      <c r="F7">
        <f>ABS(TableAVL[[#This Row],[PP]]-TableAVL[[#This Row],[AP]])</f>
        <v>13.77385247434993</v>
      </c>
      <c r="H7" t="s">
        <v>3</v>
      </c>
      <c r="I7">
        <f>AVERAGE(TableAVL[DIFF])/10</f>
        <v>0.6517760703439629</v>
      </c>
    </row>
    <row r="8" spans="1:9" x14ac:dyDescent="0.2">
      <c r="A8" t="s">
        <v>28</v>
      </c>
      <c r="B8">
        <v>52.224795266938173</v>
      </c>
      <c r="C8">
        <v>28.747637929778271</v>
      </c>
      <c r="D8">
        <f>TableAVL[[#This Row],[ARIMAPP]]*$I$2+TableAVL[[#This Row],[LSTMPP]]*$I$3</f>
        <v>37.959333134914822</v>
      </c>
      <c r="E8">
        <v>39</v>
      </c>
      <c r="F8">
        <f>ABS(TableAVL[[#This Row],[PP]]-TableAVL[[#This Row],[AP]])</f>
        <v>1.0406668650851785</v>
      </c>
    </row>
    <row r="9" spans="1:9" x14ac:dyDescent="0.2">
      <c r="A9" t="s">
        <v>29</v>
      </c>
      <c r="B9">
        <v>35.344827586206897</v>
      </c>
      <c r="C9">
        <v>37.195950352757301</v>
      </c>
      <c r="D9">
        <f>TableAVL[[#This Row],[ARIMAPP]]*$I$2+TableAVL[[#This Row],[LSTMPP]]*$I$3</f>
        <v>40.098005224973726</v>
      </c>
      <c r="E9">
        <v>34</v>
      </c>
      <c r="F9">
        <f>ABS(TableAVL[[#This Row],[PP]]-TableAVL[[#This Row],[AP]])</f>
        <v>6.0980052249737255</v>
      </c>
    </row>
    <row r="10" spans="1:9" x14ac:dyDescent="0.2">
      <c r="A10" t="s">
        <v>30</v>
      </c>
      <c r="B10">
        <v>13.668875623736209</v>
      </c>
      <c r="C10">
        <v>24.962215501644941</v>
      </c>
      <c r="D10">
        <f>TableAVL[[#This Row],[ARIMAPP]]*$I$2+TableAVL[[#This Row],[LSTMPP]]*$I$3</f>
        <v>24.097674439242873</v>
      </c>
      <c r="E10">
        <v>42</v>
      </c>
      <c r="F10">
        <f>ABS(TableAVL[[#This Row],[PP]]-TableAVL[[#This Row],[AP]])</f>
        <v>17.902325560757127</v>
      </c>
    </row>
    <row r="11" spans="1:9" x14ac:dyDescent="0.2">
      <c r="A11" t="s">
        <v>31</v>
      </c>
      <c r="B11">
        <v>35.393579220904101</v>
      </c>
      <c r="C11">
        <v>20.443870744134731</v>
      </c>
      <c r="D11">
        <f>TableAVL[[#This Row],[ARIMAPP]]*$I$2+TableAVL[[#This Row],[LSTMPP]]*$I$3</f>
        <v>26.506245785411622</v>
      </c>
      <c r="E11">
        <v>23</v>
      </c>
      <c r="F11">
        <f>ABS(TableAVL[[#This Row],[PP]]-TableAVL[[#This Row],[AP]])</f>
        <v>3.5062457854116218</v>
      </c>
    </row>
  </sheetData>
  <conditionalFormatting sqref="I7">
    <cfRule type="colorScale" priority="1">
      <colorScale>
        <cfvo type="num" val="0"/>
        <cfvo type="num" val="1"/>
        <cfvo type="num" val="2"/>
        <color rgb="FF00FF00"/>
        <color rgb="FFFFFF00"/>
        <color rgb="FFFF0000"/>
      </colorScale>
    </cfRule>
  </conditionalFormatting>
  <pageMargins left="0.7" right="0.7" top="0.75" bottom="0.75" header="0.3" footer="0.3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I10"/>
  <sheetViews>
    <sheetView tabSelected="1" workbookViewId="0">
      <selection activeCell="I3" sqref="I3"/>
    </sheetView>
  </sheetViews>
  <sheetFormatPr baseColWidth="10" defaultColWidth="8.83203125" defaultRowHeight="15" x14ac:dyDescent="0.2"/>
  <cols>
    <col min="2" max="3" width="0" hidden="1" customWidth="1"/>
  </cols>
  <sheetData>
    <row r="1" spans="1:9" x14ac:dyDescent="0.2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9" x14ac:dyDescent="0.2">
      <c r="A2" t="s">
        <v>159</v>
      </c>
      <c r="B2">
        <v>22.298850574712631</v>
      </c>
      <c r="C2">
        <v>17.811010844630399</v>
      </c>
      <c r="D2">
        <f>TableWOL[[#This Row],[ARIMAPP]]*$I$2+TableWOL[[#This Row],[LSTMPP]]*$I$3</f>
        <v>23.064548106235147</v>
      </c>
      <c r="E2">
        <v>24</v>
      </c>
      <c r="F2">
        <f>ABS(TableWOL[[#This Row],[PP]]-TableWOL[[#This Row],[AP]])</f>
        <v>0.93545189376485283</v>
      </c>
      <c r="H2" t="s">
        <v>0</v>
      </c>
      <c r="I2">
        <v>0.60984409923000005</v>
      </c>
    </row>
    <row r="3" spans="1:9" x14ac:dyDescent="0.2">
      <c r="A3" t="s">
        <v>160</v>
      </c>
      <c r="B3">
        <v>26.598450343323549</v>
      </c>
      <c r="C3">
        <v>26.369242204716599</v>
      </c>
      <c r="D3">
        <f>TableWOL[[#This Row],[ARIMAPP]]*$I$2+TableWOL[[#This Row],[LSTMPP]]*$I$3</f>
        <v>30.234936438735112</v>
      </c>
      <c r="E3">
        <v>41</v>
      </c>
      <c r="F3">
        <f>ABS(TableWOL[[#This Row],[PP]]-TableWOL[[#This Row],[AP]])</f>
        <v>10.765063561264888</v>
      </c>
      <c r="H3" t="s">
        <v>1</v>
      </c>
      <c r="I3">
        <v>0.53145359048999996</v>
      </c>
    </row>
    <row r="4" spans="1:9" x14ac:dyDescent="0.2">
      <c r="A4" t="s">
        <v>161</v>
      </c>
      <c r="B4">
        <v>38.234715557646886</v>
      </c>
      <c r="C4">
        <v>43.839083242490773</v>
      </c>
      <c r="D4">
        <f>TableWOL[[#This Row],[ARIMAPP]]*$I$2+TableWOL[[#This Row],[LSTMPP]]*$I$3</f>
        <v>46.615653861580142</v>
      </c>
      <c r="E4">
        <v>33</v>
      </c>
      <c r="F4">
        <f>ABS(TableWOL[[#This Row],[PP]]-TableWOL[[#This Row],[AP]])</f>
        <v>13.615653861580142</v>
      </c>
    </row>
    <row r="5" spans="1:9" x14ac:dyDescent="0.2">
      <c r="A5" t="s">
        <v>162</v>
      </c>
      <c r="B5">
        <v>23.72093023255815</v>
      </c>
      <c r="C5">
        <v>20.7309077237712</v>
      </c>
      <c r="D5">
        <f>TableWOL[[#This Row],[ARIMAPP]]*$I$2+TableWOL[[#This Row],[LSTMPP]]*$I$3</f>
        <v>25.483584674487176</v>
      </c>
      <c r="E5">
        <v>28</v>
      </c>
      <c r="F5">
        <f>ABS(TableWOL[[#This Row],[PP]]-TableWOL[[#This Row],[AP]])</f>
        <v>2.5164153255128241</v>
      </c>
      <c r="H5" t="s">
        <v>2</v>
      </c>
      <c r="I5">
        <f>SUM(ABS(TableWOL[[#This Row],[PP]]-TableWOL[[#This Row],[AP]]))</f>
        <v>2.5164153255128241</v>
      </c>
    </row>
    <row r="6" spans="1:9" x14ac:dyDescent="0.2">
      <c r="A6" t="s">
        <v>163</v>
      </c>
      <c r="B6">
        <v>50.599528481735319</v>
      </c>
      <c r="C6">
        <v>26.4875684560675</v>
      </c>
      <c r="D6">
        <f>TableWOL[[#This Row],[ARIMAPP]]*$I$2+TableWOL[[#This Row],[LSTMPP]]*$I$3</f>
        <v>44.934737227733351</v>
      </c>
      <c r="E6">
        <v>45</v>
      </c>
      <c r="F6">
        <f>ABS(TableWOL[[#This Row],[PP]]-TableWOL[[#This Row],[AP]])</f>
        <v>6.5262772266649449E-2</v>
      </c>
    </row>
    <row r="7" spans="1:9" x14ac:dyDescent="0.2">
      <c r="A7" t="s">
        <v>164</v>
      </c>
      <c r="B7">
        <v>18.386814295307399</v>
      </c>
      <c r="C7">
        <v>16.640810235123819</v>
      </c>
      <c r="D7">
        <f>TableWOL[[#This Row],[ARIMAPP]]*$I$2+TableWOL[[#This Row],[LSTMPP]]*$I$3</f>
        <v>20.056908549750325</v>
      </c>
      <c r="E7">
        <v>41</v>
      </c>
      <c r="F7">
        <f>ABS(TableWOL[[#This Row],[PP]]-TableWOL[[#This Row],[AP]])</f>
        <v>20.943091450249675</v>
      </c>
      <c r="H7" t="s">
        <v>3</v>
      </c>
      <c r="I7">
        <f>AVERAGE(TableWOL[DIFF])/10</f>
        <v>0.68338005762348464</v>
      </c>
    </row>
    <row r="8" spans="1:9" x14ac:dyDescent="0.2">
      <c r="A8" t="s">
        <v>165</v>
      </c>
      <c r="B8">
        <v>53.813259287648677</v>
      </c>
      <c r="C8">
        <v>29.497318137805578</v>
      </c>
      <c r="D8">
        <f>TableWOL[[#This Row],[ARIMAPP]]*$I$2+TableWOL[[#This Row],[LSTMPP]]*$I$3</f>
        <v>48.494154271069114</v>
      </c>
      <c r="E8">
        <v>43</v>
      </c>
      <c r="F8">
        <f>ABS(TableWOL[[#This Row],[PP]]-TableWOL[[#This Row],[AP]])</f>
        <v>5.4941542710691138</v>
      </c>
    </row>
    <row r="9" spans="1:9" x14ac:dyDescent="0.2">
      <c r="A9" t="s">
        <v>166</v>
      </c>
      <c r="B9">
        <v>32.270877290083817</v>
      </c>
      <c r="C9">
        <v>27.965779117026148</v>
      </c>
      <c r="D9">
        <f>TableWOL[[#This Row],[ARIMAPP]]*$I$2+TableWOL[[#This Row],[LSTMPP]]*$I$3</f>
        <v>34.542717814926839</v>
      </c>
      <c r="E9">
        <v>33</v>
      </c>
      <c r="F9">
        <f>ABS(TableWOL[[#This Row],[PP]]-TableWOL[[#This Row],[AP]])</f>
        <v>1.5427178149268386</v>
      </c>
    </row>
    <row r="10" spans="1:9" x14ac:dyDescent="0.2">
      <c r="A10" t="s">
        <v>167</v>
      </c>
      <c r="B10">
        <v>19.6875</v>
      </c>
      <c r="C10">
        <v>17.625810096219482</v>
      </c>
      <c r="D10">
        <f>TableWOL[[#This Row],[ARIMAPP]]*$I$2+TableWOL[[#This Row],[LSTMPP]]*$I$3</f>
        <v>21.373605764521358</v>
      </c>
      <c r="E10">
        <v>27</v>
      </c>
      <c r="F10">
        <f>ABS(TableWOL[[#This Row],[PP]]-TableWOL[[#This Row],[AP]])</f>
        <v>5.6263942354786423</v>
      </c>
    </row>
  </sheetData>
  <conditionalFormatting sqref="I7">
    <cfRule type="colorScale" priority="1">
      <colorScale>
        <cfvo type="num" val="0"/>
        <cfvo type="num" val="1"/>
        <cfvo type="num" val="2"/>
        <color rgb="FF00FF00"/>
        <color rgb="FFFFFF00"/>
        <color rgb="FFFF0000"/>
      </colorScale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2"/>
  <sheetViews>
    <sheetView workbookViewId="0">
      <selection activeCell="I3" sqref="I3"/>
    </sheetView>
  </sheetViews>
  <sheetFormatPr baseColWidth="10" defaultColWidth="8.83203125" defaultRowHeight="15" x14ac:dyDescent="0.2"/>
  <cols>
    <col min="2" max="3" width="0" hidden="1" customWidth="1"/>
  </cols>
  <sheetData>
    <row r="1" spans="1:9" x14ac:dyDescent="0.2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9" x14ac:dyDescent="0.2">
      <c r="A2" t="s">
        <v>32</v>
      </c>
      <c r="B2">
        <v>22.900000000000009</v>
      </c>
      <c r="C2">
        <v>22.48660658668458</v>
      </c>
      <c r="D2">
        <f>TableBOU[[#This Row],[ARIMAPP]]*$I$2+TableBOU[[#This Row],[LSTMPP]]*$I$3</f>
        <v>28.342776522196601</v>
      </c>
      <c r="E2">
        <v>36</v>
      </c>
      <c r="F2">
        <f>ABS(TableBOU[[#This Row],[PP]]-TableBOU[[#This Row],[AP]])</f>
        <v>7.6572234778033987</v>
      </c>
      <c r="H2" t="s">
        <v>0</v>
      </c>
      <c r="I2">
        <v>0.33913694204</v>
      </c>
    </row>
    <row r="3" spans="1:9" x14ac:dyDescent="0.2">
      <c r="A3" t="s">
        <v>33</v>
      </c>
      <c r="B3">
        <v>17.40427998806382</v>
      </c>
      <c r="C3">
        <v>14.53454871347123</v>
      </c>
      <c r="D3">
        <f>TableBOU[[#This Row],[ARIMAPP]]*$I$2+TableBOU[[#This Row],[LSTMPP]]*$I$3</f>
        <v>19.202383746503898</v>
      </c>
      <c r="E3">
        <v>31</v>
      </c>
      <c r="F3">
        <f>ABS(TableBOU[[#This Row],[PP]]-TableBOU[[#This Row],[AP]])</f>
        <v>11.797616253496102</v>
      </c>
      <c r="H3" t="s">
        <v>1</v>
      </c>
      <c r="I3">
        <v>0.91505761308</v>
      </c>
    </row>
    <row r="4" spans="1:9" x14ac:dyDescent="0.2">
      <c r="A4" t="s">
        <v>34</v>
      </c>
      <c r="B4">
        <v>54.250676397659653</v>
      </c>
      <c r="C4">
        <v>28.024474924190571</v>
      </c>
      <c r="D4">
        <f>TableBOU[[#This Row],[ARIMAPP]]*$I$2+TableBOU[[#This Row],[LSTMPP]]*$I$3</f>
        <v>44.042417629054036</v>
      </c>
      <c r="E4">
        <v>36</v>
      </c>
      <c r="F4">
        <f>ABS(TableBOU[[#This Row],[PP]]-TableBOU[[#This Row],[AP]])</f>
        <v>8.0424176290540359</v>
      </c>
    </row>
    <row r="5" spans="1:9" x14ac:dyDescent="0.2">
      <c r="A5" t="s">
        <v>35</v>
      </c>
      <c r="B5">
        <v>20.92592592592592</v>
      </c>
      <c r="C5">
        <v>17.264484660702159</v>
      </c>
      <c r="D5">
        <f>TableBOU[[#This Row],[ARIMAPP]]*$I$2+TableBOU[[#This Row],[LSTMPP]]*$I$3</f>
        <v>22.894752652552462</v>
      </c>
      <c r="E5">
        <v>23</v>
      </c>
      <c r="F5">
        <f>ABS(TableBOU[[#This Row],[PP]]-TableBOU[[#This Row],[AP]])</f>
        <v>0.10524734744753772</v>
      </c>
      <c r="H5" t="s">
        <v>2</v>
      </c>
      <c r="I5">
        <f>SUM(ABS(TableBOU[[#This Row],[PP]]-TableBOU[[#This Row],[AP]]))</f>
        <v>0.10524734744753772</v>
      </c>
    </row>
    <row r="6" spans="1:9" x14ac:dyDescent="0.2">
      <c r="A6" t="s">
        <v>36</v>
      </c>
      <c r="B6">
        <v>38.205128205128197</v>
      </c>
      <c r="C6">
        <v>34.257620910262453</v>
      </c>
      <c r="D6">
        <f>TableBOU[[#This Row],[ARIMAPP]]*$I$2+TableBOU[[#This Row],[LSTMPP]]*$I$3</f>
        <v>44.304467169677586</v>
      </c>
      <c r="E6">
        <v>23</v>
      </c>
      <c r="F6">
        <f>ABS(TableBOU[[#This Row],[PP]]-TableBOU[[#This Row],[AP]])</f>
        <v>21.304467169677586</v>
      </c>
    </row>
    <row r="7" spans="1:9" x14ac:dyDescent="0.2">
      <c r="A7" t="s">
        <v>37</v>
      </c>
      <c r="B7">
        <v>27.77549263480779</v>
      </c>
      <c r="C7">
        <v>19.03814265262546</v>
      </c>
      <c r="D7">
        <f>TableBOU[[#This Row],[ARIMAPP]]*$I$2+TableBOU[[#This Row],[LSTMPP]]*$I$3</f>
        <v>26.84069300901125</v>
      </c>
      <c r="E7">
        <v>40</v>
      </c>
      <c r="F7">
        <f>ABS(TableBOU[[#This Row],[PP]]-TableBOU[[#This Row],[AP]])</f>
        <v>13.15930699098875</v>
      </c>
      <c r="H7" t="s">
        <v>3</v>
      </c>
      <c r="I7">
        <f>AVERAGE(TableBOU[DIFF])/10</f>
        <v>1.1740449521839786</v>
      </c>
    </row>
    <row r="8" spans="1:9" x14ac:dyDescent="0.2">
      <c r="A8" t="s">
        <v>38</v>
      </c>
      <c r="B8">
        <v>36.763139466437799</v>
      </c>
      <c r="C8">
        <v>36.845256986149778</v>
      </c>
      <c r="D8">
        <f>TableBOU[[#This Row],[ARIMAPP]]*$I$2+TableBOU[[#This Row],[LSTMPP]]*$I$3</f>
        <v>46.183271609503166</v>
      </c>
      <c r="E8">
        <v>30</v>
      </c>
      <c r="F8">
        <f>ABS(TableBOU[[#This Row],[PP]]-TableBOU[[#This Row],[AP]])</f>
        <v>16.183271609503166</v>
      </c>
    </row>
    <row r="9" spans="1:9" x14ac:dyDescent="0.2">
      <c r="A9" t="s">
        <v>39</v>
      </c>
      <c r="B9">
        <v>23.44827586206895</v>
      </c>
      <c r="C9">
        <v>26.73058112828534</v>
      </c>
      <c r="D9">
        <f>TableBOU[[#This Row],[ARIMAPP]]*$I$2+TableBOU[[#This Row],[LSTMPP]]*$I$3</f>
        <v>32.412198335462485</v>
      </c>
      <c r="E9">
        <v>50</v>
      </c>
      <c r="F9">
        <f>ABS(TableBOU[[#This Row],[PP]]-TableBOU[[#This Row],[AP]])</f>
        <v>17.587801664537515</v>
      </c>
    </row>
    <row r="10" spans="1:9" x14ac:dyDescent="0.2">
      <c r="A10" t="s">
        <v>40</v>
      </c>
      <c r="B10">
        <v>19.285714285714281</v>
      </c>
      <c r="C10">
        <v>12.32655152873485</v>
      </c>
      <c r="D10">
        <f>TableBOU[[#This Row],[ARIMAPP]]*$I$2+TableBOU[[#This Row],[LSTMPP]]*$I$3</f>
        <v>17.820002987306019</v>
      </c>
      <c r="E10">
        <v>34</v>
      </c>
      <c r="F10">
        <f>ABS(TableBOU[[#This Row],[PP]]-TableBOU[[#This Row],[AP]])</f>
        <v>16.179997012693981</v>
      </c>
    </row>
    <row r="11" spans="1:9" x14ac:dyDescent="0.2">
      <c r="A11" t="s">
        <v>41</v>
      </c>
      <c r="B11">
        <v>24.444301957117599</v>
      </c>
      <c r="C11">
        <v>32.788129246878007</v>
      </c>
      <c r="D11">
        <f>TableBOU[[#This Row],[ARIMAPP]]*$I$2+TableBOU[[#This Row],[LSTMPP]]*$I$3</f>
        <v>38.292993102045976</v>
      </c>
      <c r="E11">
        <v>45</v>
      </c>
      <c r="F11">
        <f>ABS(TableBOU[[#This Row],[PP]]-TableBOU[[#This Row],[AP]])</f>
        <v>6.7070068979540238</v>
      </c>
    </row>
    <row r="12" spans="1:9" x14ac:dyDescent="0.2">
      <c r="A12" t="s">
        <v>42</v>
      </c>
      <c r="B12">
        <v>20</v>
      </c>
      <c r="C12">
        <v>6.334762302678822</v>
      </c>
      <c r="D12">
        <f>TableBOU[[#This Row],[ARIMAPP]]*$I$2+TableBOU[[#This Row],[LSTMPP]]*$I$3</f>
        <v>12.579411312918449</v>
      </c>
      <c r="E12">
        <v>23</v>
      </c>
      <c r="F12">
        <f>ABS(TableBOU[[#This Row],[PP]]-TableBOU[[#This Row],[AP]])</f>
        <v>10.420588687081551</v>
      </c>
    </row>
  </sheetData>
  <conditionalFormatting sqref="I7">
    <cfRule type="colorScale" priority="1">
      <colorScale>
        <cfvo type="num" val="0"/>
        <cfvo type="num" val="1"/>
        <cfvo type="num" val="2"/>
        <color rgb="FF00FF00"/>
        <color rgb="FFFFFF00"/>
        <color rgb="FFFF0000"/>
      </colorScale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2"/>
  <sheetViews>
    <sheetView workbookViewId="0">
      <selection activeCell="I3" sqref="I3"/>
    </sheetView>
  </sheetViews>
  <sheetFormatPr baseColWidth="10" defaultColWidth="8.83203125" defaultRowHeight="15" x14ac:dyDescent="0.2"/>
  <cols>
    <col min="2" max="3" width="0" hidden="1" customWidth="1"/>
  </cols>
  <sheetData>
    <row r="1" spans="1:9" x14ac:dyDescent="0.2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9" x14ac:dyDescent="0.2">
      <c r="A2" t="s">
        <v>43</v>
      </c>
      <c r="B2">
        <v>29.154929577464799</v>
      </c>
      <c r="C2">
        <v>33.58450145584937</v>
      </c>
      <c r="D2">
        <f>TableBRE[[#This Row],[ARIMAPP]]*$I$2+TableBRE[[#This Row],[LSTMPP]]*$I$3</f>
        <v>32.482408322856315</v>
      </c>
      <c r="E2">
        <v>25</v>
      </c>
      <c r="F2">
        <f>ABS(TableBRE[[#This Row],[PP]]-TableBRE[[#This Row],[AP]])</f>
        <v>7.4824083228563154</v>
      </c>
      <c r="H2" t="s">
        <v>0</v>
      </c>
      <c r="I2">
        <v>0.84607370170999996</v>
      </c>
    </row>
    <row r="3" spans="1:9" x14ac:dyDescent="0.2">
      <c r="A3" t="s">
        <v>44</v>
      </c>
      <c r="B3">
        <v>31.866666666666649</v>
      </c>
      <c r="C3">
        <v>31.57727379499816</v>
      </c>
      <c r="D3">
        <f>TableBRE[[#This Row],[ARIMAPP]]*$I$2+TableBRE[[#This Row],[LSTMPP]]*$I$3</f>
        <v>34.309651362362473</v>
      </c>
      <c r="E3">
        <v>26</v>
      </c>
      <c r="F3">
        <f>ABS(TableBRE[[#This Row],[PP]]-TableBRE[[#This Row],[AP]])</f>
        <v>8.309651362362473</v>
      </c>
      <c r="H3" t="s">
        <v>1</v>
      </c>
      <c r="I3">
        <v>0.23270225233</v>
      </c>
    </row>
    <row r="4" spans="1:9" x14ac:dyDescent="0.2">
      <c r="A4" t="s">
        <v>45</v>
      </c>
      <c r="B4">
        <v>23.61785757031581</v>
      </c>
      <c r="C4">
        <v>28.268841847954189</v>
      </c>
      <c r="D4">
        <f>TableBRE[[#This Row],[ARIMAPP]]*$I$2+TableBRE[[#This Row],[LSTMPP]]*$I$3</f>
        <v>26.560671349756142</v>
      </c>
      <c r="E4">
        <v>22</v>
      </c>
      <c r="F4">
        <f>ABS(TableBRE[[#This Row],[PP]]-TableBRE[[#This Row],[AP]])</f>
        <v>4.5606713497561415</v>
      </c>
    </row>
    <row r="5" spans="1:9" x14ac:dyDescent="0.2">
      <c r="A5" t="s">
        <v>46</v>
      </c>
      <c r="B5">
        <v>40</v>
      </c>
      <c r="C5">
        <v>33.824152411078231</v>
      </c>
      <c r="D5">
        <f>TableBRE[[#This Row],[ARIMAPP]]*$I$2+TableBRE[[#This Row],[LSTMPP]]*$I$3</f>
        <v>41.713904517611105</v>
      </c>
      <c r="E5">
        <v>37</v>
      </c>
      <c r="F5">
        <f>ABS(TableBRE[[#This Row],[PP]]-TableBRE[[#This Row],[AP]])</f>
        <v>4.7139045176111054</v>
      </c>
      <c r="H5" t="s">
        <v>2</v>
      </c>
      <c r="I5">
        <f>SUM(ABS(TableBRE[[#This Row],[PP]]-TableBRE[[#This Row],[AP]]))</f>
        <v>4.7139045176111054</v>
      </c>
    </row>
    <row r="6" spans="1:9" x14ac:dyDescent="0.2">
      <c r="A6" t="s">
        <v>47</v>
      </c>
      <c r="B6">
        <v>28.16326530612244</v>
      </c>
      <c r="C6">
        <v>19.140477616946271</v>
      </c>
      <c r="D6">
        <f>TableBRE[[#This Row],[ARIMAPP]]*$I$2+TableBRE[[#This Row],[LSTMPP]]*$I$3</f>
        <v>28.282230381927178</v>
      </c>
      <c r="E6">
        <v>34</v>
      </c>
      <c r="F6">
        <f>ABS(TableBRE[[#This Row],[PP]]-TableBRE[[#This Row],[AP]])</f>
        <v>5.7177696180728219</v>
      </c>
    </row>
    <row r="7" spans="1:9" x14ac:dyDescent="0.2">
      <c r="A7" t="s">
        <v>48</v>
      </c>
      <c r="B7">
        <v>31.519051680827928</v>
      </c>
      <c r="C7">
        <v>35.525530000419337</v>
      </c>
      <c r="D7">
        <f>TableBRE[[#This Row],[ARIMAPP]]*$I$2+TableBRE[[#This Row],[LSTMPP]]*$I$3</f>
        <v>34.934311576301447</v>
      </c>
      <c r="E7">
        <v>39</v>
      </c>
      <c r="F7">
        <f>ABS(TableBRE[[#This Row],[PP]]-TableBRE[[#This Row],[AP]])</f>
        <v>4.0656884236985533</v>
      </c>
      <c r="H7" t="s">
        <v>3</v>
      </c>
      <c r="I7">
        <f>AVERAGE(TableBRE[DIFF])/10</f>
        <v>0.72337962362080777</v>
      </c>
    </row>
    <row r="8" spans="1:9" x14ac:dyDescent="0.2">
      <c r="A8" t="s">
        <v>49</v>
      </c>
      <c r="B8">
        <v>31.72137586937253</v>
      </c>
      <c r="C8">
        <v>24.5625865012642</v>
      </c>
      <c r="D8">
        <f>TableBRE[[#This Row],[ARIMAPP]]*$I$2+TableBRE[[#This Row],[LSTMPP]]*$I$3</f>
        <v>32.55439110702892</v>
      </c>
      <c r="E8">
        <v>23</v>
      </c>
      <c r="F8">
        <f>ABS(TableBRE[[#This Row],[PP]]-TableBRE[[#This Row],[AP]])</f>
        <v>9.5543911070289198</v>
      </c>
    </row>
    <row r="9" spans="1:9" x14ac:dyDescent="0.2">
      <c r="A9" t="s">
        <v>50</v>
      </c>
      <c r="B9">
        <v>18.833333333333339</v>
      </c>
      <c r="C9">
        <v>16.682775702586159</v>
      </c>
      <c r="D9">
        <f>TableBRE[[#This Row],[ARIMAPP]]*$I$2+TableBRE[[#This Row],[LSTMPP]]*$I$3</f>
        <v>19.816507529979667</v>
      </c>
      <c r="E9">
        <v>33</v>
      </c>
      <c r="F9">
        <f>ABS(TableBRE[[#This Row],[PP]]-TableBRE[[#This Row],[AP]])</f>
        <v>13.183492470020333</v>
      </c>
    </row>
    <row r="10" spans="1:9" x14ac:dyDescent="0.2">
      <c r="A10" t="s">
        <v>51</v>
      </c>
      <c r="B10">
        <v>23.75</v>
      </c>
      <c r="C10">
        <v>20.38101625175717</v>
      </c>
      <c r="D10">
        <f>TableBRE[[#This Row],[ARIMAPP]]*$I$2+TableBRE[[#This Row],[LSTMPP]]*$I$3</f>
        <v>24.836958802170727</v>
      </c>
      <c r="E10">
        <v>30</v>
      </c>
      <c r="F10">
        <f>ABS(TableBRE[[#This Row],[PP]]-TableBRE[[#This Row],[AP]])</f>
        <v>5.1630411978292727</v>
      </c>
    </row>
    <row r="11" spans="1:9" x14ac:dyDescent="0.2">
      <c r="A11" t="s">
        <v>52</v>
      </c>
      <c r="B11">
        <v>18.080517001809319</v>
      </c>
      <c r="C11">
        <v>24.874604768506</v>
      </c>
      <c r="D11">
        <f>TableBRE[[#This Row],[ARIMAPP]]*$I$2+TableBRE[[#This Row],[LSTMPP]]*$I$3</f>
        <v>21.085826504001304</v>
      </c>
      <c r="E11">
        <v>28</v>
      </c>
      <c r="F11">
        <f>ABS(TableBRE[[#This Row],[PP]]-TableBRE[[#This Row],[AP]])</f>
        <v>6.9141734959986962</v>
      </c>
    </row>
    <row r="12" spans="1:9" x14ac:dyDescent="0.2">
      <c r="A12" t="s">
        <v>53</v>
      </c>
      <c r="B12">
        <v>30</v>
      </c>
      <c r="C12">
        <v>28.84038357363405</v>
      </c>
      <c r="D12">
        <f>TableBRE[[#This Row],[ARIMAPP]]*$I$2+TableBRE[[#This Row],[LSTMPP]]*$I$3</f>
        <v>32.093433266945773</v>
      </c>
      <c r="E12">
        <v>42</v>
      </c>
      <c r="F12">
        <f>ABS(TableBRE[[#This Row],[PP]]-TableBRE[[#This Row],[AP]])</f>
        <v>9.9065667330542269</v>
      </c>
    </row>
  </sheetData>
  <conditionalFormatting sqref="I7">
    <cfRule type="colorScale" priority="1">
      <colorScale>
        <cfvo type="num" val="0"/>
        <cfvo type="num" val="1"/>
        <cfvo type="num" val="2"/>
        <color rgb="FF00FF00"/>
        <color rgb="FFFFFF00"/>
        <color rgb="FFFF0000"/>
      </colorScale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8"/>
  <sheetViews>
    <sheetView workbookViewId="0">
      <selection activeCell="I3" sqref="I3"/>
    </sheetView>
  </sheetViews>
  <sheetFormatPr baseColWidth="10" defaultColWidth="8.83203125" defaultRowHeight="15" x14ac:dyDescent="0.2"/>
  <cols>
    <col min="2" max="3" width="0" hidden="1" customWidth="1"/>
  </cols>
  <sheetData>
    <row r="1" spans="1:9" x14ac:dyDescent="0.2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9" x14ac:dyDescent="0.2">
      <c r="A2" t="s">
        <v>54</v>
      </c>
      <c r="B2">
        <v>31.491712707182309</v>
      </c>
      <c r="C2">
        <v>29.824231889210399</v>
      </c>
      <c r="D2">
        <f>TableBHA[[#This Row],[ARIMAPP]]*$I$2+TableBHA[[#This Row],[LSTMPP]]*$I$3</f>
        <v>26.172854636436892</v>
      </c>
      <c r="E2">
        <v>37</v>
      </c>
      <c r="F2">
        <f>ABS(TableBHA[[#This Row],[PP]]-TableBHA[[#This Row],[AP]])</f>
        <v>10.827145363563108</v>
      </c>
      <c r="H2" t="s">
        <v>0</v>
      </c>
      <c r="I2">
        <v>0.4104193988</v>
      </c>
    </row>
    <row r="3" spans="1:9" x14ac:dyDescent="0.2">
      <c r="A3" t="s">
        <v>55</v>
      </c>
      <c r="B3">
        <v>46.471067455461601</v>
      </c>
      <c r="C3">
        <v>29.713378163937211</v>
      </c>
      <c r="D3">
        <f>TableBHA[[#This Row],[ARIMAPP]]*$I$2+TableBHA[[#This Row],[LSTMPP]]*$I$3</f>
        <v>32.271430731996908</v>
      </c>
      <c r="E3">
        <v>31</v>
      </c>
      <c r="F3">
        <f>ABS(TableBHA[[#This Row],[PP]]-TableBHA[[#This Row],[AP]])</f>
        <v>1.271430731996908</v>
      </c>
      <c r="H3" t="s">
        <v>1</v>
      </c>
      <c r="I3">
        <v>0.44420405826999998</v>
      </c>
    </row>
    <row r="4" spans="1:9" x14ac:dyDescent="0.2">
      <c r="A4" t="s">
        <v>56</v>
      </c>
      <c r="B4">
        <v>30.604098505026769</v>
      </c>
      <c r="C4">
        <v>31.727708796620149</v>
      </c>
      <c r="D4">
        <f>TableBHA[[#This Row],[ARIMAPP]]*$I$2+TableBHA[[#This Row],[LSTMPP]]*$I$3</f>
        <v>26.654092716316512</v>
      </c>
      <c r="E4">
        <v>25</v>
      </c>
      <c r="F4">
        <f>ABS(TableBHA[[#This Row],[PP]]-TableBHA[[#This Row],[AP]])</f>
        <v>1.6540927163165122</v>
      </c>
    </row>
    <row r="5" spans="1:9" x14ac:dyDescent="0.2">
      <c r="A5" t="s">
        <v>57</v>
      </c>
      <c r="B5">
        <v>46.033150476145217</v>
      </c>
      <c r="C5">
        <v>21.310893262383349</v>
      </c>
      <c r="D5">
        <f>TableBHA[[#This Row],[ARIMAPP]]*$I$2+TableBHA[[#This Row],[LSTMPP]]*$I$3</f>
        <v>28.359283215798939</v>
      </c>
      <c r="E5">
        <v>28</v>
      </c>
      <c r="F5">
        <f>ABS(TableBHA[[#This Row],[PP]]-TableBHA[[#This Row],[AP]])</f>
        <v>0.35928321579893918</v>
      </c>
      <c r="H5" t="s">
        <v>2</v>
      </c>
      <c r="I5">
        <f>SUM(ABS(TableBHA[[#This Row],[PP]]-TableBHA[[#This Row],[AP]]))</f>
        <v>0.35928321579893918</v>
      </c>
    </row>
    <row r="6" spans="1:9" x14ac:dyDescent="0.2">
      <c r="A6" t="s">
        <v>58</v>
      </c>
      <c r="B6">
        <v>17.3393630080446</v>
      </c>
      <c r="C6">
        <v>12.031051523670699</v>
      </c>
      <c r="D6">
        <f>TableBHA[[#This Row],[ARIMAPP]]*$I$2+TableBHA[[#This Row],[LSTMPP]]*$I$3</f>
        <v>12.460652853406616</v>
      </c>
      <c r="E6">
        <v>24</v>
      </c>
      <c r="F6">
        <f>ABS(TableBHA[[#This Row],[PP]]-TableBHA[[#This Row],[AP]])</f>
        <v>11.539347146593384</v>
      </c>
    </row>
    <row r="7" spans="1:9" x14ac:dyDescent="0.2">
      <c r="A7" t="s">
        <v>59</v>
      </c>
      <c r="B7">
        <v>22</v>
      </c>
      <c r="C7">
        <v>22.32508898107907</v>
      </c>
      <c r="D7">
        <f>TableBHA[[#This Row],[ARIMAPP]]*$I$2+TableBHA[[#This Row],[LSTMPP]]*$I$3</f>
        <v>18.946121900234182</v>
      </c>
      <c r="E7">
        <v>22</v>
      </c>
      <c r="F7">
        <f>ABS(TableBHA[[#This Row],[PP]]-TableBHA[[#This Row],[AP]])</f>
        <v>3.0538780997658179</v>
      </c>
      <c r="H7" t="s">
        <v>3</v>
      </c>
      <c r="I7">
        <f>AVERAGE(TableBHA[DIFF])/10</f>
        <v>0.5833529305650359</v>
      </c>
    </row>
    <row r="8" spans="1:9" x14ac:dyDescent="0.2">
      <c r="A8" t="s">
        <v>60</v>
      </c>
      <c r="B8">
        <v>39.73690532468467</v>
      </c>
      <c r="C8">
        <v>35.615908448931698</v>
      </c>
      <c r="D8">
        <f>TableBHA[[#This Row],[ARIMAPP]]*$I$2+TableBHA[[#This Row],[LSTMPP]]*$I$3</f>
        <v>32.129527865517844</v>
      </c>
      <c r="E8">
        <v>20</v>
      </c>
      <c r="F8">
        <f>ABS(TableBHA[[#This Row],[PP]]-TableBHA[[#This Row],[AP]])</f>
        <v>12.129527865517844</v>
      </c>
    </row>
  </sheetData>
  <conditionalFormatting sqref="I7">
    <cfRule type="colorScale" priority="1">
      <colorScale>
        <cfvo type="num" val="0"/>
        <cfvo type="num" val="1"/>
        <cfvo type="num" val="2"/>
        <color rgb="FF00FF00"/>
        <color rgb="FFFFFF00"/>
        <color rgb="FFFF0000"/>
      </colorScale>
    </cfRule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7"/>
  <sheetViews>
    <sheetView workbookViewId="0">
      <selection activeCell="I2" sqref="I2"/>
    </sheetView>
  </sheetViews>
  <sheetFormatPr baseColWidth="10" defaultColWidth="8.83203125" defaultRowHeight="15" x14ac:dyDescent="0.2"/>
  <cols>
    <col min="2" max="3" width="0" hidden="1" customWidth="1"/>
  </cols>
  <sheetData>
    <row r="1" spans="1:9" x14ac:dyDescent="0.2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9" x14ac:dyDescent="0.2">
      <c r="A2" t="s">
        <v>61</v>
      </c>
      <c r="B2">
        <v>23.660261486705721</v>
      </c>
      <c r="C2">
        <v>22.0434073404959</v>
      </c>
      <c r="D2">
        <f>TableBUR[[#This Row],[ARIMAPP]]*$I$2+TableBUR[[#This Row],[LSTMPP]]*$I$3</f>
        <v>27.059676204360677</v>
      </c>
      <c r="E2">
        <v>21</v>
      </c>
      <c r="F2">
        <f>ABS(TableBUR[[#This Row],[PP]]-TableBUR[[#This Row],[AP]])</f>
        <v>6.0596762043606773</v>
      </c>
      <c r="H2" t="s">
        <v>0</v>
      </c>
      <c r="I2">
        <v>1.1436761262999999</v>
      </c>
    </row>
    <row r="3" spans="1:9" x14ac:dyDescent="0.2">
      <c r="A3" t="s">
        <v>62</v>
      </c>
      <c r="B3">
        <v>15.744680851063819</v>
      </c>
      <c r="C3">
        <v>12.223240919007671</v>
      </c>
      <c r="D3">
        <f>TableBUR[[#This Row],[ARIMAPP]]*$I$2+TableBUR[[#This Row],[LSTMPP]]*$I$3</f>
        <v>18.006815605574456</v>
      </c>
      <c r="E3">
        <v>26</v>
      </c>
      <c r="F3">
        <f>ABS(TableBUR[[#This Row],[PP]]-TableBUR[[#This Row],[AP]])</f>
        <v>7.9931843944255441</v>
      </c>
      <c r="H3" t="s">
        <v>1</v>
      </c>
      <c r="I3">
        <v>0</v>
      </c>
    </row>
    <row r="4" spans="1:9" x14ac:dyDescent="0.2">
      <c r="A4" t="s">
        <v>63</v>
      </c>
      <c r="B4">
        <v>17.368421052631579</v>
      </c>
      <c r="C4">
        <v>18.465756312147469</v>
      </c>
      <c r="D4">
        <f>TableBUR[[#This Row],[ARIMAPP]]*$I$2+TableBUR[[#This Row],[LSTMPP]]*$I$3</f>
        <v>19.86384850942105</v>
      </c>
      <c r="E4">
        <v>40</v>
      </c>
      <c r="F4">
        <f>ABS(TableBUR[[#This Row],[PP]]-TableBUR[[#This Row],[AP]])</f>
        <v>20.13615149057895</v>
      </c>
    </row>
    <row r="5" spans="1:9" x14ac:dyDescent="0.2">
      <c r="A5" t="s">
        <v>64</v>
      </c>
      <c r="B5">
        <v>31.17647058823529</v>
      </c>
      <c r="C5">
        <v>31.573541946768831</v>
      </c>
      <c r="D5">
        <f>TableBUR[[#This Row],[ARIMAPP]]*$I$2+TableBUR[[#This Row],[LSTMPP]]*$I$3</f>
        <v>35.655785114058816</v>
      </c>
      <c r="E5">
        <v>25</v>
      </c>
      <c r="F5">
        <f>ABS(TableBUR[[#This Row],[PP]]-TableBUR[[#This Row],[AP]])</f>
        <v>10.655785114058816</v>
      </c>
      <c r="H5" t="s">
        <v>2</v>
      </c>
      <c r="I5">
        <f>SUM(ABS(TableBUR[[#This Row],[PP]]-TableBUR[[#This Row],[AP]]))</f>
        <v>10.655785114058816</v>
      </c>
    </row>
    <row r="7" spans="1:9" x14ac:dyDescent="0.2">
      <c r="H7" t="s">
        <v>3</v>
      </c>
      <c r="I7">
        <f>AVERAGE(TableBUR[DIFF])/10</f>
        <v>1.1211199300855996</v>
      </c>
    </row>
  </sheetData>
  <conditionalFormatting sqref="I7">
    <cfRule type="colorScale" priority="1">
      <colorScale>
        <cfvo type="num" val="0"/>
        <cfvo type="num" val="1"/>
        <cfvo type="num" val="2"/>
        <color rgb="FF00FF00"/>
        <color rgb="FFFFFF00"/>
        <color rgb="FFFF0000"/>
      </colorScale>
    </cfRule>
  </conditionalFormatting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0"/>
  <sheetViews>
    <sheetView workbookViewId="0">
      <selection activeCell="I2" sqref="I2"/>
    </sheetView>
  </sheetViews>
  <sheetFormatPr baseColWidth="10" defaultColWidth="8.83203125" defaultRowHeight="15" x14ac:dyDescent="0.2"/>
  <cols>
    <col min="2" max="3" width="0" hidden="1" customWidth="1"/>
  </cols>
  <sheetData>
    <row r="1" spans="1:9" x14ac:dyDescent="0.2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9" x14ac:dyDescent="0.2">
      <c r="A2" t="s">
        <v>65</v>
      </c>
      <c r="B2">
        <v>43.66596899316071</v>
      </c>
      <c r="C2">
        <v>52.217089418234387</v>
      </c>
      <c r="D2">
        <f>TableCHE[[#This Row],[ARIMAPP]]*$I$2+TableCHE[[#This Row],[LSTMPP]]*$I$3</f>
        <v>57.06826038976731</v>
      </c>
      <c r="E2">
        <v>27</v>
      </c>
      <c r="F2">
        <f>ABS(TableCHE[[#This Row],[PP]]-TableCHE[[#This Row],[AP]])</f>
        <v>30.06826038976731</v>
      </c>
      <c r="H2" t="s">
        <v>0</v>
      </c>
      <c r="I2">
        <v>1.3069276076</v>
      </c>
    </row>
    <row r="3" spans="1:9" x14ac:dyDescent="0.2">
      <c r="A3" t="s">
        <v>66</v>
      </c>
      <c r="B3">
        <v>30.075951392301281</v>
      </c>
      <c r="C3">
        <v>25.59535102724249</v>
      </c>
      <c r="D3">
        <f>TableCHE[[#This Row],[ARIMAPP]]*$I$2+TableCHE[[#This Row],[LSTMPP]]*$I$3</f>
        <v>39.307091199434204</v>
      </c>
      <c r="E3">
        <v>41</v>
      </c>
      <c r="F3">
        <f>ABS(TableCHE[[#This Row],[PP]]-TableCHE[[#This Row],[AP]])</f>
        <v>1.692908800565796</v>
      </c>
      <c r="H3" t="s">
        <v>1</v>
      </c>
      <c r="I3">
        <v>0</v>
      </c>
    </row>
    <row r="4" spans="1:9" x14ac:dyDescent="0.2">
      <c r="A4" t="s">
        <v>67</v>
      </c>
      <c r="B4">
        <v>70.98821394253774</v>
      </c>
      <c r="C4">
        <v>26.10548010977395</v>
      </c>
      <c r="D4">
        <f>TableCHE[[#This Row],[ARIMAPP]]*$I$2+TableCHE[[#This Row],[LSTMPP]]*$I$3</f>
        <v>92.776456615717819</v>
      </c>
      <c r="E4">
        <v>110</v>
      </c>
      <c r="F4">
        <f>ABS(TableCHE[[#This Row],[PP]]-TableCHE[[#This Row],[AP]])</f>
        <v>17.223543384282181</v>
      </c>
    </row>
    <row r="5" spans="1:9" x14ac:dyDescent="0.2">
      <c r="A5" t="s">
        <v>68</v>
      </c>
      <c r="B5">
        <v>33.287671232876733</v>
      </c>
      <c r="C5">
        <v>30.620582871116252</v>
      </c>
      <c r="D5">
        <f>TableCHE[[#This Row],[ARIMAPP]]*$I$2+TableCHE[[#This Row],[LSTMPP]]*$I$3</f>
        <v>43.504576526958935</v>
      </c>
      <c r="E5">
        <v>44</v>
      </c>
      <c r="F5">
        <f>ABS(TableCHE[[#This Row],[PP]]-TableCHE[[#This Row],[AP]])</f>
        <v>0.49542347304106471</v>
      </c>
      <c r="H5" t="s">
        <v>2</v>
      </c>
      <c r="I5">
        <f>SUM(ABS(TableCHE[[#This Row],[PP]]-TableCHE[[#This Row],[AP]]))</f>
        <v>0.49542347304106471</v>
      </c>
    </row>
    <row r="6" spans="1:9" x14ac:dyDescent="0.2">
      <c r="A6" t="s">
        <v>69</v>
      </c>
      <c r="B6">
        <v>28.275862068965509</v>
      </c>
      <c r="C6">
        <v>17.666178334032921</v>
      </c>
      <c r="D6">
        <f>TableCHE[[#This Row],[ARIMAPP]]*$I$2+TableCHE[[#This Row],[LSTMPP]]*$I$3</f>
        <v>36.95450476662068</v>
      </c>
      <c r="E6">
        <v>23</v>
      </c>
      <c r="F6">
        <f>ABS(TableCHE[[#This Row],[PP]]-TableCHE[[#This Row],[AP]])</f>
        <v>13.95450476662068</v>
      </c>
    </row>
    <row r="7" spans="1:9" x14ac:dyDescent="0.2">
      <c r="A7" t="s">
        <v>70</v>
      </c>
      <c r="B7">
        <v>20.943396226415089</v>
      </c>
      <c r="C7">
        <v>18.326066237133919</v>
      </c>
      <c r="D7">
        <f>TableCHE[[#This Row],[ARIMAPP]]*$I$2+TableCHE[[#This Row],[LSTMPP]]*$I$3</f>
        <v>27.371502725207542</v>
      </c>
      <c r="E7">
        <v>23</v>
      </c>
      <c r="F7">
        <f>ABS(TableCHE[[#This Row],[PP]]-TableCHE[[#This Row],[AP]])</f>
        <v>4.3715027252075416</v>
      </c>
      <c r="H7" t="s">
        <v>3</v>
      </c>
      <c r="I7">
        <f>AVERAGE(TableCHE[DIFF])/10</f>
        <v>1.0534726557055929</v>
      </c>
    </row>
    <row r="8" spans="1:9" x14ac:dyDescent="0.2">
      <c r="A8" t="s">
        <v>71</v>
      </c>
      <c r="B8">
        <v>25.161290322580641</v>
      </c>
      <c r="C8">
        <v>25.667091764996972</v>
      </c>
      <c r="D8">
        <f>TableCHE[[#This Row],[ARIMAPP]]*$I$2+TableCHE[[#This Row],[LSTMPP]]*$I$3</f>
        <v>32.883984965419351</v>
      </c>
      <c r="E8">
        <v>30</v>
      </c>
      <c r="F8">
        <f>ABS(TableCHE[[#This Row],[PP]]-TableCHE[[#This Row],[AP]])</f>
        <v>2.8839849654193515</v>
      </c>
    </row>
    <row r="9" spans="1:9" x14ac:dyDescent="0.2">
      <c r="A9" t="s">
        <v>72</v>
      </c>
      <c r="B9">
        <v>25.588235294117641</v>
      </c>
      <c r="C9">
        <v>22.835829312152288</v>
      </c>
      <c r="D9">
        <f>TableCHE[[#This Row],[ARIMAPP]]*$I$2+TableCHE[[#This Row],[LSTMPP]]*$I$3</f>
        <v>33.441971135647051</v>
      </c>
      <c r="E9">
        <v>30</v>
      </c>
      <c r="F9">
        <f>ABS(TableCHE[[#This Row],[PP]]-TableCHE[[#This Row],[AP]])</f>
        <v>3.4419711356470515</v>
      </c>
    </row>
    <row r="10" spans="1:9" x14ac:dyDescent="0.2">
      <c r="A10" t="s">
        <v>73</v>
      </c>
      <c r="B10">
        <v>32.380952380952372</v>
      </c>
      <c r="C10">
        <v>32.44831553498512</v>
      </c>
      <c r="D10">
        <f>TableCHE[[#This Row],[ARIMAPP]]*$I$2+TableCHE[[#This Row],[LSTMPP]]*$I$3</f>
        <v>42.319560627047608</v>
      </c>
      <c r="E10">
        <v>63</v>
      </c>
      <c r="F10">
        <f>ABS(TableCHE[[#This Row],[PP]]-TableCHE[[#This Row],[AP]])</f>
        <v>20.680439372952392</v>
      </c>
    </row>
  </sheetData>
  <conditionalFormatting sqref="I7">
    <cfRule type="colorScale" priority="1">
      <colorScale>
        <cfvo type="num" val="0"/>
        <cfvo type="num" val="1"/>
        <cfvo type="num" val="2"/>
        <color rgb="FF00FF00"/>
        <color rgb="FFFFFF00"/>
        <color rgb="FFFF0000"/>
      </colorScale>
    </cfRule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9"/>
  <sheetViews>
    <sheetView workbookViewId="0">
      <selection activeCell="I2" sqref="I2"/>
    </sheetView>
  </sheetViews>
  <sheetFormatPr baseColWidth="10" defaultColWidth="8.83203125" defaultRowHeight="15" x14ac:dyDescent="0.2"/>
  <cols>
    <col min="2" max="3" width="0" hidden="1" customWidth="1"/>
  </cols>
  <sheetData>
    <row r="1" spans="1:9" x14ac:dyDescent="0.2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9" x14ac:dyDescent="0.2">
      <c r="A2" t="s">
        <v>74</v>
      </c>
      <c r="B2">
        <v>26.710526315789451</v>
      </c>
      <c r="C2">
        <v>23.12869470171642</v>
      </c>
      <c r="D2">
        <f>TableCRY[[#This Row],[ARIMAPP]]*$I$2+TableCRY[[#This Row],[LSTMPP]]*$I$3</f>
        <v>35.360419654460493</v>
      </c>
      <c r="E2">
        <v>21</v>
      </c>
      <c r="F2">
        <f>ABS(TableCRY[[#This Row],[PP]]-TableCRY[[#This Row],[AP]])</f>
        <v>14.360419654460493</v>
      </c>
      <c r="H2" t="s">
        <v>0</v>
      </c>
      <c r="I2">
        <v>1.3238383712999999</v>
      </c>
    </row>
    <row r="3" spans="1:9" x14ac:dyDescent="0.2">
      <c r="A3" t="s">
        <v>75</v>
      </c>
      <c r="B3">
        <v>18.240690698892749</v>
      </c>
      <c r="C3">
        <v>18.342237640066951</v>
      </c>
      <c r="D3">
        <f>TableCRY[[#This Row],[ARIMAPP]]*$I$2+TableCRY[[#This Row],[LSTMPP]]*$I$3</f>
        <v>24.147726266209233</v>
      </c>
      <c r="E3">
        <v>24</v>
      </c>
      <c r="F3">
        <f>ABS(TableCRY[[#This Row],[PP]]-TableCRY[[#This Row],[AP]])</f>
        <v>0.1477262662092329</v>
      </c>
      <c r="H3" t="s">
        <v>1</v>
      </c>
      <c r="I3">
        <v>0</v>
      </c>
    </row>
    <row r="4" spans="1:9" x14ac:dyDescent="0.2">
      <c r="A4" t="s">
        <v>76</v>
      </c>
      <c r="B4">
        <v>27.79661016949149</v>
      </c>
      <c r="C4">
        <v>25.340365642351362</v>
      </c>
      <c r="D4">
        <f>TableCRY[[#This Row],[ARIMAPP]]*$I$2+TableCRY[[#This Row],[LSTMPP]]*$I$3</f>
        <v>36.798219134440629</v>
      </c>
      <c r="E4">
        <v>35</v>
      </c>
      <c r="F4">
        <f>ABS(TableCRY[[#This Row],[PP]]-TableCRY[[#This Row],[AP]])</f>
        <v>1.7982191344406289</v>
      </c>
    </row>
    <row r="5" spans="1:9" x14ac:dyDescent="0.2">
      <c r="A5" t="s">
        <v>77</v>
      </c>
      <c r="B5">
        <v>29.724877757429208</v>
      </c>
      <c r="C5">
        <v>27.68373785551643</v>
      </c>
      <c r="D5">
        <f>TableCRY[[#This Row],[ARIMAPP]]*$I$2+TableCRY[[#This Row],[LSTMPP]]*$I$3</f>
        <v>39.350933757486679</v>
      </c>
      <c r="E5">
        <v>45</v>
      </c>
      <c r="F5">
        <f>ABS(TableCRY[[#This Row],[PP]]-TableCRY[[#This Row],[AP]])</f>
        <v>5.6490662425133209</v>
      </c>
      <c r="H5" t="s">
        <v>2</v>
      </c>
      <c r="I5">
        <f>SUM(ABS(TableCRY[[#This Row],[PP]]-TableCRY[[#This Row],[AP]]))</f>
        <v>5.6490662425133209</v>
      </c>
    </row>
    <row r="6" spans="1:9" x14ac:dyDescent="0.2">
      <c r="A6" t="s">
        <v>78</v>
      </c>
      <c r="B6">
        <v>36.489361702127667</v>
      </c>
      <c r="C6">
        <v>31.216942150251771</v>
      </c>
      <c r="D6">
        <f>TableCRY[[#This Row],[ARIMAPP]]*$I$2+TableCRY[[#This Row],[LSTMPP]]*$I$3</f>
        <v>48.306017165521283</v>
      </c>
      <c r="E6">
        <v>50</v>
      </c>
      <c r="F6">
        <f>ABS(TableCRY[[#This Row],[PP]]-TableCRY[[#This Row],[AP]])</f>
        <v>1.6939828344787173</v>
      </c>
    </row>
    <row r="7" spans="1:9" x14ac:dyDescent="0.2">
      <c r="A7" t="s">
        <v>79</v>
      </c>
      <c r="B7">
        <v>27.75976851234266</v>
      </c>
      <c r="C7">
        <v>29.16492680997785</v>
      </c>
      <c r="D7">
        <f>TableCRY[[#This Row],[ARIMAPP]]*$I$2+TableCRY[[#This Row],[LSTMPP]]*$I$3</f>
        <v>36.749446735044728</v>
      </c>
      <c r="E7">
        <v>34</v>
      </c>
      <c r="F7">
        <f>ABS(TableCRY[[#This Row],[PP]]-TableCRY[[#This Row],[AP]])</f>
        <v>2.749446735044728</v>
      </c>
      <c r="H7" t="s">
        <v>3</v>
      </c>
      <c r="I7">
        <f>AVERAGE(TableCRY[DIFF])/10</f>
        <v>0.76894223269610529</v>
      </c>
    </row>
    <row r="8" spans="1:9" x14ac:dyDescent="0.2">
      <c r="A8" t="s">
        <v>80</v>
      </c>
      <c r="B8">
        <v>23.116883116883109</v>
      </c>
      <c r="C8">
        <v>20.980417628899939</v>
      </c>
      <c r="D8">
        <f>TableCRY[[#This Row],[ARIMAPP]]*$I$2+TableCRY[[#This Row],[LSTMPP]]*$I$3</f>
        <v>30.603016894987</v>
      </c>
      <c r="E8">
        <v>55</v>
      </c>
      <c r="F8">
        <f>ABS(TableCRY[[#This Row],[PP]]-TableCRY[[#This Row],[AP]])</f>
        <v>24.396983105013</v>
      </c>
    </row>
    <row r="9" spans="1:9" x14ac:dyDescent="0.2">
      <c r="A9" t="s">
        <v>81</v>
      </c>
      <c r="B9">
        <v>26.226415094339622</v>
      </c>
      <c r="C9">
        <v>27.482523544662769</v>
      </c>
      <c r="D9">
        <f>TableCRY[[#This Row],[ARIMAPP]]*$I$2+TableCRY[[#This Row],[LSTMPP]]*$I$3</f>
        <v>34.719534643528299</v>
      </c>
      <c r="E9">
        <v>24</v>
      </c>
      <c r="F9">
        <f>ABS(TableCRY[[#This Row],[PP]]-TableCRY[[#This Row],[AP]])</f>
        <v>10.719534643528299</v>
      </c>
    </row>
  </sheetData>
  <conditionalFormatting sqref="I7">
    <cfRule type="colorScale" priority="1">
      <colorScale>
        <cfvo type="num" val="0"/>
        <cfvo type="num" val="1"/>
        <cfvo type="num" val="2"/>
        <color rgb="FF00FF00"/>
        <color rgb="FFFFFF00"/>
        <color rgb="FFFF0000"/>
      </colorScale>
    </cfRule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9"/>
  <sheetViews>
    <sheetView workbookViewId="0">
      <selection activeCell="I3" sqref="I3"/>
    </sheetView>
  </sheetViews>
  <sheetFormatPr baseColWidth="10" defaultColWidth="8.83203125" defaultRowHeight="15" x14ac:dyDescent="0.2"/>
  <cols>
    <col min="2" max="3" width="0" hidden="1" customWidth="1"/>
  </cols>
  <sheetData>
    <row r="1" spans="1:9" x14ac:dyDescent="0.2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9" x14ac:dyDescent="0.2">
      <c r="A2" t="s">
        <v>82</v>
      </c>
      <c r="B2">
        <v>32.228915662650607</v>
      </c>
      <c r="C2">
        <v>27.992514252206419</v>
      </c>
      <c r="D2">
        <f>TableEVE[[#This Row],[ARIMAPP]]*$I$2+TableEVE[[#This Row],[LSTMPP]]*$I$3</f>
        <v>30.141835302367241</v>
      </c>
      <c r="E2">
        <v>21</v>
      </c>
      <c r="F2">
        <f>ABS(TableEVE[[#This Row],[PP]]-TableEVE[[#This Row],[AP]])</f>
        <v>9.141835302367241</v>
      </c>
      <c r="H2" t="s">
        <v>0</v>
      </c>
      <c r="I2">
        <v>0</v>
      </c>
    </row>
    <row r="3" spans="1:9" x14ac:dyDescent="0.2">
      <c r="A3" t="s">
        <v>83</v>
      </c>
      <c r="B3">
        <v>30.94752967164759</v>
      </c>
      <c r="C3">
        <v>29.580143916851981</v>
      </c>
      <c r="D3">
        <f>TableEVE[[#This Row],[ARIMAPP]]*$I$2+TableEVE[[#This Row],[LSTMPP]]*$I$3</f>
        <v>31.851366337762791</v>
      </c>
      <c r="E3">
        <v>21</v>
      </c>
      <c r="F3">
        <f>ABS(TableEVE[[#This Row],[PP]]-TableEVE[[#This Row],[AP]])</f>
        <v>10.851366337762791</v>
      </c>
      <c r="H3" t="s">
        <v>1</v>
      </c>
      <c r="I3">
        <v>1.0767819936</v>
      </c>
    </row>
    <row r="4" spans="1:9" x14ac:dyDescent="0.2">
      <c r="A4" t="s">
        <v>84</v>
      </c>
      <c r="B4">
        <v>35.532994923857864</v>
      </c>
      <c r="C4">
        <v>35.825024077288568</v>
      </c>
      <c r="D4">
        <f>TableEVE[[#This Row],[ARIMAPP]]*$I$2+TableEVE[[#This Row],[LSTMPP]]*$I$3</f>
        <v>38.575740846710787</v>
      </c>
      <c r="E4">
        <v>43</v>
      </c>
      <c r="F4">
        <f>ABS(TableEVE[[#This Row],[PP]]-TableEVE[[#This Row],[AP]])</f>
        <v>4.4242591532892135</v>
      </c>
    </row>
    <row r="5" spans="1:9" x14ac:dyDescent="0.2">
      <c r="A5" t="s">
        <v>85</v>
      </c>
      <c r="B5">
        <v>23.394495412844019</v>
      </c>
      <c r="C5">
        <v>25.22161345662369</v>
      </c>
      <c r="D5">
        <f>TableEVE[[#This Row],[ARIMAPP]]*$I$2+TableEVE[[#This Row],[LSTMPP]]*$I$3</f>
        <v>27.158179219631844</v>
      </c>
      <c r="E5">
        <v>28</v>
      </c>
      <c r="F5">
        <f>ABS(TableEVE[[#This Row],[PP]]-TableEVE[[#This Row],[AP]])</f>
        <v>0.84182078036815611</v>
      </c>
      <c r="H5" t="s">
        <v>2</v>
      </c>
      <c r="I5">
        <f>SUM(ABS(TableEVE[[#This Row],[PP]]-TableEVE[[#This Row],[AP]]))</f>
        <v>0.84182078036815611</v>
      </c>
    </row>
    <row r="6" spans="1:9" x14ac:dyDescent="0.2">
      <c r="A6" t="s">
        <v>86</v>
      </c>
      <c r="B6">
        <v>34.428197967298601</v>
      </c>
      <c r="C6">
        <v>35.73029354717891</v>
      </c>
      <c r="D6">
        <f>TableEVE[[#This Row],[ARIMAPP]]*$I$2+TableEVE[[#This Row],[LSTMPP]]*$I$3</f>
        <v>38.47373671764452</v>
      </c>
      <c r="E6">
        <v>39</v>
      </c>
      <c r="F6">
        <f>ABS(TableEVE[[#This Row],[PP]]-TableEVE[[#This Row],[AP]])</f>
        <v>0.52626328235547959</v>
      </c>
    </row>
    <row r="7" spans="1:9" x14ac:dyDescent="0.2">
      <c r="A7" t="s">
        <v>87</v>
      </c>
      <c r="B7">
        <v>31.767955801104961</v>
      </c>
      <c r="C7">
        <v>29.454197753702989</v>
      </c>
      <c r="D7">
        <f>TableEVE[[#This Row],[ARIMAPP]]*$I$2+TableEVE[[#This Row],[LSTMPP]]*$I$3</f>
        <v>31.715749777120948</v>
      </c>
      <c r="E7">
        <v>28</v>
      </c>
      <c r="F7">
        <f>ABS(TableEVE[[#This Row],[PP]]-TableEVE[[#This Row],[AP]])</f>
        <v>3.7157497771209478</v>
      </c>
      <c r="H7" t="s">
        <v>3</v>
      </c>
      <c r="I7">
        <f>AVERAGE(TableEVE[DIFF])/10</f>
        <v>0.62023736268469187</v>
      </c>
    </row>
    <row r="8" spans="1:9" x14ac:dyDescent="0.2">
      <c r="A8" t="s">
        <v>88</v>
      </c>
      <c r="B8">
        <v>20.714285714285701</v>
      </c>
      <c r="C8">
        <v>17.62177021579749</v>
      </c>
      <c r="D8">
        <f>TableEVE[[#This Row],[ARIMAPP]]*$I$2+TableEVE[[#This Row],[LSTMPP]]*$I$3</f>
        <v>18.974804863727524</v>
      </c>
      <c r="E8">
        <v>21</v>
      </c>
      <c r="F8">
        <f>ABS(TableEVE[[#This Row],[PP]]-TableEVE[[#This Row],[AP]])</f>
        <v>2.025195136272476</v>
      </c>
    </row>
    <row r="9" spans="1:9" x14ac:dyDescent="0.2">
      <c r="A9" t="s">
        <v>89</v>
      </c>
      <c r="B9">
        <v>21.92485475556747</v>
      </c>
      <c r="C9">
        <v>24.988810097762901</v>
      </c>
      <c r="D9">
        <f>TableEVE[[#This Row],[ARIMAPP]]*$I$2+TableEVE[[#This Row],[LSTMPP]]*$I$3</f>
        <v>26.907500754760949</v>
      </c>
      <c r="E9">
        <v>45</v>
      </c>
      <c r="F9">
        <f>ABS(TableEVE[[#This Row],[PP]]-TableEVE[[#This Row],[AP]])</f>
        <v>18.092499245239051</v>
      </c>
    </row>
  </sheetData>
  <conditionalFormatting sqref="I7">
    <cfRule type="colorScale" priority="1">
      <colorScale>
        <cfvo type="num" val="0"/>
        <cfvo type="num" val="1"/>
        <cfvo type="num" val="2"/>
        <color rgb="FF00FF00"/>
        <color rgb="FFFFFF00"/>
        <color rgb="FFFF0000"/>
      </colorScale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ARS</vt:lpstr>
      <vt:lpstr>AVL</vt:lpstr>
      <vt:lpstr>BOU</vt:lpstr>
      <vt:lpstr>BRE</vt:lpstr>
      <vt:lpstr>BHA</vt:lpstr>
      <vt:lpstr>BUR</vt:lpstr>
      <vt:lpstr>CHE</vt:lpstr>
      <vt:lpstr>CRY</vt:lpstr>
      <vt:lpstr>EVE</vt:lpstr>
      <vt:lpstr>FUL</vt:lpstr>
      <vt:lpstr>LIV</vt:lpstr>
      <vt:lpstr>LUT</vt:lpstr>
      <vt:lpstr>MCI</vt:lpstr>
      <vt:lpstr>MUN</vt:lpstr>
      <vt:lpstr>NEW</vt:lpstr>
      <vt:lpstr>NFO</vt:lpstr>
      <vt:lpstr>SHU</vt:lpstr>
      <vt:lpstr>TOT</vt:lpstr>
      <vt:lpstr>WHU</vt:lpstr>
      <vt:lpstr>WOL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Corridore, Gabe</cp:lastModifiedBy>
  <dcterms:created xsi:type="dcterms:W3CDTF">2024-05-10T16:04:24Z</dcterms:created>
  <dcterms:modified xsi:type="dcterms:W3CDTF">2024-05-10T16:55:53Z</dcterms:modified>
</cp:coreProperties>
</file>