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7A288CD6-3572-B948-871A-4E8067C4BA98}" xr6:coauthVersionLast="47" xr6:coauthVersionMax="47" xr10:uidLastSave="{00000000-0000-0000-0000-000000000000}"/>
  <bookViews>
    <workbookView xWindow="5580" yWindow="1940" windowWidth="28800" windowHeight="17360" xr2:uid="{00000000-000D-0000-FFFF-FFFF00000000}"/>
  </bookViews>
  <sheets>
    <sheet name="Sheet1" sheetId="1" r:id="rId1"/>
  </sheets>
  <definedNames>
    <definedName name="solver_adj" localSheetId="0" hidden="1">Sheet1!$AJ$2:$AJ$141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Sheet1!$AJ$2:$AJ$141</definedName>
    <definedName name="solver_lhs2" localSheetId="0" hidden="1">Sheet1!$AM$12:$AM$31</definedName>
    <definedName name="solver_lhs3" localSheetId="0" hidden="1">Sheet1!$AM$4</definedName>
    <definedName name="solver_lhs4" localSheetId="0" hidden="1">Sheet1!$AM$6:$AM$9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Sheet1!$AN$12:$AN$31</definedName>
    <definedName name="solver_rhs3" localSheetId="0" hidden="1">Sheet1!$AN$4</definedName>
    <definedName name="solver_rhs4" localSheetId="0" hidden="1">Sheet1!$AN$6:$AN$9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3" i="1" l="1"/>
  <c r="AH1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2" i="1"/>
  <c r="AH121" i="1"/>
  <c r="AH120" i="1"/>
  <c r="AH119" i="1"/>
  <c r="AH118" i="1"/>
  <c r="AH117" i="1"/>
  <c r="AH116" i="1"/>
  <c r="AH115" i="1"/>
  <c r="AH111" i="1"/>
  <c r="AH109" i="1"/>
  <c r="AH100" i="1"/>
  <c r="AH63" i="1"/>
  <c r="AH92" i="1"/>
  <c r="AH91" i="1"/>
  <c r="AH42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25" i="1"/>
  <c r="AH62" i="1"/>
  <c r="AH61" i="1"/>
  <c r="AH60" i="1"/>
  <c r="AH59" i="1"/>
  <c r="AH58" i="1"/>
  <c r="AH49" i="1"/>
  <c r="AH48" i="1"/>
  <c r="AH47" i="1"/>
  <c r="AH46" i="1"/>
  <c r="AH45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0" i="1"/>
  <c r="AH24" i="1"/>
  <c r="AH23" i="1"/>
  <c r="AH22" i="1"/>
  <c r="AH21" i="1"/>
  <c r="AH102" i="1"/>
  <c r="AH19" i="1"/>
  <c r="AH18" i="1"/>
  <c r="AH17" i="1"/>
  <c r="AH16" i="1"/>
  <c r="AH15" i="1"/>
  <c r="AH14" i="1"/>
  <c r="AH13" i="1"/>
  <c r="AH12" i="1"/>
  <c r="AH10" i="1"/>
  <c r="AH99" i="1"/>
  <c r="AH8" i="1"/>
  <c r="AH5" i="1"/>
  <c r="AH4" i="1"/>
  <c r="AH7" i="1"/>
  <c r="AH89" i="1"/>
  <c r="AH127" i="1"/>
  <c r="AH126" i="1"/>
  <c r="AH125" i="1"/>
  <c r="AH124" i="1"/>
  <c r="AH123" i="1"/>
  <c r="AH114" i="1"/>
  <c r="AH112" i="1"/>
  <c r="AH43" i="1"/>
  <c r="AH9" i="1"/>
  <c r="AH57" i="1"/>
  <c r="AH108" i="1"/>
  <c r="AH107" i="1"/>
  <c r="AH106" i="1"/>
  <c r="AH105" i="1"/>
  <c r="AH104" i="1"/>
  <c r="AH103" i="1"/>
  <c r="AH141" i="1"/>
  <c r="AH101" i="1"/>
  <c r="AH3" i="1"/>
  <c r="AH6" i="1"/>
  <c r="AH98" i="1"/>
  <c r="AH97" i="1"/>
  <c r="AH96" i="1"/>
  <c r="AH95" i="1"/>
  <c r="AH94" i="1"/>
  <c r="AH93" i="1"/>
  <c r="AH2" i="1"/>
  <c r="AH56" i="1"/>
  <c r="AH55" i="1"/>
  <c r="AH54" i="1"/>
  <c r="AH53" i="1"/>
  <c r="AH52" i="1"/>
  <c r="AH51" i="1"/>
  <c r="AH50" i="1"/>
  <c r="AH44" i="1"/>
  <c r="AH90" i="1"/>
  <c r="AH110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9" i="1"/>
  <c r="AM8" i="1"/>
  <c r="AM7" i="1"/>
  <c r="AM6" i="1"/>
  <c r="AM4" i="1"/>
  <c r="AM2" i="1"/>
</calcChain>
</file>

<file path=xl/sharedStrings.xml><?xml version="1.0" encoding="utf-8"?>
<sst xmlns="http://schemas.openxmlformats.org/spreadsheetml/2006/main" count="763" uniqueCount="336">
  <si>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</si>
  <si>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</si>
  <si>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</si>
  <si>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</si>
  <si>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</si>
  <si>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</si>
  <si>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</si>
  <si>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</si>
  <si>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</si>
  <si>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</si>
  <si>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</si>
  <si>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</si>
  <si>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</si>
  <si>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</si>
  <si>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</si>
  <si>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</si>
  <si>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</si>
  <si>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</si>
  <si>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</si>
  <si>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</si>
  <si>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</si>
  <si>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</si>
  <si>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</si>
  <si>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</si>
  <si>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</si>
  <si>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</si>
  <si>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</si>
  <si>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</si>
  <si>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</si>
  <si>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</si>
  <si>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</si>
  <si>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</si>
  <si>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</si>
  <si>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</si>
  <si>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</si>
  <si>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</si>
  <si>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NEXT</t>
  </si>
  <si>
    <t>Health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</si>
  <si>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</si>
  <si>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</si>
  <si>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</si>
  <si>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</si>
  <si>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</si>
  <si>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</si>
  <si>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</si>
  <si>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</si>
  <si>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</si>
  <si>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</si>
  <si>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</si>
  <si>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</si>
  <si>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</si>
  <si>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</si>
  <si>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</si>
  <si>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</si>
  <si>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</si>
  <si>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</si>
  <si>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</si>
  <si>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</si>
  <si>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</si>
  <si>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</si>
  <si>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</si>
  <si>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</si>
  <si>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</si>
  <si>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</si>
  <si>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</si>
  <si>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</si>
  <si>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</si>
  <si>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</si>
  <si>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</si>
  <si>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</si>
  <si>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</si>
  <si>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</si>
  <si>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</si>
  <si>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</si>
  <si>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</si>
  <si>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</si>
  <si>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</si>
  <si>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</si>
  <si>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</si>
  <si>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</si>
  <si>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</si>
  <si>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</si>
  <si>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</si>
  <si>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</si>
  <si>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</si>
  <si>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</si>
  <si>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</si>
  <si>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</si>
  <si>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</si>
  <si>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</si>
  <si>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</si>
  <si>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</si>
  <si>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</si>
  <si>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</si>
  <si>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</si>
  <si>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</si>
  <si>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</si>
  <si>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</si>
  <si>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</si>
  <si>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</si>
  <si>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</si>
  <si>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</si>
  <si>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</si>
  <si>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</si>
  <si>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</si>
  <si>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</si>
  <si>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</si>
  <si>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</si>
  <si>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</si>
  <si>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</si>
  <si>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</si>
  <si>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</si>
  <si>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</si>
  <si>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</si>
  <si>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</si>
  <si>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</si>
  <si>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</si>
  <si>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</si>
  <si>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</si>
  <si>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</si>
  <si>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Ethan</t>
  </si>
  <si>
    <t>Pinnock</t>
  </si>
  <si>
    <t>Yoane</t>
  </si>
  <si>
    <t>Wissa</t>
  </si>
  <si>
    <t>Dunk</t>
  </si>
  <si>
    <t>Pascal</t>
  </si>
  <si>
    <t>Groß</t>
  </si>
  <si>
    <t>Gross</t>
  </si>
  <si>
    <t>João Pedro</t>
  </si>
  <si>
    <t>Junqueira de Jesus</t>
  </si>
  <si>
    <t>Josh</t>
  </si>
  <si>
    <t>Brownhill</t>
  </si>
  <si>
    <t>Dara</t>
  </si>
  <si>
    <t>O'Shea</t>
  </si>
  <si>
    <t>Zeki</t>
  </si>
  <si>
    <t>Amdouni</t>
  </si>
  <si>
    <t>Jacob</t>
  </si>
  <si>
    <t>Bruun Larsen</t>
  </si>
  <si>
    <t>Wilson</t>
  </si>
  <si>
    <t>Odobert</t>
  </si>
  <si>
    <t>Moisés</t>
  </si>
  <si>
    <t>Caicedo Corozo</t>
  </si>
  <si>
    <t>Caicedo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</si>
  <si>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</si>
  <si>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</si>
  <si>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</si>
  <si>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</si>
  <si>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</si>
  <si>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</si>
  <si>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</si>
  <si>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</si>
  <si>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</si>
  <si>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</si>
  <si>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</si>
  <si>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Thiago</t>
  </si>
  <si>
    <t>Emiliano da Silva</t>
  </si>
  <si>
    <t>T.Silva</t>
  </si>
  <si>
    <t>Cole</t>
  </si>
  <si>
    <t>Palmer</t>
  </si>
  <si>
    <t>Joachim</t>
  </si>
  <si>
    <t>Andersen</t>
  </si>
  <si>
    <t>Jordan</t>
  </si>
  <si>
    <t>Ayew</t>
  </si>
  <si>
    <t>J.Ayew</t>
  </si>
  <si>
    <t>Eberechi</t>
  </si>
  <si>
    <t>Eze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</si>
  <si>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</si>
  <si>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</si>
  <si>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</si>
  <si>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</si>
  <si>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</si>
  <si>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</si>
  <si>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</si>
  <si>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</si>
  <si>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</si>
  <si>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</si>
  <si>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</si>
  <si>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Jarrad</t>
  </si>
  <si>
    <t>Branthwaite</t>
  </si>
  <si>
    <t>Calvert-Lewin</t>
  </si>
  <si>
    <t>Abdoulaye</t>
  </si>
  <si>
    <t>Doucouré</t>
  </si>
  <si>
    <t>A.Doucoure</t>
  </si>
  <si>
    <t>Dwight</t>
  </si>
  <si>
    <t>McNeil</t>
  </si>
  <si>
    <t>Vitalii</t>
  </si>
  <si>
    <t>Mykolenko</t>
  </si>
  <si>
    <t>Pickford</t>
  </si>
  <si>
    <t>James</t>
  </si>
  <si>
    <t>Tarkowski</t>
  </si>
  <si>
    <t>Ashley</t>
  </si>
  <si>
    <t>Young</t>
  </si>
  <si>
    <t>Jack</t>
  </si>
  <si>
    <t>Harrison</t>
  </si>
  <si>
    <t>Alex</t>
  </si>
  <si>
    <t>Iwobi</t>
  </si>
  <si>
    <t>Andreas</t>
  </si>
  <si>
    <t>Hoelgebaum Pereira</t>
  </si>
  <si>
    <t>Bernd</t>
  </si>
  <si>
    <t>Leno</t>
  </si>
  <si>
    <t>João</t>
  </si>
  <si>
    <t>Palhinha Gonçalves</t>
  </si>
  <si>
    <t>J.Palhinha</t>
  </si>
  <si>
    <t>Antonee</t>
  </si>
  <si>
    <t>Robinson</t>
  </si>
  <si>
    <t>Willian</t>
  </si>
  <si>
    <t>Borges da Silva</t>
  </si>
  <si>
    <t>Calvin</t>
  </si>
  <si>
    <t>Bassey</t>
  </si>
  <si>
    <t>Timothy</t>
  </si>
  <si>
    <t>Castagne</t>
  </si>
  <si>
    <t>Alisson</t>
  </si>
  <si>
    <t>Ramses Becker</t>
  </si>
  <si>
    <t>A.Becker</t>
  </si>
  <si>
    <t>Darwin</t>
  </si>
  <si>
    <t>Núñez Ribeiro</t>
  </si>
  <si>
    <t>Harvey</t>
  </si>
  <si>
    <t>Elliott</t>
  </si>
  <si>
    <t>Cody</t>
  </si>
  <si>
    <t>Gakpo</t>
  </si>
  <si>
    <t>Luis</t>
  </si>
  <si>
    <t>Díaz</t>
  </si>
  <si>
    <t>Luis Díaz</t>
  </si>
  <si>
    <t>Mohamed</t>
  </si>
  <si>
    <t>Salah</t>
  </si>
  <si>
    <t>Virgil</t>
  </si>
  <si>
    <t>van Dijk</t>
  </si>
  <si>
    <t>Carlton</t>
  </si>
  <si>
    <t>Morris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</si>
  <si>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</si>
  <si>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</si>
  <si>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</si>
  <si>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</si>
  <si>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</si>
  <si>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</si>
  <si>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</si>
  <si>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</si>
  <si>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</si>
  <si>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</si>
  <si>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</si>
  <si>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</si>
  <si>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</si>
  <si>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</si>
  <si>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</si>
  <si>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</si>
  <si>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</si>
  <si>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</si>
  <si>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</si>
  <si>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</si>
  <si>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</si>
  <si>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</si>
  <si>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</si>
  <si>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</si>
  <si>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</si>
  <si>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</si>
  <si>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</si>
  <si>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</si>
  <si>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Alejandro</t>
  </si>
  <si>
    <t>Garnacho</t>
  </si>
  <si>
    <t>Rashford</t>
  </si>
  <si>
    <t>André</t>
  </si>
  <si>
    <t>Onana</t>
  </si>
  <si>
    <t>Rasmus</t>
  </si>
  <si>
    <t>Højlund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</si>
  <si>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</si>
  <si>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</si>
  <si>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</si>
  <si>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</si>
  <si>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</si>
  <si>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</si>
  <si>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</si>
  <si>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</si>
  <si>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</si>
  <si>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</si>
  <si>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</si>
  <si>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</si>
  <si>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</si>
  <si>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</si>
  <si>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</si>
  <si>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</si>
  <si>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Elanga</t>
  </si>
  <si>
    <t>Danilo</t>
  </si>
  <si>
    <t>dos Santos de Oliveira</t>
  </si>
  <si>
    <t>Morgan</t>
  </si>
  <si>
    <t>Gibbs-White</t>
  </si>
  <si>
    <t>Chris</t>
  </si>
  <si>
    <t>Wood</t>
  </si>
  <si>
    <t>Cameron</t>
  </si>
  <si>
    <t>Archer</t>
  </si>
  <si>
    <t>Wes</t>
  </si>
  <si>
    <t>Foderingham</t>
  </si>
  <si>
    <t>Gustavo</t>
  </si>
  <si>
    <t>Hamer</t>
  </si>
  <si>
    <t>Brennan</t>
  </si>
  <si>
    <t>Johnson</t>
  </si>
  <si>
    <t>Pedro</t>
  </si>
  <si>
    <t>Porro</t>
  </si>
  <si>
    <t>Pedro Porro</t>
  </si>
  <si>
    <t>Richarlison</t>
  </si>
  <si>
    <t>de Andrade</t>
  </si>
  <si>
    <t>Son</t>
  </si>
  <si>
    <t>Heung-min</t>
  </si>
  <si>
    <t>Guglielmo</t>
  </si>
  <si>
    <t>Vicario</t>
  </si>
  <si>
    <t>Alphonse</t>
  </si>
  <si>
    <t>Areola</t>
  </si>
  <si>
    <t>Jarrod</t>
  </si>
  <si>
    <t>Bowen</t>
  </si>
  <si>
    <t>Tolentino Coelho de Lima</t>
  </si>
  <si>
    <t>L.Paquetá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</si>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</sst>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41" totalsRowShown="0">
  <autoFilter ref="A1:AJ141" xr:uid="{00000000-0009-0000-0100-000001000000}">
    <filterColumn colId="35">
      <filters>
        <filter val="1"/>
      </filters>
    </filterColumn>
  </autoFilter>
  <sortState xmlns:xlrd2="http://schemas.microsoft.com/office/spreadsheetml/2017/richdata2" ref="A2:AJ141">
    <sortCondition descending="1" ref="AH1:AH141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5" xr3:uid="{00000000-0010-0000-0000-000023000000}" name="NEXT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1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0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40" x14ac:dyDescent="0.2">
      <c r="A2" t="s">
        <v>157</v>
      </c>
      <c r="B2" t="s">
        <v>158</v>
      </c>
      <c r="C2" s="1" t="s">
        <v>158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285</v>
      </c>
      <c r="AF2">
        <v>35.08322148941221</v>
      </c>
      <c r="AG2">
        <v>0</v>
      </c>
      <c r="AH2">
        <f>30.803927831972*1</f>
        <v>30.803927831972</v>
      </c>
      <c r="AI2">
        <v>1</v>
      </c>
      <c r="AJ2">
        <v>1</v>
      </c>
      <c r="AL2" t="s">
        <v>0</v>
      </c>
      <c r="AM2">
        <f>SUMPRODUCT(Table1[Selected], Table1[NEXT])</f>
        <v>211.52951124628993</v>
      </c>
      <c r="AN2" t="s">
        <v>1</v>
      </c>
    </row>
    <row r="3" spans="1:40" x14ac:dyDescent="0.2">
      <c r="A3" t="s">
        <v>248</v>
      </c>
      <c r="B3" t="s">
        <v>249</v>
      </c>
      <c r="C3" s="1" t="s">
        <v>249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20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14.2</v>
      </c>
      <c r="AE3">
        <v>527</v>
      </c>
      <c r="AF3">
        <v>23.53448275862069</v>
      </c>
      <c r="AG3">
        <v>0</v>
      </c>
      <c r="AH3">
        <f>19.1360937432241*1</f>
        <v>19.136093743224102</v>
      </c>
      <c r="AI3">
        <v>1</v>
      </c>
      <c r="AJ3">
        <v>1</v>
      </c>
    </row>
    <row r="4" spans="1:40" hidden="1" x14ac:dyDescent="0.2">
      <c r="A4" t="s">
        <v>39</v>
      </c>
      <c r="B4" t="s">
        <v>43</v>
      </c>
      <c r="C4" t="s">
        <v>44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7.9756097560975618</v>
      </c>
      <c r="AG4">
        <v>0</v>
      </c>
      <c r="AH4">
        <f>4.70504629641585*1*2</f>
        <v>9.4100925928317007</v>
      </c>
      <c r="AI4">
        <v>1</v>
      </c>
      <c r="AJ4">
        <v>0</v>
      </c>
      <c r="AL4" t="s">
        <v>2</v>
      </c>
      <c r="AM4">
        <f>SUMPRODUCT(Table1[Selected],Table1[Cost])</f>
        <v>99.4</v>
      </c>
      <c r="AN4">
        <v>100</v>
      </c>
    </row>
    <row r="5" spans="1:40" hidden="1" x14ac:dyDescent="0.2">
      <c r="A5" t="s">
        <v>45</v>
      </c>
      <c r="B5" t="s">
        <v>46</v>
      </c>
      <c r="C5" t="s">
        <v>46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8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8.6</v>
      </c>
      <c r="AE5">
        <v>12</v>
      </c>
      <c r="AF5">
        <v>10.393401611613751</v>
      </c>
      <c r="AG5">
        <v>0</v>
      </c>
      <c r="AH5">
        <f>6.13137267937406*1*2</f>
        <v>12.26274535874812</v>
      </c>
      <c r="AI5">
        <v>1</v>
      </c>
      <c r="AJ5">
        <v>0</v>
      </c>
    </row>
    <row r="6" spans="1:40" x14ac:dyDescent="0.2">
      <c r="A6" t="s">
        <v>246</v>
      </c>
      <c r="B6" t="s">
        <v>247</v>
      </c>
      <c r="C6" s="1" t="s">
        <v>247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20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8.4</v>
      </c>
      <c r="AE6">
        <v>525</v>
      </c>
      <c r="AF6">
        <v>24.099214671661461</v>
      </c>
      <c r="AG6">
        <v>0</v>
      </c>
      <c r="AH6">
        <f>18.5695793410716*1</f>
        <v>18.569579341071599</v>
      </c>
      <c r="AI6">
        <v>1</v>
      </c>
      <c r="AJ6">
        <v>1</v>
      </c>
      <c r="AL6" t="s">
        <v>3</v>
      </c>
      <c r="AM6">
        <f>SUMPRODUCT(Table1[Selected],Table1[GKP])</f>
        <v>2</v>
      </c>
      <c r="AN6">
        <v>2</v>
      </c>
    </row>
    <row r="7" spans="1:40" x14ac:dyDescent="0.2">
      <c r="A7" t="s">
        <v>41</v>
      </c>
      <c r="B7" t="s">
        <v>42</v>
      </c>
      <c r="C7" s="1" t="s">
        <v>42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8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7.5</v>
      </c>
      <c r="AE7">
        <v>5</v>
      </c>
      <c r="AF7">
        <v>12.56072419668677</v>
      </c>
      <c r="AG7">
        <v>0</v>
      </c>
      <c r="AH7">
        <f>7.55844986354098*1*2</f>
        <v>15.116899727081959</v>
      </c>
      <c r="AI7">
        <v>1</v>
      </c>
      <c r="AJ7">
        <v>1</v>
      </c>
      <c r="AL7" t="s">
        <v>4</v>
      </c>
      <c r="AM7">
        <f>SUMPRODUCT(Table1[Selected],Table1[DEF])</f>
        <v>5</v>
      </c>
      <c r="AN7">
        <v>5</v>
      </c>
    </row>
    <row r="8" spans="1:40" hidden="1" x14ac:dyDescent="0.2">
      <c r="A8" t="s">
        <v>51</v>
      </c>
      <c r="B8" t="s">
        <v>52</v>
      </c>
      <c r="C8" t="s">
        <v>52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8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6.5</v>
      </c>
      <c r="AE8">
        <v>22</v>
      </c>
      <c r="AF8">
        <v>8.4152506847268942</v>
      </c>
      <c r="AG8">
        <v>0</v>
      </c>
      <c r="AH8">
        <f>5.33874221680271*1*2</f>
        <v>10.67748443360542</v>
      </c>
      <c r="AI8">
        <v>1</v>
      </c>
      <c r="AJ8">
        <v>0</v>
      </c>
      <c r="AL8" t="s">
        <v>5</v>
      </c>
      <c r="AM8">
        <f>SUMPRODUCT(Table1[Selected],Table1[MID])</f>
        <v>5</v>
      </c>
      <c r="AN8">
        <v>5</v>
      </c>
    </row>
    <row r="9" spans="1:40" x14ac:dyDescent="0.2">
      <c r="A9" t="s">
        <v>268</v>
      </c>
      <c r="B9" t="s">
        <v>269</v>
      </c>
      <c r="C9" s="1" t="s">
        <v>269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22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6.4</v>
      </c>
      <c r="AE9">
        <v>603</v>
      </c>
      <c r="AF9">
        <v>28.470684369868561</v>
      </c>
      <c r="AG9">
        <v>7.3541050389652742</v>
      </c>
      <c r="AH9">
        <f>13.6824395057409*1</f>
        <v>13.6824395057409</v>
      </c>
      <c r="AI9">
        <v>1</v>
      </c>
      <c r="AJ9">
        <v>1</v>
      </c>
      <c r="AL9" t="s">
        <v>6</v>
      </c>
      <c r="AM9">
        <f>SUMPRODUCT(Table1[Selected],Table1[FWD])</f>
        <v>3</v>
      </c>
      <c r="AN9">
        <v>3</v>
      </c>
    </row>
    <row r="10" spans="1:40" hidden="1" x14ac:dyDescent="0.2">
      <c r="A10" t="s">
        <v>55</v>
      </c>
      <c r="B10" t="s">
        <v>56</v>
      </c>
      <c r="C10" t="s">
        <v>56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25</v>
      </c>
      <c r="AF10">
        <v>6.8421052631578956</v>
      </c>
      <c r="AG10">
        <v>0</v>
      </c>
      <c r="AH10">
        <f>4.03635872523684*1*2</f>
        <v>8.0727174504736805</v>
      </c>
      <c r="AI10">
        <v>1</v>
      </c>
      <c r="AJ10">
        <v>0</v>
      </c>
    </row>
    <row r="11" spans="1:40" x14ac:dyDescent="0.2">
      <c r="A11" t="s">
        <v>333</v>
      </c>
      <c r="B11" t="s">
        <v>334</v>
      </c>
      <c r="C11" s="1" t="s">
        <v>335</v>
      </c>
      <c r="D11" t="s">
        <v>6</v>
      </c>
      <c r="E11">
        <v>0</v>
      </c>
      <c r="F11">
        <v>0</v>
      </c>
      <c r="G11">
        <v>0</v>
      </c>
      <c r="H11">
        <v>1</v>
      </c>
      <c r="I11" t="s">
        <v>27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5.5</v>
      </c>
      <c r="AE11">
        <v>841</v>
      </c>
      <c r="AF11">
        <v>9.223562559374944</v>
      </c>
      <c r="AG11">
        <v>6.3264052015848931</v>
      </c>
      <c r="AH11">
        <f>6.57075082627428*1*2</f>
        <v>13.141501652548561</v>
      </c>
      <c r="AI11">
        <v>1</v>
      </c>
      <c r="AJ11">
        <v>1</v>
      </c>
    </row>
    <row r="12" spans="1:40" hidden="1" x14ac:dyDescent="0.2">
      <c r="A12" t="s">
        <v>60</v>
      </c>
      <c r="B12" t="s">
        <v>61</v>
      </c>
      <c r="C12" t="s">
        <v>61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27</v>
      </c>
      <c r="AF12">
        <v>8.4003311896818289</v>
      </c>
      <c r="AG12">
        <v>0</v>
      </c>
      <c r="AH12">
        <f>4.33410171041714*1*2</f>
        <v>8.6682034208342795</v>
      </c>
      <c r="AI12">
        <v>1</v>
      </c>
      <c r="AJ12">
        <v>0</v>
      </c>
      <c r="AL12" t="s">
        <v>8</v>
      </c>
      <c r="AM12">
        <f>SUMPRODUCT(Table1[Selected],Table1[ARS])</f>
        <v>5</v>
      </c>
      <c r="AN12">
        <v>5</v>
      </c>
    </row>
    <row r="13" spans="1:40" hidden="1" x14ac:dyDescent="0.2">
      <c r="A13" t="s">
        <v>62</v>
      </c>
      <c r="B13" t="s">
        <v>63</v>
      </c>
      <c r="C13" t="s">
        <v>63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39</v>
      </c>
      <c r="AF13">
        <v>8.1268334347683879</v>
      </c>
      <c r="AG13">
        <v>7.0615538599218342</v>
      </c>
      <c r="AH13">
        <f>4.25101483438002*1*2</f>
        <v>8.5020296687600396</v>
      </c>
      <c r="AI13">
        <v>1</v>
      </c>
      <c r="AJ13">
        <v>0</v>
      </c>
      <c r="AL13" t="s">
        <v>9</v>
      </c>
      <c r="AM13">
        <f>SUMPRODUCT(Table1[Selected],Table1[AVL])</f>
        <v>1</v>
      </c>
      <c r="AN13">
        <v>5</v>
      </c>
    </row>
    <row r="14" spans="1:40" hidden="1" x14ac:dyDescent="0.2">
      <c r="A14" t="s">
        <v>64</v>
      </c>
      <c r="B14" t="s">
        <v>65</v>
      </c>
      <c r="C14" t="s">
        <v>65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9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47</v>
      </c>
      <c r="AF14">
        <v>5.1678936700334184</v>
      </c>
      <c r="AG14">
        <v>7.9389225751788643</v>
      </c>
      <c r="AH14">
        <f>4.09398540540392*1*2</f>
        <v>8.1879708108078404</v>
      </c>
      <c r="AI14">
        <v>1</v>
      </c>
      <c r="AJ14">
        <v>0</v>
      </c>
      <c r="AL14" t="s">
        <v>10</v>
      </c>
      <c r="AM14">
        <f>SUMPRODUCT(Table1[Selected],Table1[BOU])</f>
        <v>1</v>
      </c>
      <c r="AN14">
        <v>5</v>
      </c>
    </row>
    <row r="15" spans="1:40" hidden="1" x14ac:dyDescent="0.2">
      <c r="A15" t="s">
        <v>66</v>
      </c>
      <c r="B15" t="s">
        <v>67</v>
      </c>
      <c r="C15" t="s">
        <v>68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53</v>
      </c>
      <c r="AF15">
        <v>5.6645161290322532</v>
      </c>
      <c r="AG15">
        <v>6.5232705263434969</v>
      </c>
      <c r="AH15">
        <f>3.4248808935841*1*2</f>
        <v>6.8497617871681999</v>
      </c>
      <c r="AI15">
        <v>1</v>
      </c>
      <c r="AJ15">
        <v>0</v>
      </c>
      <c r="AL15" t="s">
        <v>11</v>
      </c>
      <c r="AM15">
        <f>SUMPRODUCT(Table1[Selected],Table1[BRE])</f>
        <v>0</v>
      </c>
      <c r="AN15">
        <v>5</v>
      </c>
    </row>
    <row r="16" spans="1:40" hidden="1" x14ac:dyDescent="0.2">
      <c r="A16" t="s">
        <v>69</v>
      </c>
      <c r="B16" t="s">
        <v>70</v>
      </c>
      <c r="C16" t="s">
        <v>71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9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5.3</v>
      </c>
      <c r="AE16">
        <v>54</v>
      </c>
      <c r="AF16">
        <v>7.0294117647058796</v>
      </c>
      <c r="AG16">
        <v>6.3373487018893169</v>
      </c>
      <c r="AH16">
        <f>3.34294291249087*1*2</f>
        <v>6.6858858249817397</v>
      </c>
      <c r="AI16">
        <v>1</v>
      </c>
      <c r="AJ16">
        <v>0</v>
      </c>
      <c r="AL16" t="s">
        <v>12</v>
      </c>
      <c r="AM16">
        <f>SUMPRODUCT(Table1[Selected],Table1[BHA])</f>
        <v>0</v>
      </c>
      <c r="AN16">
        <v>5</v>
      </c>
    </row>
    <row r="17" spans="1:40" hidden="1" x14ac:dyDescent="0.2">
      <c r="A17" t="s">
        <v>72</v>
      </c>
      <c r="B17" t="s">
        <v>73</v>
      </c>
      <c r="C17" t="s">
        <v>73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9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55</v>
      </c>
      <c r="AF17">
        <v>6.1124999999999998</v>
      </c>
      <c r="AG17">
        <v>4.7302673225551963</v>
      </c>
      <c r="AH17">
        <f>2.53656750770061*1*2</f>
        <v>5.0731350154012196</v>
      </c>
      <c r="AI17">
        <v>1</v>
      </c>
      <c r="AJ17">
        <v>0</v>
      </c>
      <c r="AL17" t="s">
        <v>13</v>
      </c>
      <c r="AM17">
        <f>SUMPRODUCT(Table1[Selected],Table1[BUR])</f>
        <v>0</v>
      </c>
      <c r="AN17">
        <v>5</v>
      </c>
    </row>
    <row r="18" spans="1:40" hidden="1" x14ac:dyDescent="0.2">
      <c r="A18" t="s">
        <v>74</v>
      </c>
      <c r="B18" t="s">
        <v>75</v>
      </c>
      <c r="C18" t="s">
        <v>75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9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5.6</v>
      </c>
      <c r="AE18">
        <v>62</v>
      </c>
      <c r="AF18">
        <v>5.0754703372304952</v>
      </c>
      <c r="AG18">
        <v>5.9153044610673788</v>
      </c>
      <c r="AH18">
        <f>2.97966704555708*1*2</f>
        <v>5.9593340911141599</v>
      </c>
      <c r="AI18">
        <v>1</v>
      </c>
      <c r="AJ18">
        <v>0</v>
      </c>
      <c r="AL18" t="s">
        <v>14</v>
      </c>
      <c r="AM18">
        <f>SUMPRODUCT(Table1[Selected],Table1[CHE])</f>
        <v>1</v>
      </c>
      <c r="AN18">
        <v>5</v>
      </c>
    </row>
    <row r="19" spans="1:40" hidden="1" x14ac:dyDescent="0.2">
      <c r="A19" t="s">
        <v>76</v>
      </c>
      <c r="B19" t="s">
        <v>77</v>
      </c>
      <c r="C19" t="s">
        <v>77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9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8.9</v>
      </c>
      <c r="AE19">
        <v>64</v>
      </c>
      <c r="AF19">
        <v>11.67419277728988</v>
      </c>
      <c r="AG19">
        <v>8.3204471463867513</v>
      </c>
      <c r="AH19">
        <f>4.64954447450618*1*2</f>
        <v>9.2990889490123596</v>
      </c>
      <c r="AI19">
        <v>1</v>
      </c>
      <c r="AJ19">
        <v>0</v>
      </c>
      <c r="AL19" t="s">
        <v>15</v>
      </c>
      <c r="AM19">
        <f>SUMPRODUCT(Table1[Selected],Table1[CRY])</f>
        <v>1</v>
      </c>
      <c r="AN19">
        <v>5</v>
      </c>
    </row>
    <row r="20" spans="1:40" x14ac:dyDescent="0.2">
      <c r="A20" t="s">
        <v>89</v>
      </c>
      <c r="B20" t="s">
        <v>90</v>
      </c>
      <c r="C20" s="1" t="s">
        <v>91</v>
      </c>
      <c r="D20" t="s">
        <v>3</v>
      </c>
      <c r="E20">
        <v>1</v>
      </c>
      <c r="F20">
        <v>0</v>
      </c>
      <c r="G20">
        <v>0</v>
      </c>
      <c r="H20">
        <v>0</v>
      </c>
      <c r="I20" t="s">
        <v>10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4.7</v>
      </c>
      <c r="AE20">
        <v>95</v>
      </c>
      <c r="AF20">
        <v>8.7759002621022848</v>
      </c>
      <c r="AG20">
        <v>8.3893114236240702</v>
      </c>
      <c r="AH20">
        <f>6.47407421321027*1*2</f>
        <v>12.94814842642054</v>
      </c>
      <c r="AI20">
        <v>1</v>
      </c>
      <c r="AJ20">
        <v>1</v>
      </c>
      <c r="AL20" t="s">
        <v>16</v>
      </c>
      <c r="AM20">
        <f>SUMPRODUCT(Table1[Selected],Table1[EVE])</f>
        <v>0</v>
      </c>
      <c r="AN20">
        <v>5</v>
      </c>
    </row>
    <row r="21" spans="1:40" hidden="1" x14ac:dyDescent="0.2">
      <c r="A21" t="s">
        <v>80</v>
      </c>
      <c r="B21" t="s">
        <v>81</v>
      </c>
      <c r="C21" t="s">
        <v>81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9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</v>
      </c>
      <c r="AE21">
        <v>67</v>
      </c>
      <c r="AF21">
        <v>7.4999999999999982</v>
      </c>
      <c r="AG21">
        <v>7.6191456831909674</v>
      </c>
      <c r="AH21">
        <f>3.90074627548726*1*2</f>
        <v>7.8014925509745199</v>
      </c>
      <c r="AI21">
        <v>1</v>
      </c>
      <c r="AJ21">
        <v>0</v>
      </c>
      <c r="AL21" t="s">
        <v>17</v>
      </c>
      <c r="AM21">
        <f>SUMPRODUCT(Table1[Selected],Table1[FUL])</f>
        <v>0</v>
      </c>
      <c r="AN21">
        <v>5</v>
      </c>
    </row>
    <row r="22" spans="1:40" hidden="1" x14ac:dyDescent="0.2">
      <c r="A22" t="s">
        <v>82</v>
      </c>
      <c r="B22" t="s">
        <v>83</v>
      </c>
      <c r="C22" t="s">
        <v>83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83</v>
      </c>
      <c r="AF22">
        <v>4.2499999999999991</v>
      </c>
      <c r="AG22">
        <v>4.4332670864507691</v>
      </c>
      <c r="AH22">
        <f>2.76781003036882*1*2</f>
        <v>5.5356200607376396</v>
      </c>
      <c r="AI22">
        <v>1</v>
      </c>
      <c r="AJ22">
        <v>0</v>
      </c>
      <c r="AL22" t="s">
        <v>18</v>
      </c>
      <c r="AM22">
        <f>SUMPRODUCT(Table1[Selected],Table1[LIV])</f>
        <v>0</v>
      </c>
      <c r="AN22">
        <v>5</v>
      </c>
    </row>
    <row r="23" spans="1:40" hidden="1" x14ac:dyDescent="0.2">
      <c r="A23" t="s">
        <v>84</v>
      </c>
      <c r="B23" t="s">
        <v>85</v>
      </c>
      <c r="C23" t="s">
        <v>86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4.9000000000000004</v>
      </c>
      <c r="AE23">
        <v>84</v>
      </c>
      <c r="AF23">
        <v>3.7525773195876289</v>
      </c>
      <c r="AG23">
        <v>2.8880282223665099</v>
      </c>
      <c r="AH23">
        <f>1.90012089618329*1*2</f>
        <v>3.8002417923665801</v>
      </c>
      <c r="AI23">
        <v>1</v>
      </c>
      <c r="AJ23">
        <v>0</v>
      </c>
      <c r="AL23" t="s">
        <v>19</v>
      </c>
      <c r="AM23">
        <f>SUMPRODUCT(Table1[Selected],Table1[LUT])</f>
        <v>0</v>
      </c>
      <c r="AN23">
        <v>5</v>
      </c>
    </row>
    <row r="24" spans="1:40" hidden="1" x14ac:dyDescent="0.2">
      <c r="A24" t="s">
        <v>87</v>
      </c>
      <c r="B24" t="s">
        <v>88</v>
      </c>
      <c r="C24" t="s">
        <v>88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90</v>
      </c>
      <c r="AF24">
        <v>9.5753311836774273</v>
      </c>
      <c r="AG24">
        <v>6.9584529144139893</v>
      </c>
      <c r="AH24">
        <f>5.73216017570239*1*2</f>
        <v>11.46432035140478</v>
      </c>
      <c r="AI24">
        <v>1</v>
      </c>
      <c r="AJ24">
        <v>0</v>
      </c>
      <c r="AL24" t="s">
        <v>20</v>
      </c>
      <c r="AM24">
        <f>SUMPRODUCT(Table1[Selected],Table1[MCI])</f>
        <v>3</v>
      </c>
      <c r="AN24">
        <v>5</v>
      </c>
    </row>
    <row r="25" spans="1:40" x14ac:dyDescent="0.2">
      <c r="A25" t="s">
        <v>171</v>
      </c>
      <c r="B25" t="s">
        <v>172</v>
      </c>
      <c r="C25" s="1" t="s">
        <v>172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15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5.0999999999999996</v>
      </c>
      <c r="AE25">
        <v>327</v>
      </c>
      <c r="AF25">
        <v>9.5976367579091058</v>
      </c>
      <c r="AG25">
        <v>0</v>
      </c>
      <c r="AH25">
        <f>6.3528599069597*1*2</f>
        <v>12.7057198139194</v>
      </c>
      <c r="AI25">
        <v>1</v>
      </c>
      <c r="AJ25">
        <v>1</v>
      </c>
      <c r="AL25" t="s">
        <v>21</v>
      </c>
      <c r="AM25">
        <f>SUMPRODUCT(Table1[Selected],Table1[MUN])</f>
        <v>0</v>
      </c>
      <c r="AN25">
        <v>5</v>
      </c>
    </row>
    <row r="26" spans="1:40" hidden="1" x14ac:dyDescent="0.2">
      <c r="A26" t="s">
        <v>92</v>
      </c>
      <c r="B26" t="s">
        <v>93</v>
      </c>
      <c r="C26" t="s">
        <v>93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100</v>
      </c>
      <c r="AF26">
        <v>6.0512820512820529</v>
      </c>
      <c r="AG26">
        <v>4.8019762154286489</v>
      </c>
      <c r="AH26">
        <f>3.19212121178342*1*2</f>
        <v>6.3842424235668398</v>
      </c>
      <c r="AI26">
        <v>1</v>
      </c>
      <c r="AJ26">
        <v>0</v>
      </c>
      <c r="AL26" t="s">
        <v>22</v>
      </c>
      <c r="AM26">
        <f>SUMPRODUCT(Table1[Selected],Table1[NEW])</f>
        <v>1</v>
      </c>
      <c r="AN26">
        <v>5</v>
      </c>
    </row>
    <row r="27" spans="1:40" hidden="1" x14ac:dyDescent="0.2">
      <c r="A27" t="s">
        <v>94</v>
      </c>
      <c r="B27" t="s">
        <v>95</v>
      </c>
      <c r="C27" t="s">
        <v>95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101</v>
      </c>
      <c r="AF27">
        <v>4.3982796413179592</v>
      </c>
      <c r="AG27">
        <v>4.6934798160236557</v>
      </c>
      <c r="AH27">
        <f>2.52208102000168*1*2</f>
        <v>5.0441620400033598</v>
      </c>
      <c r="AI27">
        <v>1</v>
      </c>
      <c r="AJ27">
        <v>0</v>
      </c>
      <c r="AL27" t="s">
        <v>23</v>
      </c>
      <c r="AM27">
        <f>SUMPRODUCT(Table1[Selected],Table1[NFO])</f>
        <v>0</v>
      </c>
      <c r="AN27">
        <v>5</v>
      </c>
    </row>
    <row r="28" spans="1:40" hidden="1" x14ac:dyDescent="0.2">
      <c r="A28" t="s">
        <v>96</v>
      </c>
      <c r="B28" t="s">
        <v>97</v>
      </c>
      <c r="C28" t="s">
        <v>97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102</v>
      </c>
      <c r="AF28">
        <v>4.8181818181818148</v>
      </c>
      <c r="AG28">
        <v>4.2246076687867884</v>
      </c>
      <c r="AH28">
        <f>2.84184462980708*1*2</f>
        <v>5.6836892596141597</v>
      </c>
      <c r="AI28">
        <v>1</v>
      </c>
      <c r="AJ28">
        <v>0</v>
      </c>
      <c r="AL28" t="s">
        <v>24</v>
      </c>
      <c r="AM28">
        <f>SUMPRODUCT(Table1[Selected],Table1[SHU])</f>
        <v>0</v>
      </c>
      <c r="AN28">
        <v>5</v>
      </c>
    </row>
    <row r="29" spans="1:40" hidden="1" x14ac:dyDescent="0.2">
      <c r="A29" t="s">
        <v>98</v>
      </c>
      <c r="B29" t="s">
        <v>99</v>
      </c>
      <c r="C29" t="s">
        <v>99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7.1</v>
      </c>
      <c r="AE29">
        <v>103</v>
      </c>
      <c r="AF29">
        <v>9.6477316242754725</v>
      </c>
      <c r="AG29">
        <v>6.0071505114863637</v>
      </c>
      <c r="AH29">
        <f>4.51281203648554*1*2</f>
        <v>9.0256240729710804</v>
      </c>
      <c r="AI29">
        <v>1</v>
      </c>
      <c r="AJ29">
        <v>0</v>
      </c>
      <c r="AL29" t="s">
        <v>25</v>
      </c>
      <c r="AM29">
        <f>SUMPRODUCT(Table1[Selected],Table1[TOT])</f>
        <v>0</v>
      </c>
      <c r="AN29">
        <v>5</v>
      </c>
    </row>
    <row r="30" spans="1:40" hidden="1" x14ac:dyDescent="0.2">
      <c r="A30" t="s">
        <v>100</v>
      </c>
      <c r="B30" t="s">
        <v>101</v>
      </c>
      <c r="C30" t="s">
        <v>101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104</v>
      </c>
      <c r="AF30">
        <v>7.3566583801865324</v>
      </c>
      <c r="AG30">
        <v>9.3636797480083551</v>
      </c>
      <c r="AH30">
        <f>5.70664971778669*1*2</f>
        <v>11.41329943557338</v>
      </c>
      <c r="AI30">
        <v>1</v>
      </c>
      <c r="AJ30">
        <v>0</v>
      </c>
      <c r="AL30" t="s">
        <v>26</v>
      </c>
      <c r="AM30">
        <f>SUMPRODUCT(Table1[Selected],Table1[WHU])</f>
        <v>0</v>
      </c>
      <c r="AN30">
        <v>5</v>
      </c>
    </row>
    <row r="31" spans="1:40" hidden="1" x14ac:dyDescent="0.2">
      <c r="A31" t="s">
        <v>102</v>
      </c>
      <c r="B31" t="s">
        <v>103</v>
      </c>
      <c r="C31" t="s">
        <v>103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107</v>
      </c>
      <c r="AF31">
        <v>4.6315789473684221</v>
      </c>
      <c r="AG31">
        <v>4.8716669102886341</v>
      </c>
      <c r="AH31">
        <f>3.83804759011636*1*2</f>
        <v>7.6760951802327204</v>
      </c>
      <c r="AI31">
        <v>1</v>
      </c>
      <c r="AJ31">
        <v>0</v>
      </c>
      <c r="AL31" t="s">
        <v>27</v>
      </c>
      <c r="AM31">
        <f>SUMPRODUCT(Table1[Selected],Table1[WOL])</f>
        <v>2</v>
      </c>
      <c r="AN31">
        <v>5</v>
      </c>
    </row>
    <row r="32" spans="1:40" hidden="1" x14ac:dyDescent="0.2">
      <c r="A32" t="s">
        <v>104</v>
      </c>
      <c r="B32" t="s">
        <v>105</v>
      </c>
      <c r="C32" t="s">
        <v>105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108</v>
      </c>
      <c r="AF32">
        <v>4.2307692307692291</v>
      </c>
      <c r="AG32">
        <v>3.8008421420445262</v>
      </c>
      <c r="AH32">
        <f>2.43040185307705*1*2</f>
        <v>4.8608037061541003</v>
      </c>
      <c r="AI32">
        <v>1</v>
      </c>
      <c r="AJ32">
        <v>0</v>
      </c>
    </row>
    <row r="33" spans="1:36" hidden="1" x14ac:dyDescent="0.2">
      <c r="A33" t="s">
        <v>106</v>
      </c>
      <c r="B33" t="s">
        <v>107</v>
      </c>
      <c r="C33" t="s">
        <v>107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121</v>
      </c>
      <c r="AF33">
        <v>5.830508474576269</v>
      </c>
      <c r="AG33">
        <v>6.5339780341400147</v>
      </c>
      <c r="AH33">
        <f>3.43258021171409*1*2</f>
        <v>6.86516042342818</v>
      </c>
      <c r="AI33">
        <v>1</v>
      </c>
      <c r="AJ33">
        <v>0</v>
      </c>
    </row>
    <row r="34" spans="1:36" hidden="1" x14ac:dyDescent="0.2">
      <c r="A34" t="s">
        <v>108</v>
      </c>
      <c r="B34" t="s">
        <v>109</v>
      </c>
      <c r="C34" t="s">
        <v>109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127</v>
      </c>
      <c r="AF34">
        <v>4.9189189189189211</v>
      </c>
      <c r="AG34">
        <v>4.7392235376535687</v>
      </c>
      <c r="AH34">
        <f>2.69646058751179*1*2</f>
        <v>5.3929211750235799</v>
      </c>
      <c r="AI34">
        <v>1</v>
      </c>
      <c r="AJ34">
        <v>0</v>
      </c>
    </row>
    <row r="35" spans="1:36" hidden="1" x14ac:dyDescent="0.2">
      <c r="A35" t="s">
        <v>110</v>
      </c>
      <c r="B35" t="s">
        <v>111</v>
      </c>
      <c r="C35" t="s">
        <v>111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132</v>
      </c>
      <c r="AF35">
        <v>6.7058823529411757</v>
      </c>
      <c r="AG35">
        <v>3.702624278135767</v>
      </c>
      <c r="AH35">
        <f>3.11662570490998*1*2</f>
        <v>6.2332514098199603</v>
      </c>
      <c r="AI35">
        <v>1</v>
      </c>
      <c r="AJ35">
        <v>0</v>
      </c>
    </row>
    <row r="36" spans="1:36" hidden="1" x14ac:dyDescent="0.2">
      <c r="A36" t="s">
        <v>112</v>
      </c>
      <c r="B36" t="s">
        <v>113</v>
      </c>
      <c r="C36" t="s">
        <v>113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5.2</v>
      </c>
      <c r="AE36">
        <v>136</v>
      </c>
      <c r="AF36">
        <v>5.1224489795918373</v>
      </c>
      <c r="AG36">
        <v>5.5958390749593612</v>
      </c>
      <c r="AH36">
        <f>2.83882995929286*1*2</f>
        <v>5.6776599185857197</v>
      </c>
      <c r="AI36">
        <v>1</v>
      </c>
      <c r="AJ36">
        <v>0</v>
      </c>
    </row>
    <row r="37" spans="1:36" hidden="1" x14ac:dyDescent="0.2">
      <c r="A37" t="s">
        <v>114</v>
      </c>
      <c r="B37" t="s">
        <v>115</v>
      </c>
      <c r="C37" t="s">
        <v>115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5.2</v>
      </c>
      <c r="AE37">
        <v>137</v>
      </c>
      <c r="AF37">
        <v>5.5327680832900761</v>
      </c>
      <c r="AG37">
        <v>6.5601368820593011</v>
      </c>
      <c r="AH37">
        <f>3.17326214760937*1*2</f>
        <v>6.3465242952187397</v>
      </c>
      <c r="AI37">
        <v>1</v>
      </c>
      <c r="AJ37">
        <v>0</v>
      </c>
    </row>
    <row r="38" spans="1:36" hidden="1" x14ac:dyDescent="0.2">
      <c r="A38" t="s">
        <v>116</v>
      </c>
      <c r="B38" t="s">
        <v>117</v>
      </c>
      <c r="C38" t="s">
        <v>117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4.7</v>
      </c>
      <c r="AE38">
        <v>138</v>
      </c>
      <c r="AF38">
        <v>4.3684210526315796</v>
      </c>
      <c r="AG38">
        <v>4.8528607821383503</v>
      </c>
      <c r="AH38">
        <f>2.41611785054999*1*2</f>
        <v>4.8322357010999797</v>
      </c>
      <c r="AI38">
        <v>1</v>
      </c>
      <c r="AJ38">
        <v>0</v>
      </c>
    </row>
    <row r="39" spans="1:36" hidden="1" x14ac:dyDescent="0.2">
      <c r="A39" t="s">
        <v>118</v>
      </c>
      <c r="B39" t="s">
        <v>119</v>
      </c>
      <c r="C39" t="s">
        <v>119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6.8</v>
      </c>
      <c r="AE39">
        <v>139</v>
      </c>
      <c r="AF39">
        <v>7.9354838709677402</v>
      </c>
      <c r="AG39">
        <v>7.7132583357338476</v>
      </c>
      <c r="AH39">
        <f>4.22008212969775*1*2</f>
        <v>8.4401642593955</v>
      </c>
      <c r="AI39">
        <v>1</v>
      </c>
      <c r="AJ39">
        <v>0</v>
      </c>
    </row>
    <row r="40" spans="1:36" hidden="1" x14ac:dyDescent="0.2">
      <c r="A40" t="s">
        <v>120</v>
      </c>
      <c r="B40" t="s">
        <v>121</v>
      </c>
      <c r="C40" t="s">
        <v>121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143</v>
      </c>
      <c r="AF40">
        <v>6.2352941176470571</v>
      </c>
      <c r="AG40">
        <v>5.8056283070959287</v>
      </c>
      <c r="AH40">
        <f>3.35164921553586*1*2</f>
        <v>6.7032984310717199</v>
      </c>
      <c r="AI40">
        <v>1</v>
      </c>
      <c r="AJ40">
        <v>0</v>
      </c>
    </row>
    <row r="41" spans="1:36" hidden="1" x14ac:dyDescent="0.2">
      <c r="A41" t="s">
        <v>122</v>
      </c>
      <c r="B41" t="s">
        <v>123</v>
      </c>
      <c r="C41" t="s">
        <v>123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5.7</v>
      </c>
      <c r="AE41">
        <v>149</v>
      </c>
      <c r="AF41">
        <v>6.4539152100530286</v>
      </c>
      <c r="AG41">
        <v>5.5995939262685788</v>
      </c>
      <c r="AH41">
        <f>3.14106418925014*1*2</f>
        <v>6.2821283785002802</v>
      </c>
      <c r="AI41">
        <v>1</v>
      </c>
      <c r="AJ41">
        <v>0</v>
      </c>
    </row>
    <row r="42" spans="1:36" x14ac:dyDescent="0.2">
      <c r="A42" t="s">
        <v>47</v>
      </c>
      <c r="B42" t="s">
        <v>48</v>
      </c>
      <c r="C42" s="1" t="s">
        <v>48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9</v>
      </c>
      <c r="AE42">
        <v>17</v>
      </c>
      <c r="AF42">
        <v>13.5469157080017</v>
      </c>
      <c r="AG42">
        <v>0</v>
      </c>
      <c r="AH42">
        <f>8.195148774016*0.75*2</f>
        <v>12.292723161024</v>
      </c>
      <c r="AI42">
        <v>0.75</v>
      </c>
      <c r="AJ42">
        <v>1</v>
      </c>
    </row>
    <row r="43" spans="1:36" hidden="1" x14ac:dyDescent="0.2">
      <c r="A43" t="s">
        <v>270</v>
      </c>
      <c r="B43" t="s">
        <v>271</v>
      </c>
      <c r="C43" t="s">
        <v>271</v>
      </c>
      <c r="D43" t="s">
        <v>6</v>
      </c>
      <c r="E43">
        <v>0</v>
      </c>
      <c r="F43">
        <v>0</v>
      </c>
      <c r="G43">
        <v>0</v>
      </c>
      <c r="H43">
        <v>1</v>
      </c>
      <c r="I43" t="s">
        <v>22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8.4</v>
      </c>
      <c r="AE43">
        <v>606</v>
      </c>
      <c r="AF43">
        <v>15.7659574468085</v>
      </c>
      <c r="AG43">
        <v>13.1666779823423</v>
      </c>
      <c r="AH43">
        <f>12.1076907472221*1</f>
        <v>12.107690747222099</v>
      </c>
      <c r="AI43">
        <v>1</v>
      </c>
      <c r="AJ43">
        <v>0</v>
      </c>
    </row>
    <row r="44" spans="1:36" hidden="1" x14ac:dyDescent="0.2">
      <c r="A44" t="s">
        <v>128</v>
      </c>
      <c r="B44" t="s">
        <v>129</v>
      </c>
      <c r="C44" t="s">
        <v>128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12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5.2</v>
      </c>
      <c r="AE44">
        <v>176</v>
      </c>
      <c r="AF44">
        <v>8.4497729201899503</v>
      </c>
      <c r="AG44">
        <v>7.9803050036791712</v>
      </c>
      <c r="AH44">
        <f>4.99215133850633*1</f>
        <v>4.9921513385063303</v>
      </c>
      <c r="AI44">
        <v>1</v>
      </c>
      <c r="AJ44">
        <v>0</v>
      </c>
    </row>
    <row r="45" spans="1:36" hidden="1" x14ac:dyDescent="0.2">
      <c r="A45" t="s">
        <v>130</v>
      </c>
      <c r="B45" t="s">
        <v>131</v>
      </c>
      <c r="C45" t="s">
        <v>131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4.7</v>
      </c>
      <c r="AE45">
        <v>215</v>
      </c>
      <c r="AF45">
        <v>5.0722719751837877</v>
      </c>
      <c r="AG45">
        <v>0</v>
      </c>
      <c r="AH45">
        <f>3.66470959349544*1*2</f>
        <v>7.3294191869908802</v>
      </c>
      <c r="AI45">
        <v>1</v>
      </c>
      <c r="AJ45">
        <v>0</v>
      </c>
    </row>
    <row r="46" spans="1:36" hidden="1" x14ac:dyDescent="0.2">
      <c r="A46" t="s">
        <v>132</v>
      </c>
      <c r="B46" t="s">
        <v>133</v>
      </c>
      <c r="C46" t="s">
        <v>133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4.4000000000000004</v>
      </c>
      <c r="AE46">
        <v>227</v>
      </c>
      <c r="AF46">
        <v>4.7427424140893351</v>
      </c>
      <c r="AG46">
        <v>0</v>
      </c>
      <c r="AH46">
        <f>2.7120806360922*1*2</f>
        <v>5.4241612721844001</v>
      </c>
      <c r="AI46">
        <v>1</v>
      </c>
      <c r="AJ46">
        <v>0</v>
      </c>
    </row>
    <row r="47" spans="1:36" hidden="1" x14ac:dyDescent="0.2">
      <c r="A47" t="s">
        <v>134</v>
      </c>
      <c r="B47" t="s">
        <v>135</v>
      </c>
      <c r="C47" t="s">
        <v>135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5.0999999999999996</v>
      </c>
      <c r="AE47">
        <v>241</v>
      </c>
      <c r="AF47">
        <v>5.2903225806451601</v>
      </c>
      <c r="AG47">
        <v>0</v>
      </c>
      <c r="AH47">
        <f>3.02520781795483*1*2</f>
        <v>6.0504156359096601</v>
      </c>
      <c r="AI47">
        <v>1</v>
      </c>
      <c r="AJ47">
        <v>0</v>
      </c>
    </row>
    <row r="48" spans="1:36" hidden="1" x14ac:dyDescent="0.2">
      <c r="A48" t="s">
        <v>136</v>
      </c>
      <c r="B48" t="s">
        <v>137</v>
      </c>
      <c r="C48" t="s">
        <v>137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4.8</v>
      </c>
      <c r="AE48">
        <v>245</v>
      </c>
      <c r="AF48">
        <v>5.0344827586206877</v>
      </c>
      <c r="AG48">
        <v>0</v>
      </c>
      <c r="AH48">
        <f>2.87890886965172*1*2</f>
        <v>5.75781773930344</v>
      </c>
      <c r="AI48">
        <v>1</v>
      </c>
      <c r="AJ48">
        <v>0</v>
      </c>
    </row>
    <row r="49" spans="1:36" hidden="1" x14ac:dyDescent="0.2">
      <c r="A49" t="s">
        <v>138</v>
      </c>
      <c r="B49" t="s">
        <v>139</v>
      </c>
      <c r="C49" t="s">
        <v>139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247</v>
      </c>
      <c r="AF49">
        <v>5.7777777777777786</v>
      </c>
      <c r="AG49">
        <v>0</v>
      </c>
      <c r="AH49">
        <f>3.30395325375555*1*2</f>
        <v>6.6079065075110996</v>
      </c>
      <c r="AI49">
        <v>1</v>
      </c>
      <c r="AJ49">
        <v>0</v>
      </c>
    </row>
    <row r="50" spans="1:36" hidden="1" x14ac:dyDescent="0.2">
      <c r="A50" t="s">
        <v>140</v>
      </c>
      <c r="B50" t="s">
        <v>141</v>
      </c>
      <c r="C50" t="s">
        <v>142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254</v>
      </c>
      <c r="AF50">
        <v>6.3809523809523796</v>
      </c>
      <c r="AG50">
        <v>0</v>
      </c>
      <c r="AH50">
        <f>5.55962855296507*1</f>
        <v>5.5596285529650702</v>
      </c>
      <c r="AI50">
        <v>1</v>
      </c>
      <c r="AJ50">
        <v>0</v>
      </c>
    </row>
    <row r="51" spans="1:36" hidden="1" x14ac:dyDescent="0.2">
      <c r="A51" t="s">
        <v>143</v>
      </c>
      <c r="B51" t="s">
        <v>144</v>
      </c>
      <c r="C51" t="s">
        <v>144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4.5999999999999996</v>
      </c>
      <c r="AE51">
        <v>267</v>
      </c>
      <c r="AF51">
        <v>8.0769230769230766</v>
      </c>
      <c r="AG51">
        <v>0</v>
      </c>
      <c r="AH51">
        <f>7.03730250246153*1</f>
        <v>7.0373025024615297</v>
      </c>
      <c r="AI51">
        <v>1</v>
      </c>
      <c r="AJ51">
        <v>0</v>
      </c>
    </row>
    <row r="52" spans="1:36" hidden="1" x14ac:dyDescent="0.2">
      <c r="A52" t="s">
        <v>145</v>
      </c>
      <c r="B52" t="s">
        <v>146</v>
      </c>
      <c r="C52" t="s">
        <v>145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4.8</v>
      </c>
      <c r="AE52">
        <v>269</v>
      </c>
      <c r="AF52">
        <v>7.9772727272727249</v>
      </c>
      <c r="AG52">
        <v>0</v>
      </c>
      <c r="AH52">
        <f>6.95047864041818*1</f>
        <v>6.9504786404181802</v>
      </c>
      <c r="AI52">
        <v>1</v>
      </c>
      <c r="AJ52">
        <v>0</v>
      </c>
    </row>
    <row r="53" spans="1:36" hidden="1" x14ac:dyDescent="0.2">
      <c r="A53" t="s">
        <v>147</v>
      </c>
      <c r="B53" t="s">
        <v>148</v>
      </c>
      <c r="C53" t="s">
        <v>148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271</v>
      </c>
      <c r="AF53">
        <v>9.358571225411108</v>
      </c>
      <c r="AG53">
        <v>0</v>
      </c>
      <c r="AH53">
        <f>7.99530475302615*1</f>
        <v>7.9953047530261498</v>
      </c>
      <c r="AI53">
        <v>1</v>
      </c>
      <c r="AJ53">
        <v>0</v>
      </c>
    </row>
    <row r="54" spans="1:36" hidden="1" x14ac:dyDescent="0.2">
      <c r="A54" t="s">
        <v>149</v>
      </c>
      <c r="B54" t="s">
        <v>150</v>
      </c>
      <c r="C54" t="s">
        <v>150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6.3</v>
      </c>
      <c r="AE54">
        <v>276</v>
      </c>
      <c r="AF54">
        <v>7.9024390243902456</v>
      </c>
      <c r="AG54">
        <v>0</v>
      </c>
      <c r="AH54">
        <f>6.88527715223414*1</f>
        <v>6.8852771522341403</v>
      </c>
      <c r="AI54">
        <v>1</v>
      </c>
      <c r="AJ54">
        <v>0</v>
      </c>
    </row>
    <row r="55" spans="1:36" hidden="1" x14ac:dyDescent="0.2">
      <c r="A55" t="s">
        <v>151</v>
      </c>
      <c r="B55" t="s">
        <v>152</v>
      </c>
      <c r="C55" t="s">
        <v>153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</v>
      </c>
      <c r="AE55">
        <v>277</v>
      </c>
      <c r="AF55">
        <v>12.67741935483871</v>
      </c>
      <c r="AG55">
        <v>0</v>
      </c>
      <c r="AH55">
        <f>11.0456462319741*1</f>
        <v>11.0456462319741</v>
      </c>
      <c r="AI55">
        <v>1</v>
      </c>
      <c r="AJ55">
        <v>0</v>
      </c>
    </row>
    <row r="56" spans="1:36" hidden="1" x14ac:dyDescent="0.2">
      <c r="A56" t="s">
        <v>154</v>
      </c>
      <c r="B56" t="s">
        <v>155</v>
      </c>
      <c r="C56" t="s">
        <v>156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</v>
      </c>
      <c r="AE56">
        <v>283</v>
      </c>
      <c r="AF56">
        <v>10.373493975903621</v>
      </c>
      <c r="AG56">
        <v>0</v>
      </c>
      <c r="AH56">
        <f>9.03827044292048*1</f>
        <v>9.0382704429204797</v>
      </c>
      <c r="AI56">
        <v>1</v>
      </c>
      <c r="AJ56">
        <v>0</v>
      </c>
    </row>
    <row r="57" spans="1:36" hidden="1" x14ac:dyDescent="0.2">
      <c r="A57" t="s">
        <v>266</v>
      </c>
      <c r="B57" t="s">
        <v>267</v>
      </c>
      <c r="C57" t="s">
        <v>267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22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4.7</v>
      </c>
      <c r="AE57">
        <v>598</v>
      </c>
      <c r="AF57">
        <v>9.1979329918310739</v>
      </c>
      <c r="AG57">
        <v>8.713824416085739</v>
      </c>
      <c r="AH57">
        <f>7.36979219168409*1</f>
        <v>7.3697921916840903</v>
      </c>
      <c r="AI57">
        <v>1</v>
      </c>
      <c r="AJ57">
        <v>0</v>
      </c>
    </row>
    <row r="58" spans="1:36" hidden="1" x14ac:dyDescent="0.2">
      <c r="A58" t="s">
        <v>159</v>
      </c>
      <c r="B58" t="s">
        <v>160</v>
      </c>
      <c r="C58" t="s">
        <v>160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315</v>
      </c>
      <c r="AF58">
        <v>6.1587301587301546</v>
      </c>
      <c r="AG58">
        <v>0</v>
      </c>
      <c r="AH58">
        <f>4.07658165130475*1*2</f>
        <v>8.1531633026094994</v>
      </c>
      <c r="AI58">
        <v>1</v>
      </c>
      <c r="AJ58">
        <v>0</v>
      </c>
    </row>
    <row r="59" spans="1:36" hidden="1" x14ac:dyDescent="0.2">
      <c r="A59" t="s">
        <v>161</v>
      </c>
      <c r="B59" t="s">
        <v>162</v>
      </c>
      <c r="C59" t="s">
        <v>163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5.4</v>
      </c>
      <c r="AE59">
        <v>316</v>
      </c>
      <c r="AF59">
        <v>5.6363636363636438</v>
      </c>
      <c r="AG59">
        <v>0</v>
      </c>
      <c r="AH59">
        <f>3.73081722820909*1*2</f>
        <v>7.4616344564181798</v>
      </c>
      <c r="AI59">
        <v>1</v>
      </c>
      <c r="AJ59">
        <v>0</v>
      </c>
    </row>
    <row r="60" spans="1:36" hidden="1" x14ac:dyDescent="0.2">
      <c r="A60" t="s">
        <v>164</v>
      </c>
      <c r="B60" t="s">
        <v>165</v>
      </c>
      <c r="C60" t="s">
        <v>165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</v>
      </c>
      <c r="AE60">
        <v>321</v>
      </c>
      <c r="AF60">
        <v>7.5576923076923048</v>
      </c>
      <c r="AG60">
        <v>0</v>
      </c>
      <c r="AH60">
        <f>5.00258153770095*1*2</f>
        <v>10.005163075401899</v>
      </c>
      <c r="AI60">
        <v>1</v>
      </c>
      <c r="AJ60">
        <v>0</v>
      </c>
    </row>
    <row r="61" spans="1:36" hidden="1" x14ac:dyDescent="0.2">
      <c r="A61" t="s">
        <v>166</v>
      </c>
      <c r="B61" t="s">
        <v>167</v>
      </c>
      <c r="C61" t="s">
        <v>167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324</v>
      </c>
      <c r="AF61">
        <v>4.2461538461538408</v>
      </c>
      <c r="AG61">
        <v>0</v>
      </c>
      <c r="AH61">
        <f>2.81061069599076*1*2</f>
        <v>5.6212213919815204</v>
      </c>
      <c r="AI61">
        <v>1</v>
      </c>
      <c r="AJ61">
        <v>0</v>
      </c>
    </row>
    <row r="62" spans="1:36" hidden="1" x14ac:dyDescent="0.2">
      <c r="A62" t="s">
        <v>168</v>
      </c>
      <c r="B62" t="s">
        <v>169</v>
      </c>
      <c r="C62" t="s">
        <v>170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4.7</v>
      </c>
      <c r="AE62">
        <v>326</v>
      </c>
      <c r="AF62">
        <v>5.3256783189261547</v>
      </c>
      <c r="AG62">
        <v>0</v>
      </c>
      <c r="AH62">
        <f>3.65823404771592*1*2</f>
        <v>7.3164680954318397</v>
      </c>
      <c r="AI62">
        <v>1</v>
      </c>
      <c r="AJ62">
        <v>0</v>
      </c>
    </row>
    <row r="63" spans="1:36" x14ac:dyDescent="0.2">
      <c r="A63" t="s">
        <v>325</v>
      </c>
      <c r="B63" t="s">
        <v>326</v>
      </c>
      <c r="C63" s="1" t="s">
        <v>327</v>
      </c>
      <c r="D63" t="s">
        <v>3</v>
      </c>
      <c r="E63">
        <v>1</v>
      </c>
      <c r="F63">
        <v>0</v>
      </c>
      <c r="G63">
        <v>0</v>
      </c>
      <c r="H63">
        <v>0</v>
      </c>
      <c r="I63" t="s">
        <v>27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5</v>
      </c>
      <c r="AE63">
        <v>835</v>
      </c>
      <c r="AF63">
        <v>7.9074835947292677</v>
      </c>
      <c r="AG63">
        <v>7.5772736587134633</v>
      </c>
      <c r="AH63">
        <f>5.82622829384864*1*2</f>
        <v>11.65245658769728</v>
      </c>
      <c r="AI63">
        <v>1</v>
      </c>
      <c r="AJ63">
        <v>1</v>
      </c>
    </row>
    <row r="64" spans="1:36" hidden="1" x14ac:dyDescent="0.2">
      <c r="A64" t="s">
        <v>173</v>
      </c>
      <c r="B64" t="s">
        <v>174</v>
      </c>
      <c r="C64" t="s">
        <v>174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329</v>
      </c>
      <c r="AF64">
        <v>2.0793199534560078</v>
      </c>
      <c r="AG64">
        <v>0</v>
      </c>
      <c r="AH64">
        <f>2.28308131297139*1*2</f>
        <v>4.5661626259427797</v>
      </c>
      <c r="AI64">
        <v>1</v>
      </c>
      <c r="AJ64">
        <v>0</v>
      </c>
    </row>
    <row r="65" spans="1:36" hidden="1" x14ac:dyDescent="0.2">
      <c r="A65" t="s">
        <v>175</v>
      </c>
      <c r="B65" t="s">
        <v>176</v>
      </c>
      <c r="C65" t="s">
        <v>176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4.8</v>
      </c>
      <c r="AE65">
        <v>335</v>
      </c>
      <c r="AF65">
        <v>5.2716049382716106</v>
      </c>
      <c r="AG65">
        <v>0</v>
      </c>
      <c r="AH65">
        <f>3.48937644780926*1*2</f>
        <v>6.9787528956185199</v>
      </c>
      <c r="AI65">
        <v>1</v>
      </c>
      <c r="AJ65">
        <v>0</v>
      </c>
    </row>
    <row r="66" spans="1:36" hidden="1" x14ac:dyDescent="0.2">
      <c r="A66" t="s">
        <v>177</v>
      </c>
      <c r="B66" t="s">
        <v>178</v>
      </c>
      <c r="C66" t="s">
        <v>178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</v>
      </c>
      <c r="AE66">
        <v>353</v>
      </c>
      <c r="AF66">
        <v>0</v>
      </c>
      <c r="AG66">
        <v>6.1663450637037176</v>
      </c>
      <c r="AH66">
        <f>3.08545752171192*1*2</f>
        <v>6.1709150434238396</v>
      </c>
      <c r="AI66">
        <v>1</v>
      </c>
      <c r="AJ66">
        <v>0</v>
      </c>
    </row>
    <row r="67" spans="1:36" hidden="1" x14ac:dyDescent="0.2">
      <c r="A67" t="s">
        <v>98</v>
      </c>
      <c r="B67" t="s">
        <v>179</v>
      </c>
      <c r="C67" t="s">
        <v>179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5.8</v>
      </c>
      <c r="AE67">
        <v>354</v>
      </c>
      <c r="AF67">
        <v>0</v>
      </c>
      <c r="AG67">
        <v>5.5715498073342742</v>
      </c>
      <c r="AH67">
        <f>3.18105714643025*1*2</f>
        <v>6.3621142928605003</v>
      </c>
      <c r="AI67">
        <v>1</v>
      </c>
      <c r="AJ67">
        <v>0</v>
      </c>
    </row>
    <row r="68" spans="1:36" hidden="1" x14ac:dyDescent="0.2">
      <c r="A68" t="s">
        <v>180</v>
      </c>
      <c r="B68" t="s">
        <v>181</v>
      </c>
      <c r="C68" t="s">
        <v>182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357</v>
      </c>
      <c r="AF68">
        <v>0</v>
      </c>
      <c r="AG68">
        <v>5.8422624998765631</v>
      </c>
      <c r="AH68">
        <f>3.37481757254312*1*2</f>
        <v>6.7496351450862404</v>
      </c>
      <c r="AI68">
        <v>1</v>
      </c>
      <c r="AJ68">
        <v>0</v>
      </c>
    </row>
    <row r="69" spans="1:36" hidden="1" x14ac:dyDescent="0.2">
      <c r="A69" t="s">
        <v>183</v>
      </c>
      <c r="B69" t="s">
        <v>184</v>
      </c>
      <c r="C69" t="s">
        <v>184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5.4</v>
      </c>
      <c r="AE69">
        <v>364</v>
      </c>
      <c r="AF69">
        <v>0</v>
      </c>
      <c r="AG69">
        <v>5.651534101291098</v>
      </c>
      <c r="AH69">
        <f>3.42337748777386*1*2</f>
        <v>6.8467549755477197</v>
      </c>
      <c r="AI69">
        <v>1</v>
      </c>
      <c r="AJ69">
        <v>0</v>
      </c>
    </row>
    <row r="70" spans="1:36" hidden="1" x14ac:dyDescent="0.2">
      <c r="A70" t="s">
        <v>185</v>
      </c>
      <c r="B70" t="s">
        <v>186</v>
      </c>
      <c r="C70" t="s">
        <v>186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365</v>
      </c>
      <c r="AF70">
        <v>0</v>
      </c>
      <c r="AG70">
        <v>5.1490149375742389</v>
      </c>
      <c r="AH70">
        <f>3.62155976229893*1*2</f>
        <v>7.2431195245978603</v>
      </c>
      <c r="AI70">
        <v>1</v>
      </c>
      <c r="AJ70">
        <v>0</v>
      </c>
    </row>
    <row r="71" spans="1:36" hidden="1" x14ac:dyDescent="0.2">
      <c r="A71" t="s">
        <v>161</v>
      </c>
      <c r="B71" t="s">
        <v>187</v>
      </c>
      <c r="C71" t="s">
        <v>187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368</v>
      </c>
      <c r="AF71">
        <v>0</v>
      </c>
      <c r="AG71">
        <v>6.7719996451158657</v>
      </c>
      <c r="AH71">
        <f>3.71196211105246*1*2</f>
        <v>7.4239242221049198</v>
      </c>
      <c r="AI71">
        <v>1</v>
      </c>
      <c r="AJ71">
        <v>0</v>
      </c>
    </row>
    <row r="72" spans="1:36" hidden="1" x14ac:dyDescent="0.2">
      <c r="A72" t="s">
        <v>188</v>
      </c>
      <c r="B72" t="s">
        <v>189</v>
      </c>
      <c r="C72" t="s">
        <v>189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4.5999999999999996</v>
      </c>
      <c r="AE72">
        <v>370</v>
      </c>
      <c r="AF72">
        <v>0</v>
      </c>
      <c r="AG72">
        <v>5.6625222204017813</v>
      </c>
      <c r="AH72">
        <f>3.9296131569229*1*2</f>
        <v>7.8592263138457996</v>
      </c>
      <c r="AI72">
        <v>1</v>
      </c>
      <c r="AJ72">
        <v>0</v>
      </c>
    </row>
    <row r="73" spans="1:36" hidden="1" x14ac:dyDescent="0.2">
      <c r="A73" t="s">
        <v>190</v>
      </c>
      <c r="B73" t="s">
        <v>191</v>
      </c>
      <c r="C73" t="s">
        <v>191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4.4000000000000004</v>
      </c>
      <c r="AE73">
        <v>373</v>
      </c>
      <c r="AF73">
        <v>0</v>
      </c>
      <c r="AG73">
        <v>3.9798662254423092</v>
      </c>
      <c r="AH73">
        <f>2.96508555699663*1*2</f>
        <v>5.9301711139932598</v>
      </c>
      <c r="AI73">
        <v>1</v>
      </c>
      <c r="AJ73">
        <v>0</v>
      </c>
    </row>
    <row r="74" spans="1:36" hidden="1" x14ac:dyDescent="0.2">
      <c r="A74" t="s">
        <v>192</v>
      </c>
      <c r="B74" t="s">
        <v>193</v>
      </c>
      <c r="C74" t="s">
        <v>193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379</v>
      </c>
      <c r="AF74">
        <v>0</v>
      </c>
      <c r="AG74">
        <v>6.4763154821850204</v>
      </c>
      <c r="AH74">
        <f>3.74974356196548*1*2</f>
        <v>7.49948712393096</v>
      </c>
      <c r="AI74">
        <v>1</v>
      </c>
      <c r="AJ74">
        <v>0</v>
      </c>
    </row>
    <row r="75" spans="1:36" hidden="1" x14ac:dyDescent="0.2">
      <c r="A75" t="s">
        <v>194</v>
      </c>
      <c r="B75" t="s">
        <v>195</v>
      </c>
      <c r="C75" t="s">
        <v>195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386</v>
      </c>
      <c r="AF75">
        <v>5.9594287122325831</v>
      </c>
      <c r="AG75">
        <v>5.0224119068360036</v>
      </c>
      <c r="AH75">
        <f>3.59000487255206*1*2</f>
        <v>7.1800097451041198</v>
      </c>
      <c r="AI75">
        <v>1</v>
      </c>
      <c r="AJ75">
        <v>0</v>
      </c>
    </row>
    <row r="76" spans="1:36" hidden="1" x14ac:dyDescent="0.2">
      <c r="A76" t="s">
        <v>196</v>
      </c>
      <c r="B76" t="s">
        <v>197</v>
      </c>
      <c r="C76" t="s">
        <v>196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387</v>
      </c>
      <c r="AF76">
        <v>7.2647058823529376</v>
      </c>
      <c r="AG76">
        <v>6.7421387206729442</v>
      </c>
      <c r="AH76">
        <f>4.52751210516496*1*2</f>
        <v>9.0550242103299201</v>
      </c>
      <c r="AI76">
        <v>1</v>
      </c>
      <c r="AJ76">
        <v>0</v>
      </c>
    </row>
    <row r="77" spans="1:36" hidden="1" x14ac:dyDescent="0.2">
      <c r="A77" t="s">
        <v>198</v>
      </c>
      <c r="B77" t="s">
        <v>199</v>
      </c>
      <c r="C77" t="s">
        <v>199</v>
      </c>
      <c r="D77" t="s">
        <v>3</v>
      </c>
      <c r="E77">
        <v>1</v>
      </c>
      <c r="F77">
        <v>0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395</v>
      </c>
      <c r="AF77">
        <v>6.9920812765239262</v>
      </c>
      <c r="AG77">
        <v>6.4476748602166118</v>
      </c>
      <c r="AH77">
        <f>3.82606842678552*1*2</f>
        <v>7.6521368535710401</v>
      </c>
      <c r="AI77">
        <v>1</v>
      </c>
      <c r="AJ77">
        <v>0</v>
      </c>
    </row>
    <row r="78" spans="1:36" hidden="1" x14ac:dyDescent="0.2">
      <c r="A78" t="s">
        <v>200</v>
      </c>
      <c r="B78" t="s">
        <v>201</v>
      </c>
      <c r="C78" t="s">
        <v>202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400</v>
      </c>
      <c r="AF78">
        <v>5.4796620108472212</v>
      </c>
      <c r="AG78">
        <v>4.8338854332684491</v>
      </c>
      <c r="AH78">
        <f>3.82289497839962*1*2</f>
        <v>7.6457899567992396</v>
      </c>
      <c r="AI78">
        <v>1</v>
      </c>
      <c r="AJ78">
        <v>0</v>
      </c>
    </row>
    <row r="79" spans="1:36" hidden="1" x14ac:dyDescent="0.2">
      <c r="A79" t="s">
        <v>203</v>
      </c>
      <c r="B79" t="s">
        <v>204</v>
      </c>
      <c r="C79" t="s">
        <v>204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4.5999999999999996</v>
      </c>
      <c r="AE79">
        <v>403</v>
      </c>
      <c r="AF79">
        <v>5.1999999999999993</v>
      </c>
      <c r="AG79">
        <v>4.5914593803468629</v>
      </c>
      <c r="AH79">
        <f>2.98007771306234*1*2</f>
        <v>5.9601554261246799</v>
      </c>
      <c r="AI79">
        <v>1</v>
      </c>
      <c r="AJ79">
        <v>0</v>
      </c>
    </row>
    <row r="80" spans="1:36" hidden="1" x14ac:dyDescent="0.2">
      <c r="A80" t="s">
        <v>205</v>
      </c>
      <c r="B80" t="s">
        <v>206</v>
      </c>
      <c r="C80" t="s">
        <v>205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410</v>
      </c>
      <c r="AF80">
        <v>7.2500000000000018</v>
      </c>
      <c r="AG80">
        <v>9.4521654404536442</v>
      </c>
      <c r="AH80">
        <f>4.80718715330907*1*2</f>
        <v>9.6143743066181404</v>
      </c>
      <c r="AI80">
        <v>1</v>
      </c>
      <c r="AJ80">
        <v>0</v>
      </c>
    </row>
    <row r="81" spans="1:36" hidden="1" x14ac:dyDescent="0.2">
      <c r="A81" t="s">
        <v>207</v>
      </c>
      <c r="B81" t="s">
        <v>208</v>
      </c>
      <c r="C81" t="s">
        <v>208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4.4000000000000004</v>
      </c>
      <c r="AE81">
        <v>411</v>
      </c>
      <c r="AF81">
        <v>5.5848790676456526</v>
      </c>
      <c r="AG81">
        <v>4.4440306855057514</v>
      </c>
      <c r="AH81">
        <f>3.40741983665515*1*2</f>
        <v>6.8148396733103</v>
      </c>
      <c r="AI81">
        <v>1</v>
      </c>
      <c r="AJ81">
        <v>0</v>
      </c>
    </row>
    <row r="82" spans="1:36" hidden="1" x14ac:dyDescent="0.2">
      <c r="A82" t="s">
        <v>209</v>
      </c>
      <c r="B82" t="s">
        <v>210</v>
      </c>
      <c r="C82" t="s">
        <v>210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417</v>
      </c>
      <c r="AF82">
        <v>6.895280801238191</v>
      </c>
      <c r="AG82">
        <v>4.135330742370865</v>
      </c>
      <c r="AH82">
        <f>3.95431554636383*1*2</f>
        <v>7.90863109272766</v>
      </c>
      <c r="AI82">
        <v>1</v>
      </c>
      <c r="AJ82">
        <v>0</v>
      </c>
    </row>
    <row r="83" spans="1:36" hidden="1" x14ac:dyDescent="0.2">
      <c r="A83" t="s">
        <v>211</v>
      </c>
      <c r="B83" t="s">
        <v>212</v>
      </c>
      <c r="C83" t="s">
        <v>213</v>
      </c>
      <c r="D83" t="s">
        <v>3</v>
      </c>
      <c r="E83">
        <v>1</v>
      </c>
      <c r="F83">
        <v>0</v>
      </c>
      <c r="G83">
        <v>0</v>
      </c>
      <c r="H83">
        <v>0</v>
      </c>
      <c r="I83" t="s">
        <v>18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5.7</v>
      </c>
      <c r="AE83">
        <v>425</v>
      </c>
      <c r="AF83">
        <v>0</v>
      </c>
      <c r="AG83">
        <v>8.0409173833447412</v>
      </c>
      <c r="AH83">
        <f>2.75304171757457*1*2</f>
        <v>5.5060834351491401</v>
      </c>
      <c r="AI83">
        <v>1</v>
      </c>
      <c r="AJ83">
        <v>0</v>
      </c>
    </row>
    <row r="84" spans="1:36" hidden="1" x14ac:dyDescent="0.2">
      <c r="A84" t="s">
        <v>214</v>
      </c>
      <c r="B84" t="s">
        <v>215</v>
      </c>
      <c r="C84" t="s">
        <v>214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18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7.5</v>
      </c>
      <c r="AE84">
        <v>427</v>
      </c>
      <c r="AF84">
        <v>0</v>
      </c>
      <c r="AG84">
        <v>7.9361427943697311</v>
      </c>
      <c r="AH84">
        <f>2.78871925181965*1*2</f>
        <v>5.5774385036392999</v>
      </c>
      <c r="AI84">
        <v>1</v>
      </c>
      <c r="AJ84">
        <v>0</v>
      </c>
    </row>
    <row r="85" spans="1:36" hidden="1" x14ac:dyDescent="0.2">
      <c r="A85" t="s">
        <v>216</v>
      </c>
      <c r="B85" t="s">
        <v>217</v>
      </c>
      <c r="C85" t="s">
        <v>217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4.8</v>
      </c>
      <c r="AE85">
        <v>429</v>
      </c>
      <c r="AF85">
        <v>0</v>
      </c>
      <c r="AG85">
        <v>3.4832478249761292</v>
      </c>
      <c r="AH85">
        <f>1.46983935937251*1*2</f>
        <v>2.9396787187450202</v>
      </c>
      <c r="AI85">
        <v>1</v>
      </c>
      <c r="AJ85">
        <v>0</v>
      </c>
    </row>
    <row r="86" spans="1:36" hidden="1" x14ac:dyDescent="0.2">
      <c r="A86" t="s">
        <v>218</v>
      </c>
      <c r="B86" t="s">
        <v>219</v>
      </c>
      <c r="C86" t="s">
        <v>219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7.1</v>
      </c>
      <c r="AE86">
        <v>431</v>
      </c>
      <c r="AF86">
        <v>0</v>
      </c>
      <c r="AG86">
        <v>7.0102888405765906</v>
      </c>
      <c r="AH86">
        <f>3.1908017728492*1*2</f>
        <v>6.3816035456984004</v>
      </c>
      <c r="AI86">
        <v>1</v>
      </c>
      <c r="AJ86">
        <v>0</v>
      </c>
    </row>
    <row r="87" spans="1:36" hidden="1" x14ac:dyDescent="0.2">
      <c r="A87" t="s">
        <v>220</v>
      </c>
      <c r="B87" t="s">
        <v>221</v>
      </c>
      <c r="C87" t="s">
        <v>222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7.6</v>
      </c>
      <c r="AE87">
        <v>437</v>
      </c>
      <c r="AF87">
        <v>0</v>
      </c>
      <c r="AG87">
        <v>6.9390640126467868</v>
      </c>
      <c r="AH87">
        <f>2.58632925803309*1*2</f>
        <v>5.1726585160661802</v>
      </c>
      <c r="AI87">
        <v>1</v>
      </c>
      <c r="AJ87">
        <v>0</v>
      </c>
    </row>
    <row r="88" spans="1:36" hidden="1" x14ac:dyDescent="0.2">
      <c r="A88" t="s">
        <v>223</v>
      </c>
      <c r="B88" t="s">
        <v>224</v>
      </c>
      <c r="C88" t="s">
        <v>224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13.4</v>
      </c>
      <c r="AE88">
        <v>442</v>
      </c>
      <c r="AF88">
        <v>0</v>
      </c>
      <c r="AG88">
        <v>13.769239279361271</v>
      </c>
      <c r="AH88">
        <f>5.24779451177799*1*2</f>
        <v>10.495589023555979</v>
      </c>
      <c r="AI88">
        <v>1</v>
      </c>
      <c r="AJ88">
        <v>0</v>
      </c>
    </row>
    <row r="89" spans="1:36" x14ac:dyDescent="0.2">
      <c r="A89" t="s">
        <v>39</v>
      </c>
      <c r="B89" t="s">
        <v>40</v>
      </c>
      <c r="C89" s="1" t="s">
        <v>39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8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5.4</v>
      </c>
      <c r="AE89">
        <v>4</v>
      </c>
      <c r="AF89">
        <v>7.2275032801126713</v>
      </c>
      <c r="AG89">
        <v>0</v>
      </c>
      <c r="AH89">
        <f>5.41677750124766*1*2</f>
        <v>10.83355500249532</v>
      </c>
      <c r="AI89">
        <v>1</v>
      </c>
      <c r="AJ89">
        <v>1</v>
      </c>
    </row>
    <row r="90" spans="1:36" hidden="1" x14ac:dyDescent="0.2">
      <c r="A90" t="s">
        <v>125</v>
      </c>
      <c r="B90" t="s">
        <v>126</v>
      </c>
      <c r="C90" t="s">
        <v>127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12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6.1</v>
      </c>
      <c r="AE90">
        <v>175</v>
      </c>
      <c r="AF90">
        <v>11.53219366122954</v>
      </c>
      <c r="AG90">
        <v>10.06068064806184</v>
      </c>
      <c r="AH90">
        <f>6.06290175789089*1</f>
        <v>6.0629017578908897</v>
      </c>
      <c r="AI90">
        <v>1</v>
      </c>
      <c r="AJ90">
        <v>0</v>
      </c>
    </row>
    <row r="91" spans="1:36" hidden="1" x14ac:dyDescent="0.2">
      <c r="A91" t="s">
        <v>229</v>
      </c>
      <c r="B91" t="s">
        <v>230</v>
      </c>
      <c r="C91" t="s">
        <v>230</v>
      </c>
      <c r="D91" t="s">
        <v>3</v>
      </c>
      <c r="E91">
        <v>1</v>
      </c>
      <c r="F91">
        <v>0</v>
      </c>
      <c r="G91">
        <v>0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500</v>
      </c>
      <c r="AF91">
        <v>0</v>
      </c>
      <c r="AG91">
        <v>5.1783765583318537</v>
      </c>
      <c r="AH91">
        <f>4.75445259916316*1*2</f>
        <v>9.5089051983263193</v>
      </c>
      <c r="AI91">
        <v>1</v>
      </c>
      <c r="AJ91">
        <v>0</v>
      </c>
    </row>
    <row r="92" spans="1:36" hidden="1" x14ac:dyDescent="0.2">
      <c r="A92" t="s">
        <v>231</v>
      </c>
      <c r="B92" t="s">
        <v>232</v>
      </c>
      <c r="C92" t="s">
        <v>232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4.5</v>
      </c>
      <c r="AE92">
        <v>501</v>
      </c>
      <c r="AF92">
        <v>0</v>
      </c>
      <c r="AG92">
        <v>5.0607416753900551</v>
      </c>
      <c r="AH92">
        <f>3.15709612458033*1*2</f>
        <v>6.3141922491606604</v>
      </c>
      <c r="AI92">
        <v>1</v>
      </c>
      <c r="AJ92">
        <v>0</v>
      </c>
    </row>
    <row r="93" spans="1:36" hidden="1" x14ac:dyDescent="0.2">
      <c r="A93" t="s">
        <v>233</v>
      </c>
      <c r="B93" t="s">
        <v>234</v>
      </c>
      <c r="C93" t="s">
        <v>234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514</v>
      </c>
      <c r="AF93">
        <v>7.1587088899848892</v>
      </c>
      <c r="AG93">
        <v>0</v>
      </c>
      <c r="AH93">
        <f>4.72568969669168*1</f>
        <v>4.7256896966916804</v>
      </c>
      <c r="AI93">
        <v>1</v>
      </c>
      <c r="AJ93">
        <v>0</v>
      </c>
    </row>
    <row r="94" spans="1:36" hidden="1" x14ac:dyDescent="0.2">
      <c r="A94" t="s">
        <v>108</v>
      </c>
      <c r="B94" t="s">
        <v>235</v>
      </c>
      <c r="C94" t="s">
        <v>235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</v>
      </c>
      <c r="AE94">
        <v>515</v>
      </c>
      <c r="AF94">
        <v>9.9084507042253467</v>
      </c>
      <c r="AG94">
        <v>0</v>
      </c>
      <c r="AH94">
        <f>8.05664791832816*1</f>
        <v>8.0566479183281601</v>
      </c>
      <c r="AI94">
        <v>1</v>
      </c>
      <c r="AJ94">
        <v>0</v>
      </c>
    </row>
    <row r="95" spans="1:36" hidden="1" x14ac:dyDescent="0.2">
      <c r="A95" t="s">
        <v>236</v>
      </c>
      <c r="B95" t="s">
        <v>237</v>
      </c>
      <c r="C95" t="s">
        <v>238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6.4</v>
      </c>
      <c r="AE95">
        <v>516</v>
      </c>
      <c r="AF95">
        <v>11.274193548387091</v>
      </c>
      <c r="AG95">
        <v>0</v>
      </c>
      <c r="AH95">
        <f>9.16714536851935*1</f>
        <v>9.1671453685193498</v>
      </c>
      <c r="AI95">
        <v>1</v>
      </c>
      <c r="AJ95">
        <v>0</v>
      </c>
    </row>
    <row r="96" spans="1:36" hidden="1" x14ac:dyDescent="0.2">
      <c r="A96" t="s">
        <v>239</v>
      </c>
      <c r="B96" t="s">
        <v>240</v>
      </c>
      <c r="C96" t="s">
        <v>239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6.2</v>
      </c>
      <c r="AE96">
        <v>517</v>
      </c>
      <c r="AF96">
        <v>10.95</v>
      </c>
      <c r="AG96">
        <v>0</v>
      </c>
      <c r="AH96">
        <f>8.90354075921*1</f>
        <v>8.9035407592099993</v>
      </c>
      <c r="AI96">
        <v>1</v>
      </c>
      <c r="AJ96">
        <v>0</v>
      </c>
    </row>
    <row r="97" spans="1:36" hidden="1" x14ac:dyDescent="0.2">
      <c r="A97" t="s">
        <v>241</v>
      </c>
      <c r="B97" t="s">
        <v>242</v>
      </c>
      <c r="C97" t="s">
        <v>241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523</v>
      </c>
      <c r="AF97">
        <v>8.8800000000000026</v>
      </c>
      <c r="AG97">
        <v>0</v>
      </c>
      <c r="AH97">
        <f>7.220405656784*1</f>
        <v>7.220405656784</v>
      </c>
      <c r="AI97">
        <v>1</v>
      </c>
      <c r="AJ97">
        <v>0</v>
      </c>
    </row>
    <row r="98" spans="1:36" hidden="1" x14ac:dyDescent="0.2">
      <c r="A98" t="s">
        <v>243</v>
      </c>
      <c r="B98" t="s">
        <v>244</v>
      </c>
      <c r="C98" t="s">
        <v>245</v>
      </c>
      <c r="D98" t="s">
        <v>3</v>
      </c>
      <c r="E98">
        <v>1</v>
      </c>
      <c r="F98">
        <v>0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5.5</v>
      </c>
      <c r="AE98">
        <v>524</v>
      </c>
      <c r="AF98">
        <v>11.654999999999999</v>
      </c>
      <c r="AG98">
        <v>0</v>
      </c>
      <c r="AH98">
        <f>9.47678242452899*1</f>
        <v>9.4767824245289898</v>
      </c>
      <c r="AI98">
        <v>1</v>
      </c>
      <c r="AJ98">
        <v>0</v>
      </c>
    </row>
    <row r="99" spans="1:36" x14ac:dyDescent="0.2">
      <c r="A99" t="s">
        <v>53</v>
      </c>
      <c r="B99" t="s">
        <v>54</v>
      </c>
      <c r="C99" s="1" t="s">
        <v>54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8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6.1</v>
      </c>
      <c r="AE99">
        <v>23</v>
      </c>
      <c r="AF99">
        <v>8.9999999999999964</v>
      </c>
      <c r="AG99">
        <v>0</v>
      </c>
      <c r="AH99">
        <f>5.30936416934999*1*2</f>
        <v>10.618728338699979</v>
      </c>
      <c r="AI99">
        <v>1</v>
      </c>
      <c r="AJ99">
        <v>1</v>
      </c>
    </row>
    <row r="100" spans="1:36" x14ac:dyDescent="0.2">
      <c r="A100" t="s">
        <v>49</v>
      </c>
      <c r="B100" t="s">
        <v>50</v>
      </c>
      <c r="C100" s="1" t="s">
        <v>50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8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5.9</v>
      </c>
      <c r="AE100">
        <v>18</v>
      </c>
      <c r="AF100">
        <v>8.2272873391247359</v>
      </c>
      <c r="AG100">
        <v>0</v>
      </c>
      <c r="AH100">
        <f>5.26863705268398*1*2</f>
        <v>10.53727410536796</v>
      </c>
      <c r="AI100">
        <v>1</v>
      </c>
      <c r="AJ100">
        <v>1</v>
      </c>
    </row>
    <row r="101" spans="1:36" hidden="1" x14ac:dyDescent="0.2">
      <c r="A101" t="s">
        <v>250</v>
      </c>
      <c r="B101" t="s">
        <v>251</v>
      </c>
      <c r="C101" t="s">
        <v>250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5.6</v>
      </c>
      <c r="AE101">
        <v>534</v>
      </c>
      <c r="AF101">
        <v>12.494331223400181</v>
      </c>
      <c r="AG101">
        <v>0</v>
      </c>
      <c r="AH101">
        <f>9.7785015298389*1</f>
        <v>9.7785015298389002</v>
      </c>
      <c r="AI101">
        <v>1</v>
      </c>
      <c r="AJ101">
        <v>0</v>
      </c>
    </row>
    <row r="102" spans="1:36" x14ac:dyDescent="0.2">
      <c r="A102" t="s">
        <v>78</v>
      </c>
      <c r="B102" t="s">
        <v>79</v>
      </c>
      <c r="C102" s="1" t="s">
        <v>78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9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4.5999999999999996</v>
      </c>
      <c r="AE102">
        <v>66</v>
      </c>
      <c r="AF102">
        <v>6</v>
      </c>
      <c r="AG102">
        <v>7.0973194094099252</v>
      </c>
      <c r="AH102">
        <f>5.08466499184495*1*2</f>
        <v>10.1693299836899</v>
      </c>
      <c r="AI102">
        <v>1</v>
      </c>
      <c r="AJ102">
        <v>1</v>
      </c>
    </row>
    <row r="103" spans="1:36" hidden="1" x14ac:dyDescent="0.2">
      <c r="A103" t="s">
        <v>254</v>
      </c>
      <c r="B103" t="s">
        <v>255</v>
      </c>
      <c r="C103" t="s">
        <v>256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8.5</v>
      </c>
      <c r="AE103">
        <v>549</v>
      </c>
      <c r="AF103">
        <v>13.93846153846154</v>
      </c>
      <c r="AG103">
        <v>10.646706443481889</v>
      </c>
      <c r="AH103">
        <f>8.26715101938758*1</f>
        <v>8.2671510193875797</v>
      </c>
      <c r="AI103">
        <v>1</v>
      </c>
      <c r="AJ103">
        <v>0</v>
      </c>
    </row>
    <row r="104" spans="1:36" hidden="1" x14ac:dyDescent="0.2">
      <c r="A104" t="s">
        <v>257</v>
      </c>
      <c r="B104" t="s">
        <v>258</v>
      </c>
      <c r="C104" t="s">
        <v>258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</v>
      </c>
      <c r="AE104">
        <v>557</v>
      </c>
      <c r="AF104">
        <v>14.105617183187951</v>
      </c>
      <c r="AG104">
        <v>8.4517200689839438</v>
      </c>
      <c r="AH104">
        <f>7.23045176220046*1</f>
        <v>7.2304517622004596</v>
      </c>
      <c r="AI104">
        <v>1</v>
      </c>
      <c r="AJ104">
        <v>0</v>
      </c>
    </row>
    <row r="105" spans="1:36" hidden="1" x14ac:dyDescent="0.2">
      <c r="A105" t="s">
        <v>100</v>
      </c>
      <c r="B105" t="s">
        <v>259</v>
      </c>
      <c r="C105" t="s">
        <v>259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8.4</v>
      </c>
      <c r="AE105">
        <v>569</v>
      </c>
      <c r="AF105">
        <v>13.39999999999999</v>
      </c>
      <c r="AG105">
        <v>12.566985263040969</v>
      </c>
      <c r="AH105">
        <f>9.47478343155421*1</f>
        <v>9.4747834315542097</v>
      </c>
      <c r="AI105">
        <v>1</v>
      </c>
      <c r="AJ105">
        <v>0</v>
      </c>
    </row>
    <row r="106" spans="1:36" hidden="1" x14ac:dyDescent="0.2">
      <c r="A106" t="s">
        <v>260</v>
      </c>
      <c r="B106" t="s">
        <v>261</v>
      </c>
      <c r="C106" t="s">
        <v>261</v>
      </c>
      <c r="D106" t="s">
        <v>3</v>
      </c>
      <c r="E106">
        <v>1</v>
      </c>
      <c r="F106">
        <v>0</v>
      </c>
      <c r="G106">
        <v>0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</v>
      </c>
      <c r="AE106">
        <v>575</v>
      </c>
      <c r="AF106">
        <v>10.37142857142857</v>
      </c>
      <c r="AG106">
        <v>4.8734191695866018</v>
      </c>
      <c r="AH106">
        <f>3.67586931426831*1</f>
        <v>3.6758693142683101</v>
      </c>
      <c r="AI106">
        <v>1</v>
      </c>
      <c r="AJ106">
        <v>0</v>
      </c>
    </row>
    <row r="107" spans="1:36" hidden="1" x14ac:dyDescent="0.2">
      <c r="A107" t="s">
        <v>262</v>
      </c>
      <c r="B107" t="s">
        <v>263</v>
      </c>
      <c r="C107" t="s">
        <v>263</v>
      </c>
      <c r="D107" t="s">
        <v>6</v>
      </c>
      <c r="E107">
        <v>0</v>
      </c>
      <c r="F107">
        <v>0</v>
      </c>
      <c r="G107">
        <v>0</v>
      </c>
      <c r="H107">
        <v>1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7.1</v>
      </c>
      <c r="AE107">
        <v>576</v>
      </c>
      <c r="AF107">
        <v>9.0534139036896626</v>
      </c>
      <c r="AG107">
        <v>8.4660260269494731</v>
      </c>
      <c r="AH107">
        <f>6.36462958155293*1</f>
        <v>6.3646295815529301</v>
      </c>
      <c r="AI107">
        <v>1</v>
      </c>
      <c r="AJ107">
        <v>0</v>
      </c>
    </row>
    <row r="108" spans="1:36" hidden="1" x14ac:dyDescent="0.2">
      <c r="A108" t="s">
        <v>254</v>
      </c>
      <c r="B108" t="s">
        <v>264</v>
      </c>
      <c r="C108" t="s">
        <v>265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5.8</v>
      </c>
      <c r="AE108">
        <v>597</v>
      </c>
      <c r="AF108">
        <v>11.038461538461529</v>
      </c>
      <c r="AG108">
        <v>9.7615277341874922</v>
      </c>
      <c r="AH108">
        <f>8.86765846956683*1</f>
        <v>8.8676584695668303</v>
      </c>
      <c r="AI108">
        <v>1</v>
      </c>
      <c r="AJ108">
        <v>0</v>
      </c>
    </row>
    <row r="109" spans="1:36" hidden="1" x14ac:dyDescent="0.2">
      <c r="A109" t="s">
        <v>227</v>
      </c>
      <c r="B109" t="s">
        <v>228</v>
      </c>
      <c r="C109" t="s">
        <v>228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19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4.7</v>
      </c>
      <c r="AE109">
        <v>479</v>
      </c>
      <c r="AF109">
        <v>0</v>
      </c>
      <c r="AG109">
        <v>7.9606879604178626</v>
      </c>
      <c r="AH109">
        <f>5.2567041009042*1*2</f>
        <v>10.513408201808399</v>
      </c>
      <c r="AI109">
        <v>1</v>
      </c>
      <c r="AJ109">
        <v>0</v>
      </c>
    </row>
    <row r="110" spans="1:36" hidden="1" x14ac:dyDescent="0.2">
      <c r="A110" t="s">
        <v>84</v>
      </c>
      <c r="B110" t="s">
        <v>124</v>
      </c>
      <c r="C110" t="s">
        <v>124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12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5.2</v>
      </c>
      <c r="AE110">
        <v>170</v>
      </c>
      <c r="AF110">
        <v>9.5340314136125599</v>
      </c>
      <c r="AG110">
        <v>8.5275068034560846</v>
      </c>
      <c r="AH110">
        <f>5.02678031860362*1</f>
        <v>5.0267803186036204</v>
      </c>
      <c r="AI110">
        <v>1</v>
      </c>
      <c r="AJ110">
        <v>0</v>
      </c>
    </row>
    <row r="111" spans="1:36" hidden="1" x14ac:dyDescent="0.2">
      <c r="A111" t="s">
        <v>57</v>
      </c>
      <c r="B111" t="s">
        <v>58</v>
      </c>
      <c r="C111" t="s">
        <v>59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8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5.2</v>
      </c>
      <c r="AE111">
        <v>26</v>
      </c>
      <c r="AF111">
        <v>8.02978068556504</v>
      </c>
      <c r="AG111">
        <v>0</v>
      </c>
      <c r="AH111">
        <f>4.5142372034464*1*2</f>
        <v>9.0284744068927996</v>
      </c>
      <c r="AI111">
        <v>1</v>
      </c>
      <c r="AJ111">
        <v>0</v>
      </c>
    </row>
    <row r="112" spans="1:36" hidden="1" x14ac:dyDescent="0.2">
      <c r="A112" t="s">
        <v>272</v>
      </c>
      <c r="B112" t="s">
        <v>273</v>
      </c>
      <c r="C112" t="s">
        <v>273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4.8</v>
      </c>
      <c r="AE112">
        <v>612</v>
      </c>
      <c r="AF112">
        <v>8.7262413788612889</v>
      </c>
      <c r="AG112">
        <v>6.4376114944812013</v>
      </c>
      <c r="AH112">
        <f>6.39607600282409*1</f>
        <v>6.3960760028240902</v>
      </c>
      <c r="AI112">
        <v>1</v>
      </c>
      <c r="AJ112">
        <v>0</v>
      </c>
    </row>
    <row r="113" spans="1:36" hidden="1" x14ac:dyDescent="0.2">
      <c r="A113" t="s">
        <v>274</v>
      </c>
      <c r="B113" t="s">
        <v>275</v>
      </c>
      <c r="C113" s="1" t="s">
        <v>275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5.6</v>
      </c>
      <c r="AE113">
        <v>618</v>
      </c>
      <c r="AF113">
        <v>15.76239216117175</v>
      </c>
      <c r="AG113">
        <v>10.45000646532438</v>
      </c>
      <c r="AH113">
        <f>10.8260253367748*0.25</f>
        <v>2.7065063341936999</v>
      </c>
      <c r="AI113">
        <v>0.25</v>
      </c>
      <c r="AJ113">
        <v>0</v>
      </c>
    </row>
    <row r="114" spans="1:36" hidden="1" x14ac:dyDescent="0.2">
      <c r="A114" t="s">
        <v>276</v>
      </c>
      <c r="B114" t="s">
        <v>277</v>
      </c>
      <c r="C114" t="s">
        <v>277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6.6</v>
      </c>
      <c r="AE114">
        <v>621</v>
      </c>
      <c r="AF114">
        <v>13.264474041997209</v>
      </c>
      <c r="AG114">
        <v>10.047970765572449</v>
      </c>
      <c r="AH114">
        <f>9.23901824801206*0.75</f>
        <v>6.9292636860090457</v>
      </c>
      <c r="AI114">
        <v>0.75</v>
      </c>
      <c r="AJ114">
        <v>0</v>
      </c>
    </row>
    <row r="115" spans="1:36" hidden="1" x14ac:dyDescent="0.2">
      <c r="A115" t="s">
        <v>278</v>
      </c>
      <c r="B115" t="s">
        <v>279</v>
      </c>
      <c r="C115" t="s">
        <v>279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4.7</v>
      </c>
      <c r="AE115">
        <v>638</v>
      </c>
      <c r="AF115">
        <v>5.8723404255319158</v>
      </c>
      <c r="AG115">
        <v>4.7714223812049674</v>
      </c>
      <c r="AH115">
        <f>3.36249779990551*1*2</f>
        <v>6.7249955998110202</v>
      </c>
      <c r="AI115">
        <v>1</v>
      </c>
      <c r="AJ115">
        <v>0</v>
      </c>
    </row>
    <row r="116" spans="1:36" hidden="1" x14ac:dyDescent="0.2">
      <c r="A116" t="s">
        <v>268</v>
      </c>
      <c r="B116" t="s">
        <v>280</v>
      </c>
      <c r="C116" t="s">
        <v>280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639</v>
      </c>
      <c r="AF116">
        <v>5.4737317432330954</v>
      </c>
      <c r="AG116">
        <v>6.7167925055343218</v>
      </c>
      <c r="AH116">
        <f>3.3497649502024*1*2</f>
        <v>6.6995299004047997</v>
      </c>
      <c r="AI116">
        <v>1</v>
      </c>
      <c r="AJ116">
        <v>0</v>
      </c>
    </row>
    <row r="117" spans="1:36" hidden="1" x14ac:dyDescent="0.2">
      <c r="A117" t="s">
        <v>281</v>
      </c>
      <c r="B117" t="s">
        <v>282</v>
      </c>
      <c r="C117" t="s">
        <v>281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5.3</v>
      </c>
      <c r="AE117">
        <v>648</v>
      </c>
      <c r="AF117">
        <v>6.5174058066847476</v>
      </c>
      <c r="AG117">
        <v>5.0658675050339159</v>
      </c>
      <c r="AH117">
        <f>3.91892309537519*1*2</f>
        <v>7.8378461907503798</v>
      </c>
      <c r="AI117">
        <v>1</v>
      </c>
      <c r="AJ117">
        <v>0</v>
      </c>
    </row>
    <row r="118" spans="1:36" hidden="1" x14ac:dyDescent="0.2">
      <c r="A118" t="s">
        <v>283</v>
      </c>
      <c r="B118" t="s">
        <v>284</v>
      </c>
      <c r="C118" t="s">
        <v>284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5.7</v>
      </c>
      <c r="AE118">
        <v>653</v>
      </c>
      <c r="AF118">
        <v>8.6650646946613961</v>
      </c>
      <c r="AG118">
        <v>4.3111003357434523</v>
      </c>
      <c r="AH118">
        <f>4.69655791046124*1*2</f>
        <v>9.3931158209224801</v>
      </c>
      <c r="AI118">
        <v>1</v>
      </c>
      <c r="AJ118">
        <v>0</v>
      </c>
    </row>
    <row r="119" spans="1:36" hidden="1" x14ac:dyDescent="0.2">
      <c r="A119" t="s">
        <v>285</v>
      </c>
      <c r="B119" t="s">
        <v>286</v>
      </c>
      <c r="C119" t="s">
        <v>286</v>
      </c>
      <c r="D119" t="s">
        <v>6</v>
      </c>
      <c r="E119">
        <v>0</v>
      </c>
      <c r="F119">
        <v>0</v>
      </c>
      <c r="G119">
        <v>0</v>
      </c>
      <c r="H119">
        <v>1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4.8</v>
      </c>
      <c r="AE119">
        <v>673</v>
      </c>
      <c r="AF119">
        <v>6.6789385391453537</v>
      </c>
      <c r="AG119">
        <v>6.3961393972498488</v>
      </c>
      <c r="AH119">
        <f>3.73989821599079*1*2</f>
        <v>7.4797964319815797</v>
      </c>
      <c r="AI119">
        <v>1</v>
      </c>
      <c r="AJ119">
        <v>0</v>
      </c>
    </row>
    <row r="120" spans="1:36" hidden="1" x14ac:dyDescent="0.2">
      <c r="A120" t="s">
        <v>287</v>
      </c>
      <c r="B120" t="s">
        <v>288</v>
      </c>
      <c r="C120" t="s">
        <v>288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4.2</v>
      </c>
      <c r="AE120">
        <v>693</v>
      </c>
      <c r="AF120">
        <v>0</v>
      </c>
      <c r="AG120">
        <v>5.0673331753997219</v>
      </c>
      <c r="AH120">
        <f>3.10050468500574*1*2</f>
        <v>6.2010093700114801</v>
      </c>
      <c r="AI120">
        <v>1</v>
      </c>
      <c r="AJ120">
        <v>0</v>
      </c>
    </row>
    <row r="121" spans="1:36" hidden="1" x14ac:dyDescent="0.2">
      <c r="A121" t="s">
        <v>289</v>
      </c>
      <c r="B121" t="s">
        <v>290</v>
      </c>
      <c r="C121" t="s">
        <v>290</v>
      </c>
      <c r="D121" t="s">
        <v>3</v>
      </c>
      <c r="E121">
        <v>1</v>
      </c>
      <c r="F121">
        <v>0</v>
      </c>
      <c r="G121">
        <v>0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4.4000000000000004</v>
      </c>
      <c r="AE121">
        <v>706</v>
      </c>
      <c r="AF121">
        <v>0</v>
      </c>
      <c r="AG121">
        <v>5.3078601632781686</v>
      </c>
      <c r="AH121">
        <f>3.92978350759436*1*2</f>
        <v>7.8595670151887198</v>
      </c>
      <c r="AI121">
        <v>1</v>
      </c>
      <c r="AJ121">
        <v>0</v>
      </c>
    </row>
    <row r="122" spans="1:36" hidden="1" x14ac:dyDescent="0.2">
      <c r="A122" t="s">
        <v>291</v>
      </c>
      <c r="B122" t="s">
        <v>292</v>
      </c>
      <c r="C122" t="s">
        <v>292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4.9000000000000004</v>
      </c>
      <c r="AE122">
        <v>724</v>
      </c>
      <c r="AF122">
        <v>0</v>
      </c>
      <c r="AG122">
        <v>5.7517181424127859</v>
      </c>
      <c r="AH122">
        <f>3.58705396576173*1*2</f>
        <v>7.1741079315234604</v>
      </c>
      <c r="AI122">
        <v>1</v>
      </c>
      <c r="AJ122">
        <v>0</v>
      </c>
    </row>
    <row r="123" spans="1:36" hidden="1" x14ac:dyDescent="0.2">
      <c r="A123" t="s">
        <v>293</v>
      </c>
      <c r="B123" t="s">
        <v>294</v>
      </c>
      <c r="C123" t="s">
        <v>294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5.8</v>
      </c>
      <c r="AE123">
        <v>737</v>
      </c>
      <c r="AF123">
        <v>10.235294117647051</v>
      </c>
      <c r="AG123">
        <v>8.7651920474259697</v>
      </c>
      <c r="AH123">
        <f>5.83693840875393*1</f>
        <v>5.8369384087539302</v>
      </c>
      <c r="AI123">
        <v>1</v>
      </c>
      <c r="AJ123">
        <v>0</v>
      </c>
    </row>
    <row r="124" spans="1:36" hidden="1" x14ac:dyDescent="0.2">
      <c r="A124" t="s">
        <v>295</v>
      </c>
      <c r="B124" t="s">
        <v>296</v>
      </c>
      <c r="C124" t="s">
        <v>297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5.8</v>
      </c>
      <c r="AE124">
        <v>753</v>
      </c>
      <c r="AF124">
        <v>11.086956521739131</v>
      </c>
      <c r="AG124">
        <v>11.98733688214921</v>
      </c>
      <c r="AH124">
        <f>6.83543586761972*1</f>
        <v>6.8354358676197204</v>
      </c>
      <c r="AI124">
        <v>1</v>
      </c>
      <c r="AJ124">
        <v>0</v>
      </c>
    </row>
    <row r="125" spans="1:36" hidden="1" x14ac:dyDescent="0.2">
      <c r="A125" t="s">
        <v>298</v>
      </c>
      <c r="B125" t="s">
        <v>299</v>
      </c>
      <c r="C125" t="s">
        <v>298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6.8</v>
      </c>
      <c r="AE125">
        <v>755</v>
      </c>
      <c r="AF125">
        <v>11.71666666666666</v>
      </c>
      <c r="AG125">
        <v>12.138454826414311</v>
      </c>
      <c r="AH125">
        <f>7.35468832962253*1</f>
        <v>7.3546883296225296</v>
      </c>
      <c r="AI125">
        <v>1</v>
      </c>
      <c r="AJ125">
        <v>0</v>
      </c>
    </row>
    <row r="126" spans="1:36" hidden="1" x14ac:dyDescent="0.2">
      <c r="A126" t="s">
        <v>300</v>
      </c>
      <c r="B126" t="s">
        <v>301</v>
      </c>
      <c r="C126" t="s">
        <v>300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9.9</v>
      </c>
      <c r="AE126">
        <v>762</v>
      </c>
      <c r="AF126">
        <v>15.40352371927138</v>
      </c>
      <c r="AG126">
        <v>14.282151988045509</v>
      </c>
      <c r="AH126">
        <f>9.21599260742547*1</f>
        <v>9.2159926074254699</v>
      </c>
      <c r="AI126">
        <v>1</v>
      </c>
      <c r="AJ126">
        <v>0</v>
      </c>
    </row>
    <row r="127" spans="1:36" hidden="1" x14ac:dyDescent="0.2">
      <c r="A127" t="s">
        <v>302</v>
      </c>
      <c r="B127" t="s">
        <v>303</v>
      </c>
      <c r="C127" t="s">
        <v>303</v>
      </c>
      <c r="D127" t="s">
        <v>3</v>
      </c>
      <c r="E127">
        <v>1</v>
      </c>
      <c r="F127">
        <v>0</v>
      </c>
      <c r="G127">
        <v>0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5.3</v>
      </c>
      <c r="AE127">
        <v>766</v>
      </c>
      <c r="AF127">
        <v>8.5441506944441095</v>
      </c>
      <c r="AG127">
        <v>4.8506676019364958</v>
      </c>
      <c r="AH127">
        <f>3.95216820161867*1</f>
        <v>3.9521682016186701</v>
      </c>
      <c r="AI127">
        <v>1</v>
      </c>
      <c r="AJ127">
        <v>0</v>
      </c>
    </row>
    <row r="128" spans="1:36" hidden="1" x14ac:dyDescent="0.2">
      <c r="A128" t="s">
        <v>304</v>
      </c>
      <c r="B128" t="s">
        <v>305</v>
      </c>
      <c r="C128" t="s">
        <v>305</v>
      </c>
      <c r="D128" t="s">
        <v>3</v>
      </c>
      <c r="E128">
        <v>1</v>
      </c>
      <c r="F128">
        <v>0</v>
      </c>
      <c r="G128">
        <v>0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4.2</v>
      </c>
      <c r="AE128">
        <v>782</v>
      </c>
      <c r="AF128">
        <v>6.7058823529411757</v>
      </c>
      <c r="AG128">
        <v>0</v>
      </c>
      <c r="AH128">
        <f>3.07192907702647*1*2</f>
        <v>6.14385815405294</v>
      </c>
      <c r="AI128">
        <v>1</v>
      </c>
      <c r="AJ128">
        <v>0</v>
      </c>
    </row>
    <row r="129" spans="1:36" hidden="1" x14ac:dyDescent="0.2">
      <c r="A129" t="s">
        <v>306</v>
      </c>
      <c r="B129" t="s">
        <v>307</v>
      </c>
      <c r="C129" t="s">
        <v>307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7.6</v>
      </c>
      <c r="AE129">
        <v>784</v>
      </c>
      <c r="AF129">
        <v>7.604394126045408</v>
      </c>
      <c r="AG129">
        <v>0</v>
      </c>
      <c r="AH129">
        <f>5.35900558306754*1*2</f>
        <v>10.71801116613508</v>
      </c>
      <c r="AI129">
        <v>1</v>
      </c>
      <c r="AJ129">
        <v>0</v>
      </c>
    </row>
    <row r="130" spans="1:36" hidden="1" x14ac:dyDescent="0.2">
      <c r="A130" t="s">
        <v>64</v>
      </c>
      <c r="B130" t="s">
        <v>308</v>
      </c>
      <c r="C130" t="s">
        <v>309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6</v>
      </c>
      <c r="AE130">
        <v>797</v>
      </c>
      <c r="AF130">
        <v>9.2312271840653626</v>
      </c>
      <c r="AG130">
        <v>0</v>
      </c>
      <c r="AH130">
        <f>4.35415623046847*1*2</f>
        <v>8.7083124609369396</v>
      </c>
      <c r="AI130">
        <v>1</v>
      </c>
      <c r="AJ130">
        <v>0</v>
      </c>
    </row>
    <row r="131" spans="1:36" hidden="1" x14ac:dyDescent="0.2">
      <c r="A131" t="s">
        <v>188</v>
      </c>
      <c r="B131" t="s">
        <v>310</v>
      </c>
      <c r="C131" t="s">
        <v>310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5.7</v>
      </c>
      <c r="AE131">
        <v>805</v>
      </c>
      <c r="AF131">
        <v>7.2973705527326347</v>
      </c>
      <c r="AG131">
        <v>0</v>
      </c>
      <c r="AH131">
        <f>3.18517536846411*1*2</f>
        <v>6.37035073692822</v>
      </c>
      <c r="AI131">
        <v>1</v>
      </c>
      <c r="AJ131">
        <v>0</v>
      </c>
    </row>
    <row r="132" spans="1:36" hidden="1" x14ac:dyDescent="0.2">
      <c r="A132" t="s">
        <v>311</v>
      </c>
      <c r="B132" t="s">
        <v>312</v>
      </c>
      <c r="C132" t="s">
        <v>312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6.7</v>
      </c>
      <c r="AE132">
        <v>807</v>
      </c>
      <c r="AF132">
        <v>8.0645161290322562</v>
      </c>
      <c r="AG132">
        <v>0</v>
      </c>
      <c r="AH132">
        <f>3.69431199133064*1*2</f>
        <v>7.3886239826612803</v>
      </c>
      <c r="AI132">
        <v>1</v>
      </c>
      <c r="AJ132">
        <v>0</v>
      </c>
    </row>
    <row r="133" spans="1:36" hidden="1" x14ac:dyDescent="0.2">
      <c r="A133" t="s">
        <v>313</v>
      </c>
      <c r="B133" t="s">
        <v>314</v>
      </c>
      <c r="C133" t="s">
        <v>314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4.7</v>
      </c>
      <c r="AE133">
        <v>814</v>
      </c>
      <c r="AF133">
        <v>3.7191119107686101</v>
      </c>
      <c r="AG133">
        <v>3.9628403936649552</v>
      </c>
      <c r="AH133">
        <f>3.18155359857937*1*2</f>
        <v>6.3631071971587403</v>
      </c>
      <c r="AI133">
        <v>1</v>
      </c>
      <c r="AJ133">
        <v>0</v>
      </c>
    </row>
    <row r="134" spans="1:36" hidden="1" x14ac:dyDescent="0.2">
      <c r="A134" t="s">
        <v>315</v>
      </c>
      <c r="B134" t="s">
        <v>316</v>
      </c>
      <c r="C134" t="s">
        <v>316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4.5</v>
      </c>
      <c r="AE134">
        <v>820</v>
      </c>
      <c r="AF134">
        <v>4.951285011201378</v>
      </c>
      <c r="AG134">
        <v>5.3101959943689234</v>
      </c>
      <c r="AH134">
        <f>3.1494184619458*1*2</f>
        <v>6.2988369238916002</v>
      </c>
      <c r="AI134">
        <v>1</v>
      </c>
      <c r="AJ134">
        <v>0</v>
      </c>
    </row>
    <row r="135" spans="1:36" hidden="1" x14ac:dyDescent="0.2">
      <c r="A135" t="s">
        <v>317</v>
      </c>
      <c r="B135" t="s">
        <v>318</v>
      </c>
      <c r="C135" t="s">
        <v>319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5.4</v>
      </c>
      <c r="AE135">
        <v>825</v>
      </c>
      <c r="AF135">
        <v>9.095731876048367</v>
      </c>
      <c r="AG135">
        <v>6.1068111461468639</v>
      </c>
      <c r="AH135">
        <f>4.43160097101391*1*2</f>
        <v>8.8632019420278194</v>
      </c>
      <c r="AI135">
        <v>1</v>
      </c>
      <c r="AJ135">
        <v>0</v>
      </c>
    </row>
    <row r="136" spans="1:36" hidden="1" x14ac:dyDescent="0.2">
      <c r="A136" t="s">
        <v>320</v>
      </c>
      <c r="B136" t="s">
        <v>321</v>
      </c>
      <c r="C136" t="s">
        <v>321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4.5</v>
      </c>
      <c r="AE136">
        <v>830</v>
      </c>
      <c r="AF136">
        <v>5.8196721311475379</v>
      </c>
      <c r="AG136">
        <v>6.4957972454819304</v>
      </c>
      <c r="AH136">
        <f>4.16623893374298*1*2</f>
        <v>8.3324778674859594</v>
      </c>
      <c r="AI136">
        <v>1</v>
      </c>
      <c r="AJ136">
        <v>0</v>
      </c>
    </row>
    <row r="137" spans="1:36" hidden="1" x14ac:dyDescent="0.2">
      <c r="A137" t="s">
        <v>322</v>
      </c>
      <c r="B137" t="s">
        <v>323</v>
      </c>
      <c r="C137" t="s">
        <v>324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4.9000000000000004</v>
      </c>
      <c r="AE137">
        <v>832</v>
      </c>
      <c r="AF137">
        <v>4.4948453608247432</v>
      </c>
      <c r="AG137">
        <v>3.738137000455485</v>
      </c>
      <c r="AH137">
        <f>2.25870003736453*1*2</f>
        <v>4.5174000747290597</v>
      </c>
      <c r="AI137">
        <v>1</v>
      </c>
      <c r="AJ137">
        <v>0</v>
      </c>
    </row>
    <row r="138" spans="1:36" hidden="1" x14ac:dyDescent="0.2">
      <c r="A138" t="s">
        <v>225</v>
      </c>
      <c r="B138" t="s">
        <v>226</v>
      </c>
      <c r="C138" t="s">
        <v>225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18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6.6</v>
      </c>
      <c r="AE138">
        <v>447</v>
      </c>
      <c r="AF138">
        <v>0</v>
      </c>
      <c r="AG138">
        <v>8.751820417357882</v>
      </c>
      <c r="AH138">
        <f>2.73000694704348*1*2</f>
        <v>5.46001389408696</v>
      </c>
      <c r="AI138">
        <v>1</v>
      </c>
      <c r="AJ138">
        <v>0</v>
      </c>
    </row>
    <row r="139" spans="1:36" hidden="1" x14ac:dyDescent="0.2">
      <c r="A139" t="s">
        <v>328</v>
      </c>
      <c r="B139" t="s">
        <v>329</v>
      </c>
      <c r="C139" t="s">
        <v>329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4.5999999999999996</v>
      </c>
      <c r="AE139">
        <v>836</v>
      </c>
      <c r="AF139">
        <v>5.75</v>
      </c>
      <c r="AG139">
        <v>7.0045703653250557</v>
      </c>
      <c r="AH139">
        <f>3.76741897265924*1*2</f>
        <v>7.5348379453184799</v>
      </c>
      <c r="AI139">
        <v>1</v>
      </c>
      <c r="AJ139">
        <v>0</v>
      </c>
    </row>
    <row r="140" spans="1:36" hidden="1" x14ac:dyDescent="0.2">
      <c r="A140" t="s">
        <v>330</v>
      </c>
      <c r="B140" t="s">
        <v>331</v>
      </c>
      <c r="C140" t="s">
        <v>332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4.4000000000000004</v>
      </c>
      <c r="AE140">
        <v>839</v>
      </c>
      <c r="AF140">
        <v>4.9056603773584904</v>
      </c>
      <c r="AG140">
        <v>4.6690721852643611</v>
      </c>
      <c r="AH140">
        <f>3.02583239033658*1*2</f>
        <v>6.0516647806731596</v>
      </c>
      <c r="AI140">
        <v>1</v>
      </c>
      <c r="AJ140">
        <v>0</v>
      </c>
    </row>
    <row r="141" spans="1:36" x14ac:dyDescent="0.2">
      <c r="A141" t="s">
        <v>252</v>
      </c>
      <c r="B141" t="s">
        <v>253</v>
      </c>
      <c r="C141" s="1" t="s">
        <v>253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5.4</v>
      </c>
      <c r="AE141">
        <v>538</v>
      </c>
      <c r="AF141">
        <v>11.4635761589404</v>
      </c>
      <c r="AG141">
        <v>0</v>
      </c>
      <c r="AH141">
        <f>9.32113402533642*1</f>
        <v>9.3211340253364199</v>
      </c>
      <c r="AI141">
        <v>1</v>
      </c>
      <c r="AJ141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2024-05-10T17:22:46Z</dcterms:created>
  <dcterms:modified xsi:type="dcterms:W3CDTF">2024-05-10T17:35:12Z</dcterms:modified>
</cp:coreProperties>
</file>