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5-26/"/>
    </mc:Choice>
  </mc:AlternateContent>
  <xr:revisionPtr revIDLastSave="0" documentId="13_ncr:1_{BED6071E-227C-6345-A9C8-EDAFCD9DE456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81" i="1" l="1"/>
  <c r="AH181" i="1"/>
  <c r="AI180" i="1"/>
  <c r="AH180" i="1"/>
  <c r="AI179" i="1"/>
  <c r="AH179" i="1"/>
  <c r="AI178" i="1"/>
  <c r="AH178" i="1"/>
  <c r="AI177" i="1"/>
  <c r="AH177" i="1"/>
  <c r="AI176" i="1"/>
  <c r="AH176" i="1"/>
  <c r="AO2" i="1" s="1"/>
  <c r="AI175" i="1"/>
  <c r="AH175" i="1"/>
  <c r="AI174" i="1"/>
  <c r="AH174" i="1"/>
  <c r="AI66" i="1"/>
  <c r="AH66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73" i="1"/>
  <c r="AH173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28" i="1"/>
  <c r="AH128" i="1"/>
  <c r="AI142" i="1"/>
  <c r="AH142" i="1"/>
  <c r="AI141" i="1"/>
  <c r="AH141" i="1"/>
  <c r="AI140" i="1"/>
  <c r="AH140" i="1"/>
  <c r="AI139" i="1"/>
  <c r="AH139" i="1"/>
  <c r="AI117" i="1"/>
  <c r="AH117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67" i="1"/>
  <c r="AH67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55" i="1"/>
  <c r="AH55" i="1"/>
  <c r="AI116" i="1"/>
  <c r="AH116" i="1"/>
  <c r="AI115" i="1"/>
  <c r="AH115" i="1"/>
  <c r="AI114" i="1"/>
  <c r="AH114" i="1"/>
  <c r="AI113" i="1"/>
  <c r="AH113" i="1"/>
  <c r="AI112" i="1"/>
  <c r="AH112" i="1"/>
  <c r="AI102" i="1"/>
  <c r="AH102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52" i="1"/>
  <c r="AH5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111" i="1"/>
  <c r="AH111" i="1"/>
  <c r="AI138" i="1"/>
  <c r="AH138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152" i="1"/>
  <c r="AH152" i="1"/>
  <c r="AI54" i="1"/>
  <c r="AH54" i="1"/>
  <c r="AI53" i="1"/>
  <c r="AH53" i="1"/>
  <c r="AI143" i="1"/>
  <c r="AH143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O38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10" i="1"/>
  <c r="AH10" i="1"/>
  <c r="AP9" i="1"/>
  <c r="AI9" i="1"/>
  <c r="AH9" i="1"/>
  <c r="AP8" i="1"/>
  <c r="AI8" i="1"/>
  <c r="AH8" i="1"/>
  <c r="AP7" i="1"/>
  <c r="AI7" i="1"/>
  <c r="AH7" i="1"/>
  <c r="AP6" i="1"/>
  <c r="AI6" i="1"/>
  <c r="AH6" i="1"/>
  <c r="AI5" i="1"/>
  <c r="AH5" i="1"/>
  <c r="AO4" i="1"/>
  <c r="AI4" i="1"/>
  <c r="AH4" i="1"/>
  <c r="AI3" i="1"/>
  <c r="AH3" i="1"/>
  <c r="AI2" i="1"/>
  <c r="AH2" i="1"/>
  <c r="AO17" i="1" l="1"/>
</calcChain>
</file>

<file path=xl/sharedStrings.xml><?xml version="1.0" encoding="utf-8"?>
<sst xmlns="http://schemas.openxmlformats.org/spreadsheetml/2006/main" count="970" uniqueCount="410">
  <si>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</si>
  <si>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</si>
  <si>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</si>
  <si>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</si>
  <si>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</si>
  <si>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</si>
  <si>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</si>
  <si>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</si>
  <si>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</si>
  <si>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</si>
  <si>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</si>
  <si>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</si>
  <si>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</si>
  <si>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</si>
  <si>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BUR</t>
  </si>
  <si>
    <t>BOU</t>
  </si>
  <si>
    <t>BRE</t>
  </si>
  <si>
    <t>BHA</t>
  </si>
  <si>
    <t>CHE</t>
  </si>
  <si>
    <t>CRY</t>
  </si>
  <si>
    <t>EVE</t>
  </si>
  <si>
    <t>FUL</t>
  </si>
  <si>
    <t>LEE</t>
  </si>
  <si>
    <t>LIV</t>
  </si>
  <si>
    <t>MCI</t>
  </si>
  <si>
    <t>MUN</t>
  </si>
  <si>
    <t>NEW</t>
  </si>
  <si>
    <t>NFO</t>
  </si>
  <si>
    <t>SUN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</si>
  <si>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</si>
  <si>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</si>
  <si>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</si>
  <si>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</si>
  <si>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</si>
  <si>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</si>
  <si>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</si>
  <si>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</si>
  <si>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</si>
  <si>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</si>
  <si>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</si>
  <si>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</si>
  <si>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</si>
  <si>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</si>
  <si>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</si>
  <si>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</si>
  <si>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</si>
  <si>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</si>
  <si>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William</t>
  </si>
  <si>
    <t>Saliba</t>
  </si>
  <si>
    <t>Bukayo</t>
  </si>
  <si>
    <t>Saka</t>
  </si>
  <si>
    <t>Martin</t>
  </si>
  <si>
    <t>Ødegaard</t>
  </si>
  <si>
    <t>Noni</t>
  </si>
  <si>
    <t>Madueke</t>
  </si>
  <si>
    <t>Martinelli Silva</t>
  </si>
  <si>
    <t>Martinelli</t>
  </si>
  <si>
    <t>Leandro</t>
  </si>
  <si>
    <t>Trossard</t>
  </si>
  <si>
    <t>Declan</t>
  </si>
  <si>
    <t>Rice</t>
  </si>
  <si>
    <t>Christian</t>
  </si>
  <si>
    <t>Nørgaard</t>
  </si>
  <si>
    <t>Eberechi</t>
  </si>
  <si>
    <t>Eze</t>
  </si>
  <si>
    <t>Emiliano</t>
  </si>
  <si>
    <t>Martínez Romero</t>
  </si>
  <si>
    <t>Martinez</t>
  </si>
  <si>
    <t>Matty</t>
  </si>
  <si>
    <t>Cash</t>
  </si>
  <si>
    <t>Lucas</t>
  </si>
  <si>
    <t>Digne</t>
  </si>
  <si>
    <t>Ezri</t>
  </si>
  <si>
    <t>Konsa Ngoyo</t>
  </si>
  <si>
    <t>Konsa</t>
  </si>
  <si>
    <t>Ian</t>
  </si>
  <si>
    <t>Maatsen</t>
  </si>
  <si>
    <t>Pau</t>
  </si>
  <si>
    <t>Torres</t>
  </si>
  <si>
    <t>Morgan</t>
  </si>
  <si>
    <t>Rogers</t>
  </si>
  <si>
    <t>Youri</t>
  </si>
  <si>
    <t>Tielemans</t>
  </si>
  <si>
    <t>John</t>
  </si>
  <si>
    <t>McGinn</t>
  </si>
  <si>
    <t>Boubacar</t>
  </si>
  <si>
    <t>Kamara</t>
  </si>
  <si>
    <t>Amadou</t>
  </si>
  <si>
    <t>Onana</t>
  </si>
  <si>
    <t>Ollie</t>
  </si>
  <si>
    <t>Watkins</t>
  </si>
  <si>
    <t>Jadon</t>
  </si>
  <si>
    <t>Sancho</t>
  </si>
  <si>
    <t>Lesley</t>
  </si>
  <si>
    <t>Ugochukwu</t>
  </si>
  <si>
    <t>Illia</t>
  </si>
  <si>
    <t>Zabarnyi</t>
  </si>
  <si>
    <t>Adam</t>
  </si>
  <si>
    <t>Smith</t>
  </si>
  <si>
    <t>Justin</t>
  </si>
  <si>
    <t>Kluivert</t>
  </si>
  <si>
    <t>Antoine</t>
  </si>
  <si>
    <t>Semenyo</t>
  </si>
  <si>
    <t>Marcus</t>
  </si>
  <si>
    <t>Tavernier</t>
  </si>
  <si>
    <t>Tyler</t>
  </si>
  <si>
    <t>Adams</t>
  </si>
  <si>
    <t>David</t>
  </si>
  <si>
    <t>Brooks</t>
  </si>
  <si>
    <t>Ryan</t>
  </si>
  <si>
    <t>Christie</t>
  </si>
  <si>
    <t>Lewis</t>
  </si>
  <si>
    <t>Cook</t>
  </si>
  <si>
    <t>Alex</t>
  </si>
  <si>
    <t>Scott</t>
  </si>
  <si>
    <t>Dango</t>
  </si>
  <si>
    <t>Ouattara</t>
  </si>
  <si>
    <t>O.Dango</t>
  </si>
  <si>
    <t>Nathan</t>
  </si>
  <si>
    <t>Collins</t>
  </si>
  <si>
    <t>Keane</t>
  </si>
  <si>
    <t>Lewis-Potter</t>
  </si>
  <si>
    <t>Kristoffer</t>
  </si>
  <si>
    <t>Ajer</t>
  </si>
  <si>
    <t>Kevin</t>
  </si>
  <si>
    <t>Schade</t>
  </si>
  <si>
    <t>Mikkel</t>
  </si>
  <si>
    <t>Damsgaard</t>
  </si>
  <si>
    <t>Vitaly</t>
  </si>
  <si>
    <t>Janelt</t>
  </si>
  <si>
    <t>Mathias</t>
  </si>
  <si>
    <t>Jensen</t>
  </si>
  <si>
    <t>Bart</t>
  </si>
  <si>
    <t>Verbruggen</t>
  </si>
  <si>
    <t>Dunk</t>
  </si>
  <si>
    <t>Jan Paul</t>
  </si>
  <si>
    <t>van Hecke</t>
  </si>
  <si>
    <t>Van Hecke</t>
  </si>
  <si>
    <t>Mitoma</t>
  </si>
  <si>
    <t>Kaoru</t>
  </si>
  <si>
    <t>Georginio</t>
  </si>
  <si>
    <t>Rutter</t>
  </si>
  <si>
    <t>Jack</t>
  </si>
  <si>
    <t>Hinshelwood</t>
  </si>
  <si>
    <t>Yasin</t>
  </si>
  <si>
    <t>Ayari</t>
  </si>
  <si>
    <t>Carlos</t>
  </si>
  <si>
    <t>Baleba</t>
  </si>
  <si>
    <t>Danny</t>
  </si>
  <si>
    <t>Welbeck</t>
  </si>
  <si>
    <t>Facundo</t>
  </si>
  <si>
    <t>Buonanotte</t>
  </si>
  <si>
    <t>Marc</t>
  </si>
  <si>
    <t>Cucurella Saseta</t>
  </si>
  <si>
    <t>Cucurella</t>
  </si>
  <si>
    <t>Trevoh</t>
  </si>
  <si>
    <t>Chalobah</t>
  </si>
  <si>
    <t>Malo</t>
  </si>
  <si>
    <t>Gusto</t>
  </si>
  <si>
    <t>Cole</t>
  </si>
  <si>
    <t>Palmer</t>
  </si>
  <si>
    <t>Pedro</t>
  </si>
  <si>
    <t>Lomba Neto</t>
  </si>
  <si>
    <t>Neto</t>
  </si>
  <si>
    <t>Enzo</t>
  </si>
  <si>
    <t>Fernández</t>
  </si>
  <si>
    <t>Moisés</t>
  </si>
  <si>
    <t>Caicedo Corozo</t>
  </si>
  <si>
    <t>Caicedo</t>
  </si>
  <si>
    <t>João Pedro</t>
  </si>
  <si>
    <t>Junqueira de Jesus</t>
  </si>
  <si>
    <t>Liam</t>
  </si>
  <si>
    <t>Delap</t>
  </si>
  <si>
    <t>Nicolas</t>
  </si>
  <si>
    <t>Jackson</t>
  </si>
  <si>
    <t>N.Jackson</t>
  </si>
  <si>
    <t>Dean</t>
  </si>
  <si>
    <t>Henderson</t>
  </si>
  <si>
    <t>Tyrick</t>
  </si>
  <si>
    <t>Mitchell</t>
  </si>
  <si>
    <t>Guéhi</t>
  </si>
  <si>
    <t>Chris</t>
  </si>
  <si>
    <t>Richards</t>
  </si>
  <si>
    <t>Ismaïla</t>
  </si>
  <si>
    <t>Sarr</t>
  </si>
  <si>
    <t>Will</t>
  </si>
  <si>
    <t>Hughes</t>
  </si>
  <si>
    <t>Jefferson</t>
  </si>
  <si>
    <t>Lerma Solís</t>
  </si>
  <si>
    <t>Lerma</t>
  </si>
  <si>
    <t>Jean-Philippe</t>
  </si>
  <si>
    <t>Mateta</t>
  </si>
  <si>
    <t>Eddie</t>
  </si>
  <si>
    <t>Nketiah</t>
  </si>
  <si>
    <t>Jordan</t>
  </si>
  <si>
    <t>Pickford</t>
  </si>
  <si>
    <t>Jarrad</t>
  </si>
  <si>
    <t>Branthwaite</t>
  </si>
  <si>
    <t>James</t>
  </si>
  <si>
    <t>Tarkowski</t>
  </si>
  <si>
    <t>Vitalii</t>
  </si>
  <si>
    <t>Mykolenko</t>
  </si>
  <si>
    <t>Garner</t>
  </si>
  <si>
    <t>Norberto Bercique</t>
  </si>
  <si>
    <t>Gomes Betuncal</t>
  </si>
  <si>
    <t>Beto</t>
  </si>
  <si>
    <t>Grealish</t>
  </si>
  <si>
    <t>Bernd</t>
  </si>
  <si>
    <t>Leno</t>
  </si>
  <si>
    <t>Antonee</t>
  </si>
  <si>
    <t>Robinson</t>
  </si>
  <si>
    <t>Joachim</t>
  </si>
  <si>
    <t>Andersen</t>
  </si>
  <si>
    <t>Calvin</t>
  </si>
  <si>
    <t>Bassey</t>
  </si>
  <si>
    <t>Timothy</t>
  </si>
  <si>
    <t>Castagne</t>
  </si>
  <si>
    <t>Kenny</t>
  </si>
  <si>
    <t>Tete</t>
  </si>
  <si>
    <t>Iwobi</t>
  </si>
  <si>
    <t>Emile</t>
  </si>
  <si>
    <t>Smith Rowe</t>
  </si>
  <si>
    <t>Andreas</t>
  </si>
  <si>
    <t>Hoelgebaum Pereira</t>
  </si>
  <si>
    <t>Harry</t>
  </si>
  <si>
    <t>Wilson</t>
  </si>
  <si>
    <t>Sander</t>
  </si>
  <si>
    <t>Berge</t>
  </si>
  <si>
    <t>Tom</t>
  </si>
  <si>
    <t>Cairney</t>
  </si>
  <si>
    <t>Saša</t>
  </si>
  <si>
    <t>Lukić</t>
  </si>
  <si>
    <t>Rodrigo</t>
  </si>
  <si>
    <t>Muniz Carvalho</t>
  </si>
  <si>
    <t>Muniz</t>
  </si>
  <si>
    <t>Harrison</t>
  </si>
  <si>
    <t>Sean</t>
  </si>
  <si>
    <t>Longstaff</t>
  </si>
  <si>
    <t>Dominic</t>
  </si>
  <si>
    <t>Calvert-Lewin</t>
  </si>
  <si>
    <t>Milos</t>
  </si>
  <si>
    <t>Kerkez</t>
  </si>
  <si>
    <t>Andrew</t>
  </si>
  <si>
    <t>Robertson</t>
  </si>
  <si>
    <t>Virgil</t>
  </si>
  <si>
    <t>van Dijk</t>
  </si>
  <si>
    <t>Ibrahima</t>
  </si>
  <si>
    <t>Konaté</t>
  </si>
  <si>
    <t>Mohamed</t>
  </si>
  <si>
    <t>Salah</t>
  </si>
  <si>
    <t>M.Salah</t>
  </si>
  <si>
    <t>Cody</t>
  </si>
  <si>
    <t>Gakpo</t>
  </si>
  <si>
    <t>Alexis</t>
  </si>
  <si>
    <t>Mac Allister</t>
  </si>
  <si>
    <t>Dominik</t>
  </si>
  <si>
    <t>Szoboszlai</t>
  </si>
  <si>
    <t>Curtis</t>
  </si>
  <si>
    <t>Jones</t>
  </si>
  <si>
    <t>C.Jones</t>
  </si>
  <si>
    <t>Gravenberch</t>
  </si>
  <si>
    <t>Darwin</t>
  </si>
  <si>
    <t>Núñez Ribeiro</t>
  </si>
  <si>
    <t>Alexander</t>
  </si>
  <si>
    <t>Isak</t>
  </si>
  <si>
    <t>Rayan</t>
  </si>
  <si>
    <t>Aït-Nouri</t>
  </si>
  <si>
    <t>Joško</t>
  </si>
  <si>
    <t>Gvardiol</t>
  </si>
  <si>
    <t>Rico</t>
  </si>
  <si>
    <t>Phil</t>
  </si>
  <si>
    <t>Foden</t>
  </si>
  <si>
    <t>Jérémy</t>
  </si>
  <si>
    <t>Doku</t>
  </si>
  <si>
    <t>Mateo</t>
  </si>
  <si>
    <t>Kovačić</t>
  </si>
  <si>
    <t>Erling</t>
  </si>
  <si>
    <t>Haaland</t>
  </si>
  <si>
    <t>Bryan</t>
  </si>
  <si>
    <t>Mbeumo</t>
  </si>
  <si>
    <t>André</t>
  </si>
  <si>
    <t>Diogo</t>
  </si>
  <si>
    <t>Dalot Teixeira</t>
  </si>
  <si>
    <t>Dalot</t>
  </si>
  <si>
    <t>Maguire</t>
  </si>
  <si>
    <t>Bruno</t>
  </si>
  <si>
    <t>Borges Fernandes</t>
  </si>
  <si>
    <t>B.Fernandes</t>
  </si>
  <si>
    <t>Amad</t>
  </si>
  <si>
    <t>Diallo</t>
  </si>
  <si>
    <t>Carlos Henrique</t>
  </si>
  <si>
    <t>Casimiro</t>
  </si>
  <si>
    <t>Casemiro</t>
  </si>
  <si>
    <t>Kobbie</t>
  </si>
  <si>
    <t>Mainoo</t>
  </si>
  <si>
    <t>Rasmus</t>
  </si>
  <si>
    <t>Højlund</t>
  </si>
  <si>
    <t>Jacob</t>
  </si>
  <si>
    <t>Ramsey</t>
  </si>
  <si>
    <t>J.Ramsey</t>
  </si>
  <si>
    <t>Yoane</t>
  </si>
  <si>
    <t>Wissa</t>
  </si>
  <si>
    <t>Nick</t>
  </si>
  <si>
    <t>Pope</t>
  </si>
  <si>
    <t>Hall</t>
  </si>
  <si>
    <t>Fabian</t>
  </si>
  <si>
    <t>Schär</t>
  </si>
  <si>
    <t>Dan</t>
  </si>
  <si>
    <t>Burn</t>
  </si>
  <si>
    <t>Tino</t>
  </si>
  <si>
    <t>Livramento</t>
  </si>
  <si>
    <t>Kieran</t>
  </si>
  <si>
    <t>Trippier</t>
  </si>
  <si>
    <t>Anthony</t>
  </si>
  <si>
    <t>Gordon</t>
  </si>
  <si>
    <t>Elanga</t>
  </si>
  <si>
    <t>Harvey</t>
  </si>
  <si>
    <t>Barnes</t>
  </si>
  <si>
    <t>Guimarães Rodriguez Moura</t>
  </si>
  <si>
    <t>Bruno G.</t>
  </si>
  <si>
    <t>Murphy</t>
  </si>
  <si>
    <t>J.Murphy</t>
  </si>
  <si>
    <t>Joelinton Cássio</t>
  </si>
  <si>
    <t>Apolinário de Lira</t>
  </si>
  <si>
    <t>Joelinton</t>
  </si>
  <si>
    <t>Sandro</t>
  </si>
  <si>
    <t>Tonali</t>
  </si>
  <si>
    <t>Joe</t>
  </si>
  <si>
    <t>Willock</t>
  </si>
  <si>
    <t>Aaron</t>
  </si>
  <si>
    <t>Ramsdale</t>
  </si>
  <si>
    <t>Matz</t>
  </si>
  <si>
    <t>Sels</t>
  </si>
  <si>
    <t>Nikola</t>
  </si>
  <si>
    <t>Milenković</t>
  </si>
  <si>
    <t>Ola</t>
  </si>
  <si>
    <t>Aina</t>
  </si>
  <si>
    <t>Neco</t>
  </si>
  <si>
    <t>Williams</t>
  </si>
  <si>
    <t>N.Williams</t>
  </si>
  <si>
    <t>Gibbs-White</t>
  </si>
  <si>
    <t>Callum</t>
  </si>
  <si>
    <t>Hudson-Odoi</t>
  </si>
  <si>
    <t>Elliot</t>
  </si>
  <si>
    <t>Anderson</t>
  </si>
  <si>
    <t>Nicolás</t>
  </si>
  <si>
    <t>Domínguez</t>
  </si>
  <si>
    <t>Dominguez</t>
  </si>
  <si>
    <t>Yates</t>
  </si>
  <si>
    <t>Wood</t>
  </si>
  <si>
    <t>Taiwo</t>
  </si>
  <si>
    <t>Awoniyi</t>
  </si>
  <si>
    <t>Simon</t>
  </si>
  <si>
    <t>Adingra</t>
  </si>
  <si>
    <t>Guglielmo</t>
  </si>
  <si>
    <t>Vicario</t>
  </si>
  <si>
    <t>Destiny</t>
  </si>
  <si>
    <t>Udogie</t>
  </si>
  <si>
    <t>Son</t>
  </si>
  <si>
    <t>Heung-min</t>
  </si>
  <si>
    <t>Brennan</t>
  </si>
  <si>
    <t>Johnson</t>
  </si>
  <si>
    <t>Maddison</t>
  </si>
  <si>
    <t>Mohammed</t>
  </si>
  <si>
    <t>Kudus</t>
  </si>
  <si>
    <t>Dejan</t>
  </si>
  <si>
    <t>Kulusevski</t>
  </si>
  <si>
    <t>Bentancur</t>
  </si>
  <si>
    <t>Yves</t>
  </si>
  <si>
    <t>Bissouma</t>
  </si>
  <si>
    <t>Pape Matar</t>
  </si>
  <si>
    <t>P.M.Sarr</t>
  </si>
  <si>
    <t>Alphonse</t>
  </si>
  <si>
    <t>Areola</t>
  </si>
  <si>
    <t>Emerson</t>
  </si>
  <si>
    <t>Palmieri dos Santos</t>
  </si>
  <si>
    <t>Konstantinos</t>
  </si>
  <si>
    <t>Mavropanos</t>
  </si>
  <si>
    <t>Wan-Bissaka</t>
  </si>
  <si>
    <t>Tolentino Coelho de Lima</t>
  </si>
  <si>
    <t>L.Paquetá</t>
  </si>
  <si>
    <t>Tomáš</t>
  </si>
  <si>
    <t>Souček</t>
  </si>
  <si>
    <t>Ward-Prowse</t>
  </si>
  <si>
    <t>Edson</t>
  </si>
  <si>
    <t>Álvarez Velázquez</t>
  </si>
  <si>
    <t>Álvarez</t>
  </si>
  <si>
    <t>Jarrod</t>
  </si>
  <si>
    <t>Bowen</t>
  </si>
  <si>
    <t>Kyle</t>
  </si>
  <si>
    <t>Walker-Peters</t>
  </si>
  <si>
    <t>Mateus Gonçalo</t>
  </si>
  <si>
    <t>Espanha Fernandes</t>
  </si>
  <si>
    <t>M.Fernandes</t>
  </si>
  <si>
    <t>José</t>
  </si>
  <si>
    <t>Malheiro de Sá</t>
  </si>
  <si>
    <t>José Sá</t>
  </si>
  <si>
    <t>Matt</t>
  </si>
  <si>
    <t>Doherty</t>
  </si>
  <si>
    <t>Hwang</t>
  </si>
  <si>
    <t>Hee-chan</t>
  </si>
  <si>
    <t>Hee Chan</t>
  </si>
  <si>
    <t>Jean-Ricner</t>
  </si>
  <si>
    <t>Bellegarde</t>
  </si>
  <si>
    <t>João Victor</t>
  </si>
  <si>
    <t>Gomes da Silva</t>
  </si>
  <si>
    <t>Gomes</t>
  </si>
  <si>
    <t>Gonçalo Manuel</t>
  </si>
  <si>
    <t>Ganchinho Guedes</t>
  </si>
  <si>
    <t>Guedes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</si>
</sst>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81" totalsRowShown="0">
  <autoFilter ref="A1:AL181" xr:uid="{00000000-0009-0000-0100-000001000000}">
    <filterColumn colId="37">
      <filters>
        <filter val="1"/>
      </filters>
    </filterColumn>
  </autoFilter>
  <sortState xmlns:xlrd2="http://schemas.microsoft.com/office/spreadsheetml/2017/richdata2" ref="A29:AL173">
    <sortCondition descending="1" ref="AI1:AI181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UR"/>
    <tableColumn id="13" xr3:uid="{00000000-0010-0000-0000-00000D000000}" name="BOU"/>
    <tableColumn id="14" xr3:uid="{00000000-0010-0000-0000-00000E000000}" name="BRE"/>
    <tableColumn id="15" xr3:uid="{00000000-0010-0000-0000-00000F000000}" name="BHA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EE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UN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1"/>
  <sheetViews>
    <sheetView tabSelected="1" workbookViewId="0">
      <selection activeCell="C52" sqref="C52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6.3</v>
      </c>
      <c r="AE2">
        <v>4</v>
      </c>
      <c r="AF2">
        <v>144.1081081081081</v>
      </c>
      <c r="AG2">
        <v>144.1081081081081</v>
      </c>
      <c r="AH2">
        <f>64.048048048048*1</f>
        <v>64.048048048048003</v>
      </c>
      <c r="AI2">
        <f>1.81962389317609*1</f>
        <v>1.81962389317609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952.80780780780617</v>
      </c>
      <c r="AP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</v>
      </c>
      <c r="AE3">
        <v>5</v>
      </c>
      <c r="AF3">
        <v>113.1081081081081</v>
      </c>
      <c r="AG3">
        <v>113.1081081081081</v>
      </c>
      <c r="AH3">
        <f>50.2702702702702*1</f>
        <v>50.270270270270203</v>
      </c>
      <c r="AI3">
        <f>1.79329918876691*1</f>
        <v>1.7932991887669101</v>
      </c>
      <c r="AJ3">
        <v>1</v>
      </c>
      <c r="AK3">
        <v>0</v>
      </c>
      <c r="AL3">
        <v>0</v>
      </c>
    </row>
    <row r="4" spans="1:43" hidden="1" x14ac:dyDescent="0.2">
      <c r="A4" t="s">
        <v>49</v>
      </c>
      <c r="B4" t="s">
        <v>50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9.9</v>
      </c>
      <c r="AE4">
        <v>14</v>
      </c>
      <c r="AF4">
        <v>161.70270270270271</v>
      </c>
      <c r="AG4">
        <v>161.70270270270271</v>
      </c>
      <c r="AH4">
        <f>71.8678678678678*1</f>
        <v>71.867867867867801</v>
      </c>
      <c r="AI4">
        <f>2.50717266657073*1</f>
        <v>2.5071726665707299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99.899999999999991</v>
      </c>
      <c r="AP4">
        <v>100.4</v>
      </c>
    </row>
    <row r="5" spans="1:43" hidden="1" x14ac:dyDescent="0.2">
      <c r="A5" t="s">
        <v>51</v>
      </c>
      <c r="B5" t="s">
        <v>52</v>
      </c>
      <c r="C5" t="s">
        <v>52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7.9</v>
      </c>
      <c r="AE5">
        <v>15</v>
      </c>
      <c r="AF5">
        <v>113.94594594594599</v>
      </c>
      <c r="AG5">
        <v>113.94594594594599</v>
      </c>
      <c r="AH5">
        <f>50.6426426426426*1</f>
        <v>50.642642642642599</v>
      </c>
      <c r="AI5">
        <f>2.09438878830761*1</f>
        <v>2.0943887883076102</v>
      </c>
      <c r="AJ5">
        <v>1</v>
      </c>
      <c r="AK5">
        <v>0</v>
      </c>
      <c r="AL5">
        <v>0</v>
      </c>
    </row>
    <row r="6" spans="1:43" hidden="1" x14ac:dyDescent="0.2">
      <c r="A6" t="s">
        <v>53</v>
      </c>
      <c r="B6" t="s">
        <v>54</v>
      </c>
      <c r="C6" t="s">
        <v>54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6.9</v>
      </c>
      <c r="AE6">
        <v>16</v>
      </c>
      <c r="AF6">
        <v>108.91891891891891</v>
      </c>
      <c r="AG6">
        <v>108.91891891891891</v>
      </c>
      <c r="AH6">
        <f>48.4084084084084*1</f>
        <v>48.408408408408398</v>
      </c>
      <c r="AI6">
        <f>1.45190683101705*1</f>
        <v>1.45190683101705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hidden="1" x14ac:dyDescent="0.2">
      <c r="A7" t="s">
        <v>45</v>
      </c>
      <c r="B7" t="s">
        <v>55</v>
      </c>
      <c r="C7" t="s">
        <v>56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6.9</v>
      </c>
      <c r="AE7">
        <v>17</v>
      </c>
      <c r="AF7">
        <v>107.2432432432433</v>
      </c>
      <c r="AG7">
        <v>107.2432432432433</v>
      </c>
      <c r="AH7">
        <f>47.6636636636636*1</f>
        <v>47.663663663663598</v>
      </c>
      <c r="AI7">
        <f>1.42464221918441*1</f>
        <v>1.4246422191844099</v>
      </c>
      <c r="AJ7">
        <v>1</v>
      </c>
      <c r="AK7">
        <v>0</v>
      </c>
      <c r="AL7">
        <v>0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57</v>
      </c>
      <c r="B8" t="s">
        <v>58</v>
      </c>
      <c r="C8" t="s">
        <v>58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6.9</v>
      </c>
      <c r="AE8">
        <v>18</v>
      </c>
      <c r="AF8">
        <v>115.6216216216216</v>
      </c>
      <c r="AG8">
        <v>115.6216216216216</v>
      </c>
      <c r="AH8">
        <f>51.3873873873873*1</f>
        <v>51.387387387387299</v>
      </c>
      <c r="AI8">
        <f>1.97348818720921*1</f>
        <v>1.97348818720921</v>
      </c>
      <c r="AJ8">
        <v>1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59</v>
      </c>
      <c r="B9" t="s">
        <v>60</v>
      </c>
      <c r="C9" t="s">
        <v>60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</v>
      </c>
      <c r="AE9">
        <v>19</v>
      </c>
      <c r="AF9">
        <v>130.70270270270271</v>
      </c>
      <c r="AG9">
        <v>130.70270270270271</v>
      </c>
      <c r="AH9">
        <f>58.09009009009*1</f>
        <v>58.090090090090001</v>
      </c>
      <c r="AI9">
        <f>1.78537763060661*1</f>
        <v>1.78537763060661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61</v>
      </c>
      <c r="B10" t="s">
        <v>62</v>
      </c>
      <c r="C10" t="s">
        <v>62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5.3</v>
      </c>
      <c r="AE10">
        <v>22</v>
      </c>
      <c r="AF10">
        <v>96.35135135135134</v>
      </c>
      <c r="AG10">
        <v>96.35135135135134</v>
      </c>
      <c r="AH10">
        <f>42.8228228228228*1</f>
        <v>42.822822822822801</v>
      </c>
      <c r="AI10">
        <f>1.2541528054566*1</f>
        <v>1.2541528054566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63</v>
      </c>
      <c r="B11" t="s">
        <v>64</v>
      </c>
      <c r="C11" t="s">
        <v>64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7.6</v>
      </c>
      <c r="AE11">
        <v>29</v>
      </c>
      <c r="AF11">
        <v>134.05405405405409</v>
      </c>
      <c r="AG11">
        <v>134.05405405405409</v>
      </c>
      <c r="AH11">
        <f>59.5795795795795*1</f>
        <v>59.579579579579502</v>
      </c>
      <c r="AI11">
        <f>1.75514093093918*1</f>
        <v>1.7551409309391801</v>
      </c>
      <c r="AJ11">
        <v>1</v>
      </c>
      <c r="AK11">
        <v>0</v>
      </c>
      <c r="AL11">
        <v>0</v>
      </c>
    </row>
    <row r="12" spans="1:43" hidden="1" x14ac:dyDescent="0.2">
      <c r="A12" t="s">
        <v>65</v>
      </c>
      <c r="B12" t="s">
        <v>66</v>
      </c>
      <c r="C12" t="s">
        <v>67</v>
      </c>
      <c r="D12" t="s">
        <v>3</v>
      </c>
      <c r="E12">
        <v>1</v>
      </c>
      <c r="F12">
        <v>0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</v>
      </c>
      <c r="AE12">
        <v>35</v>
      </c>
      <c r="AF12">
        <v>96.35135135135134</v>
      </c>
      <c r="AG12">
        <v>96.35135135135134</v>
      </c>
      <c r="AH12">
        <f>42.8228228228228*1</f>
        <v>42.822822822822801</v>
      </c>
      <c r="AI12">
        <f>1.37230245975892*1</f>
        <v>1.37230245975892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68</v>
      </c>
      <c r="B13" t="s">
        <v>69</v>
      </c>
      <c r="C13" t="s">
        <v>69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4.5999999999999996</v>
      </c>
      <c r="AE13">
        <v>39</v>
      </c>
      <c r="AF13">
        <v>92.162162162162161</v>
      </c>
      <c r="AG13">
        <v>92.162162162162161</v>
      </c>
      <c r="AH13">
        <f>40.9609609609609*1</f>
        <v>40.960960960960897</v>
      </c>
      <c r="AI13">
        <f>1.19513124642126*1</f>
        <v>1.19513124642126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70</v>
      </c>
      <c r="B14" t="s">
        <v>71</v>
      </c>
      <c r="C14" t="s">
        <v>71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</v>
      </c>
      <c r="AE14">
        <v>40</v>
      </c>
      <c r="AF14">
        <v>89.64864864864866</v>
      </c>
      <c r="AG14">
        <v>89.64864864864866</v>
      </c>
      <c r="AH14">
        <f>39.8438438438438*1</f>
        <v>39.8438438438438</v>
      </c>
      <c r="AI14">
        <f>1.31635139013282*1</f>
        <v>1.3163513901328201</v>
      </c>
      <c r="AJ14">
        <v>1</v>
      </c>
      <c r="AK14">
        <v>0</v>
      </c>
      <c r="AL14">
        <v>0</v>
      </c>
    </row>
    <row r="15" spans="1:43" hidden="1" x14ac:dyDescent="0.2">
      <c r="A15" t="s">
        <v>72</v>
      </c>
      <c r="B15" t="s">
        <v>73</v>
      </c>
      <c r="C15" t="s">
        <v>74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</v>
      </c>
      <c r="AE15">
        <v>41</v>
      </c>
      <c r="AF15">
        <v>95.513513513513516</v>
      </c>
      <c r="AG15">
        <v>95.513513513513516</v>
      </c>
      <c r="AH15">
        <f>42.4504504504504*1</f>
        <v>42.450450450450397</v>
      </c>
      <c r="AI15">
        <f>1.26457883065491*1</f>
        <v>1.2645788306549099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75</v>
      </c>
      <c r="B16" t="s">
        <v>76</v>
      </c>
      <c r="C16" t="s">
        <v>76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4.3</v>
      </c>
      <c r="AE16">
        <v>42</v>
      </c>
      <c r="AF16">
        <v>53.621621621621628</v>
      </c>
      <c r="AG16">
        <v>53.621621621621628</v>
      </c>
      <c r="AH16">
        <f>23.8318318318318*1</f>
        <v>23.831831831831799</v>
      </c>
      <c r="AI16">
        <f>0.61658090084146*1</f>
        <v>0.61658090084146</v>
      </c>
      <c r="AJ16">
        <v>1</v>
      </c>
      <c r="AK16">
        <v>0</v>
      </c>
      <c r="AL16">
        <v>0</v>
      </c>
    </row>
    <row r="17" spans="1:42" hidden="1" x14ac:dyDescent="0.2">
      <c r="A17" t="s">
        <v>77</v>
      </c>
      <c r="B17" t="s">
        <v>78</v>
      </c>
      <c r="C17" t="s">
        <v>77</v>
      </c>
      <c r="D17" t="s">
        <v>4</v>
      </c>
      <c r="E17">
        <v>0</v>
      </c>
      <c r="F17">
        <v>1</v>
      </c>
      <c r="G17">
        <v>0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4.4000000000000004</v>
      </c>
      <c r="AE17">
        <v>44</v>
      </c>
      <c r="AF17">
        <v>70.378378378378372</v>
      </c>
      <c r="AG17">
        <v>70.378378378378372</v>
      </c>
      <c r="AH17">
        <f>31.2792792792792*1</f>
        <v>31.279279279279201</v>
      </c>
      <c r="AI17">
        <f>1.0471693409377*1</f>
        <v>1.0471693409377001</v>
      </c>
      <c r="AJ17">
        <v>1</v>
      </c>
      <c r="AK17">
        <v>0</v>
      </c>
      <c r="AL17">
        <v>0</v>
      </c>
      <c r="AN17" t="s">
        <v>11</v>
      </c>
      <c r="AO17">
        <f>AO2-AO15*38</f>
        <v>952.80780780780617</v>
      </c>
    </row>
    <row r="18" spans="1:42" hidden="1" x14ac:dyDescent="0.2">
      <c r="A18" t="s">
        <v>79</v>
      </c>
      <c r="B18" t="s">
        <v>80</v>
      </c>
      <c r="C18" t="s">
        <v>80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6.9</v>
      </c>
      <c r="AE18">
        <v>50</v>
      </c>
      <c r="AF18">
        <v>131.54054054054049</v>
      </c>
      <c r="AG18">
        <v>131.54054054054049</v>
      </c>
      <c r="AH18">
        <f>58.4624624624624*1</f>
        <v>58.462462462462398</v>
      </c>
      <c r="AI18">
        <f>1.90319035077909*1</f>
        <v>1.9031903507790899</v>
      </c>
      <c r="AJ18">
        <v>1</v>
      </c>
      <c r="AK18">
        <v>0</v>
      </c>
      <c r="AL18">
        <v>0</v>
      </c>
    </row>
    <row r="19" spans="1:42" hidden="1" x14ac:dyDescent="0.2">
      <c r="A19" t="s">
        <v>81</v>
      </c>
      <c r="B19" t="s">
        <v>82</v>
      </c>
      <c r="C19" t="s">
        <v>82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5.9</v>
      </c>
      <c r="AE19">
        <v>51</v>
      </c>
      <c r="AF19">
        <v>94.675675675675677</v>
      </c>
      <c r="AG19">
        <v>94.675675675675677</v>
      </c>
      <c r="AH19">
        <f>42.078078078078*1</f>
        <v>42.078078078078001</v>
      </c>
      <c r="AI19">
        <f>1.39988290379239*1</f>
        <v>1.3998829037923901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0</v>
      </c>
      <c r="AP19">
        <v>3</v>
      </c>
    </row>
    <row r="20" spans="1:42" hidden="1" x14ac:dyDescent="0.2">
      <c r="A20" t="s">
        <v>83</v>
      </c>
      <c r="B20" t="s">
        <v>84</v>
      </c>
      <c r="C20" t="s">
        <v>84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5.4</v>
      </c>
      <c r="AE20">
        <v>56</v>
      </c>
      <c r="AF20">
        <v>75.405405405405403</v>
      </c>
      <c r="AG20">
        <v>75.405405405405403</v>
      </c>
      <c r="AH20">
        <f>33.5135135135135*1</f>
        <v>33.513513513513502</v>
      </c>
      <c r="AI20">
        <f>1.28440158903894*1</f>
        <v>1.28440158903894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85</v>
      </c>
      <c r="B21" t="s">
        <v>86</v>
      </c>
      <c r="C21" t="s">
        <v>86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4.9000000000000004</v>
      </c>
      <c r="AE21">
        <v>60</v>
      </c>
      <c r="AF21">
        <v>72.054054054054049</v>
      </c>
      <c r="AG21">
        <v>72.054054054054049</v>
      </c>
      <c r="AH21">
        <f>32.024024024024*1</f>
        <v>32.024024024024001</v>
      </c>
      <c r="AI21">
        <f>0.63560153789145*1</f>
        <v>0.63560153789145002</v>
      </c>
      <c r="AJ21">
        <v>1</v>
      </c>
      <c r="AK21">
        <v>0</v>
      </c>
      <c r="AL21">
        <v>0</v>
      </c>
      <c r="AN21" t="s">
        <v>14</v>
      </c>
      <c r="AO21">
        <f>SUMPRODUCT(Table1[Selected],Table1[BUR])</f>
        <v>0</v>
      </c>
      <c r="AP21">
        <v>3</v>
      </c>
    </row>
    <row r="22" spans="1:42" hidden="1" x14ac:dyDescent="0.2">
      <c r="A22" t="s">
        <v>87</v>
      </c>
      <c r="B22" t="s">
        <v>88</v>
      </c>
      <c r="C22" t="s">
        <v>88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4.8</v>
      </c>
      <c r="AE22">
        <v>61</v>
      </c>
      <c r="AF22">
        <v>66.189189189189193</v>
      </c>
      <c r="AG22">
        <v>66.189189189189193</v>
      </c>
      <c r="AH22">
        <f>29.4174174174174*1</f>
        <v>29.417417417417401</v>
      </c>
      <c r="AI22">
        <f>1.12257461597865*1</f>
        <v>1.12257461597865</v>
      </c>
      <c r="AJ22">
        <v>1</v>
      </c>
      <c r="AK22">
        <v>0</v>
      </c>
      <c r="AL22">
        <v>0</v>
      </c>
      <c r="AN22" t="s">
        <v>15</v>
      </c>
      <c r="AO22">
        <f>SUMPRODUCT(Table1[Selected],Table1[BOU])</f>
        <v>1</v>
      </c>
      <c r="AP22">
        <v>3</v>
      </c>
    </row>
    <row r="23" spans="1:42" hidden="1" x14ac:dyDescent="0.2">
      <c r="A23" t="s">
        <v>89</v>
      </c>
      <c r="B23" t="s">
        <v>90</v>
      </c>
      <c r="C23" t="s">
        <v>90</v>
      </c>
      <c r="D23" t="s">
        <v>6</v>
      </c>
      <c r="E23">
        <v>0</v>
      </c>
      <c r="F23">
        <v>0</v>
      </c>
      <c r="G23">
        <v>0</v>
      </c>
      <c r="H23">
        <v>1</v>
      </c>
      <c r="I23" t="s">
        <v>13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8.6999999999999993</v>
      </c>
      <c r="AE23">
        <v>66</v>
      </c>
      <c r="AF23">
        <v>123.1621621621622</v>
      </c>
      <c r="AG23">
        <v>123.1621621621622</v>
      </c>
      <c r="AH23">
        <f>54.7387387387387*1</f>
        <v>54.738738738738697</v>
      </c>
      <c r="AI23">
        <f>2.15319473977847*1</f>
        <v>2.1531947397784701</v>
      </c>
      <c r="AJ23">
        <v>1</v>
      </c>
      <c r="AK23">
        <v>0</v>
      </c>
      <c r="AL23">
        <v>0</v>
      </c>
      <c r="AN23" t="s">
        <v>16</v>
      </c>
      <c r="AO23">
        <f>SUMPRODUCT(Table1[Selected],Table1[BRE])</f>
        <v>0</v>
      </c>
      <c r="AP23">
        <v>3</v>
      </c>
    </row>
    <row r="24" spans="1:42" hidden="1" x14ac:dyDescent="0.2">
      <c r="A24" t="s">
        <v>91</v>
      </c>
      <c r="B24" t="s">
        <v>92</v>
      </c>
      <c r="C24" t="s">
        <v>92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5.9</v>
      </c>
      <c r="AE24">
        <v>69</v>
      </c>
      <c r="AF24">
        <v>88.810810810810807</v>
      </c>
      <c r="AG24">
        <v>88.810810810810807</v>
      </c>
      <c r="AH24">
        <f>39.4714714714714*1</f>
        <v>39.471471471471403</v>
      </c>
      <c r="AI24">
        <f>1.58273711986253*1</f>
        <v>1.58273711986253</v>
      </c>
      <c r="AJ24">
        <v>1</v>
      </c>
      <c r="AK24">
        <v>0</v>
      </c>
      <c r="AL24">
        <v>0</v>
      </c>
      <c r="AN24" t="s">
        <v>17</v>
      </c>
      <c r="AO24">
        <f>SUMPRODUCT(Table1[Selected],Table1[BHA])</f>
        <v>1</v>
      </c>
      <c r="AP24">
        <v>3</v>
      </c>
    </row>
    <row r="25" spans="1:42" hidden="1" x14ac:dyDescent="0.2">
      <c r="A25" t="s">
        <v>93</v>
      </c>
      <c r="B25" t="s">
        <v>94</v>
      </c>
      <c r="C25" t="s">
        <v>94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14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115</v>
      </c>
      <c r="AF25">
        <v>54.45945945945946</v>
      </c>
      <c r="AG25">
        <v>54.45945945945946</v>
      </c>
      <c r="AH25">
        <f>24.2042042042042*1</f>
        <v>24.204204204204199</v>
      </c>
      <c r="AI25">
        <f>0.759165865824481*1</f>
        <v>0.75916586582448098</v>
      </c>
      <c r="AJ25">
        <v>1</v>
      </c>
      <c r="AK25">
        <v>0</v>
      </c>
      <c r="AL25">
        <v>0</v>
      </c>
      <c r="AN25" t="s">
        <v>18</v>
      </c>
      <c r="AO25">
        <f>SUMPRODUCT(Table1[Selected],Table1[CHE])</f>
        <v>1</v>
      </c>
      <c r="AP25">
        <v>3</v>
      </c>
    </row>
    <row r="26" spans="1:42" hidden="1" x14ac:dyDescent="0.2">
      <c r="A26" t="s">
        <v>95</v>
      </c>
      <c r="B26" t="s">
        <v>96</v>
      </c>
      <c r="C26" t="s">
        <v>96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15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</v>
      </c>
      <c r="AE26">
        <v>123</v>
      </c>
      <c r="AF26">
        <v>79.594594594594597</v>
      </c>
      <c r="AG26">
        <v>79.594594594594597</v>
      </c>
      <c r="AH26">
        <f>35.3753753753753*1</f>
        <v>35.375375375375299</v>
      </c>
      <c r="AI26">
        <f>1.06195285126586*1</f>
        <v>1.06195285126586</v>
      </c>
      <c r="AJ26">
        <v>1</v>
      </c>
      <c r="AK26">
        <v>0</v>
      </c>
      <c r="AL26">
        <v>0</v>
      </c>
      <c r="AN26" t="s">
        <v>19</v>
      </c>
      <c r="AO26">
        <f>SUMPRODUCT(Table1[Selected],Table1[CRY])</f>
        <v>3</v>
      </c>
      <c r="AP26">
        <v>3</v>
      </c>
    </row>
    <row r="27" spans="1:42" hidden="1" x14ac:dyDescent="0.2">
      <c r="A27" t="s">
        <v>97</v>
      </c>
      <c r="B27" t="s">
        <v>98</v>
      </c>
      <c r="C27" t="s">
        <v>98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15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4.4000000000000004</v>
      </c>
      <c r="AE27">
        <v>125</v>
      </c>
      <c r="AF27">
        <v>83.783783783783775</v>
      </c>
      <c r="AG27">
        <v>83.783783783783775</v>
      </c>
      <c r="AH27">
        <f>37.2372372372372*1</f>
        <v>37.237237237237203</v>
      </c>
      <c r="AI27">
        <f>0.997207479210343*1</f>
        <v>0.99720747921034303</v>
      </c>
      <c r="AJ27">
        <v>1</v>
      </c>
      <c r="AK27">
        <v>0</v>
      </c>
      <c r="AL27">
        <v>0</v>
      </c>
      <c r="AN27" t="s">
        <v>20</v>
      </c>
      <c r="AO27">
        <f>SUMPRODUCT(Table1[Selected],Table1[EVE])</f>
        <v>0</v>
      </c>
      <c r="AP27">
        <v>3</v>
      </c>
    </row>
    <row r="28" spans="1:42" hidden="1" x14ac:dyDescent="0.2">
      <c r="A28" t="s">
        <v>99</v>
      </c>
      <c r="B28" t="s">
        <v>100</v>
      </c>
      <c r="C28" t="s">
        <v>100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15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7</v>
      </c>
      <c r="AE28">
        <v>133</v>
      </c>
      <c r="AF28">
        <v>135.72972972972971</v>
      </c>
      <c r="AG28">
        <v>135.72972972972971</v>
      </c>
      <c r="AH28">
        <f>60.3243243243243*1</f>
        <v>60.324324324324301</v>
      </c>
      <c r="AI28">
        <f>1.92750435795033*1</f>
        <v>1.9275043579503299</v>
      </c>
      <c r="AJ28">
        <v>1</v>
      </c>
      <c r="AK28">
        <v>0</v>
      </c>
      <c r="AL28">
        <v>0</v>
      </c>
      <c r="AN28" t="s">
        <v>21</v>
      </c>
      <c r="AO28">
        <f>SUMPRODUCT(Table1[Selected],Table1[FUL])</f>
        <v>0</v>
      </c>
      <c r="AP28">
        <v>3</v>
      </c>
    </row>
    <row r="29" spans="1:42" x14ac:dyDescent="0.2">
      <c r="A29" t="s">
        <v>101</v>
      </c>
      <c r="B29" t="s">
        <v>102</v>
      </c>
      <c r="C29" t="s">
        <v>102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15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7.9</v>
      </c>
      <c r="AE29">
        <v>134</v>
      </c>
      <c r="AF29">
        <v>167.56756756756761</v>
      </c>
      <c r="AG29">
        <v>167.56756756756761</v>
      </c>
      <c r="AH29">
        <f>74.4744744744744*1</f>
        <v>74.474474474474405</v>
      </c>
      <c r="AI29">
        <f>3.05181247071154*1</f>
        <v>3.0518124707115399</v>
      </c>
      <c r="AJ29">
        <v>1</v>
      </c>
      <c r="AK29">
        <v>1</v>
      </c>
      <c r="AL29">
        <v>1</v>
      </c>
      <c r="AN29" t="s">
        <v>22</v>
      </c>
      <c r="AO29">
        <f>SUMPRODUCT(Table1[Selected],Table1[LEE])</f>
        <v>0</v>
      </c>
      <c r="AP29">
        <v>3</v>
      </c>
    </row>
    <row r="30" spans="1:42" hidden="1" x14ac:dyDescent="0.2">
      <c r="A30" t="s">
        <v>103</v>
      </c>
      <c r="B30" t="s">
        <v>104</v>
      </c>
      <c r="C30" t="s">
        <v>104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5.5</v>
      </c>
      <c r="AE30">
        <v>135</v>
      </c>
      <c r="AF30">
        <v>96.35135135135134</v>
      </c>
      <c r="AG30">
        <v>96.35135135135134</v>
      </c>
      <c r="AH30">
        <f>42.8228228228228*1</f>
        <v>42.822822822822801</v>
      </c>
      <c r="AI30">
        <f>1.40989804198927*1</f>
        <v>1.4098980419892699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1</v>
      </c>
      <c r="AP30">
        <v>3</v>
      </c>
    </row>
    <row r="31" spans="1:42" hidden="1" x14ac:dyDescent="0.2">
      <c r="A31" t="s">
        <v>105</v>
      </c>
      <c r="B31" t="s">
        <v>106</v>
      </c>
      <c r="C31" t="s">
        <v>106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15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</v>
      </c>
      <c r="AE31">
        <v>136</v>
      </c>
      <c r="AF31">
        <v>67.027027027027032</v>
      </c>
      <c r="AG31">
        <v>67.027027027027032</v>
      </c>
      <c r="AH31">
        <f>29.7897897897897*1</f>
        <v>29.789789789789701</v>
      </c>
      <c r="AI31">
        <f>0.880677350876963*1</f>
        <v>0.88067735087696297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1</v>
      </c>
      <c r="AP31">
        <v>3</v>
      </c>
    </row>
    <row r="32" spans="1:42" hidden="1" x14ac:dyDescent="0.2">
      <c r="A32" t="s">
        <v>107</v>
      </c>
      <c r="B32" t="s">
        <v>108</v>
      </c>
      <c r="C32" t="s">
        <v>108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</v>
      </c>
      <c r="AE32">
        <v>137</v>
      </c>
      <c r="AF32">
        <v>59.486486486486477</v>
      </c>
      <c r="AG32">
        <v>59.486486486486477</v>
      </c>
      <c r="AH32">
        <f>26.4384384384384*1</f>
        <v>26.4384384384384</v>
      </c>
      <c r="AI32">
        <f>1.12864722573322*1</f>
        <v>1.1286472257332201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1</v>
      </c>
      <c r="AP32">
        <v>3</v>
      </c>
    </row>
    <row r="33" spans="1:42" hidden="1" x14ac:dyDescent="0.2">
      <c r="A33" t="s">
        <v>109</v>
      </c>
      <c r="B33" t="s">
        <v>110</v>
      </c>
      <c r="C33" t="s">
        <v>110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</v>
      </c>
      <c r="AE33">
        <v>138</v>
      </c>
      <c r="AF33">
        <v>75.405405405405403</v>
      </c>
      <c r="AG33">
        <v>75.405405405405403</v>
      </c>
      <c r="AH33">
        <f>33.5135135135135*1</f>
        <v>33.513513513513502</v>
      </c>
      <c r="AI33">
        <f>0.984951886821742*1</f>
        <v>0.98495188682174195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3</v>
      </c>
      <c r="AP33">
        <v>3</v>
      </c>
    </row>
    <row r="34" spans="1:42" hidden="1" x14ac:dyDescent="0.2">
      <c r="A34" t="s">
        <v>111</v>
      </c>
      <c r="B34" t="s">
        <v>112</v>
      </c>
      <c r="C34" t="s">
        <v>112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15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4.9000000000000004</v>
      </c>
      <c r="AE34">
        <v>139</v>
      </c>
      <c r="AF34">
        <v>69.540540540540547</v>
      </c>
      <c r="AG34">
        <v>69.540540540540547</v>
      </c>
      <c r="AH34">
        <f>30.9069069069069*1</f>
        <v>30.906906906906901</v>
      </c>
      <c r="AI34">
        <f>0.866510932763029*1</f>
        <v>0.86651093276302904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2</v>
      </c>
      <c r="AP34">
        <v>3</v>
      </c>
    </row>
    <row r="35" spans="1:42" hidden="1" x14ac:dyDescent="0.2">
      <c r="A35" t="s">
        <v>113</v>
      </c>
      <c r="B35" t="s">
        <v>114</v>
      </c>
      <c r="C35" t="s">
        <v>114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15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</v>
      </c>
      <c r="AE35">
        <v>141</v>
      </c>
      <c r="AF35">
        <v>53.621621621621628</v>
      </c>
      <c r="AG35">
        <v>53.621621621621628</v>
      </c>
      <c r="AH35">
        <f>23.8318318318318*1</f>
        <v>23.831831831831799</v>
      </c>
      <c r="AI35">
        <f>0.866478874702227*1</f>
        <v>0.86647887470222695</v>
      </c>
      <c r="AJ35">
        <v>1</v>
      </c>
      <c r="AK35">
        <v>0</v>
      </c>
      <c r="AL35">
        <v>0</v>
      </c>
      <c r="AN35" t="s">
        <v>28</v>
      </c>
      <c r="AO35">
        <f>SUMPRODUCT(Table1[Selected],Table1[SUN])</f>
        <v>0</v>
      </c>
      <c r="AP35">
        <v>3</v>
      </c>
    </row>
    <row r="36" spans="1:42" hidden="1" x14ac:dyDescent="0.2">
      <c r="A36" t="s">
        <v>115</v>
      </c>
      <c r="B36" t="s">
        <v>116</v>
      </c>
      <c r="C36" t="s">
        <v>117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16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</v>
      </c>
      <c r="AE36">
        <v>159</v>
      </c>
      <c r="AF36">
        <v>107.2432432432433</v>
      </c>
      <c r="AG36">
        <v>107.2432432432433</v>
      </c>
      <c r="AH36">
        <f>47.6636636636636*1</f>
        <v>47.663663663663598</v>
      </c>
      <c r="AI36">
        <f>1.07995627432974*1</f>
        <v>1.07995627432974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 hidden="1" x14ac:dyDescent="0.2">
      <c r="A37" t="s">
        <v>118</v>
      </c>
      <c r="B37" t="s">
        <v>119</v>
      </c>
      <c r="C37" t="s">
        <v>119</v>
      </c>
      <c r="D37" t="s">
        <v>4</v>
      </c>
      <c r="E37">
        <v>0</v>
      </c>
      <c r="F37">
        <v>1</v>
      </c>
      <c r="G37">
        <v>0</v>
      </c>
      <c r="H37">
        <v>0</v>
      </c>
      <c r="I37" t="s">
        <v>16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4.9000000000000004</v>
      </c>
      <c r="AE37">
        <v>165</v>
      </c>
      <c r="AF37">
        <v>99.702702702702709</v>
      </c>
      <c r="AG37">
        <v>99.702702702702709</v>
      </c>
      <c r="AH37">
        <f>44.3123123123123*1</f>
        <v>44.312312312312301</v>
      </c>
      <c r="AI37">
        <f>1.18562306103552*1</f>
        <v>1.1856230610355201</v>
      </c>
      <c r="AJ37">
        <v>1</v>
      </c>
      <c r="AK37">
        <v>0</v>
      </c>
      <c r="AL37">
        <v>0</v>
      </c>
      <c r="AN37" t="s">
        <v>30</v>
      </c>
      <c r="AO37">
        <f>SUMPRODUCT(Table1[Selected],Table1[WHU])</f>
        <v>1</v>
      </c>
      <c r="AP37">
        <v>3</v>
      </c>
    </row>
    <row r="38" spans="1:42" hidden="1" x14ac:dyDescent="0.2">
      <c r="A38" t="s">
        <v>120</v>
      </c>
      <c r="B38" t="s">
        <v>121</v>
      </c>
      <c r="C38" t="s">
        <v>121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</v>
      </c>
      <c r="AE38">
        <v>166</v>
      </c>
      <c r="AF38">
        <v>77.918918918918919</v>
      </c>
      <c r="AG38">
        <v>77.918918918918919</v>
      </c>
      <c r="AH38">
        <f>34.6306306306306*1</f>
        <v>34.630630630630598</v>
      </c>
      <c r="AI38">
        <f>0.979117142937456*1</f>
        <v>0.979117142937456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0</v>
      </c>
      <c r="AP38">
        <v>3</v>
      </c>
    </row>
    <row r="39" spans="1:42" hidden="1" x14ac:dyDescent="0.2">
      <c r="A39" t="s">
        <v>122</v>
      </c>
      <c r="B39" t="s">
        <v>123</v>
      </c>
      <c r="C39" t="s">
        <v>123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4.4000000000000004</v>
      </c>
      <c r="AE39">
        <v>167</v>
      </c>
      <c r="AF39">
        <v>72.054054054054049</v>
      </c>
      <c r="AG39">
        <v>72.054054054054049</v>
      </c>
      <c r="AH39">
        <f>32.024024024024*1</f>
        <v>32.024024024024001</v>
      </c>
      <c r="AI39">
        <f>1.06381597377919*1</f>
        <v>1.0638159737791899</v>
      </c>
      <c r="AJ39">
        <v>1</v>
      </c>
      <c r="AK39">
        <v>0</v>
      </c>
      <c r="AL39">
        <v>0</v>
      </c>
    </row>
    <row r="40" spans="1:42" hidden="1" x14ac:dyDescent="0.2">
      <c r="A40" t="s">
        <v>124</v>
      </c>
      <c r="B40" t="s">
        <v>125</v>
      </c>
      <c r="C40" t="s">
        <v>125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16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7</v>
      </c>
      <c r="AE40">
        <v>178</v>
      </c>
      <c r="AF40">
        <v>126.5135135135135</v>
      </c>
      <c r="AG40">
        <v>126.5135135135135</v>
      </c>
      <c r="AH40">
        <f>56.2282282282282*1</f>
        <v>56.228228228228197</v>
      </c>
      <c r="AI40">
        <f>1.26032468832446*1</f>
        <v>1.2603246883244601</v>
      </c>
      <c r="AJ40">
        <v>1</v>
      </c>
      <c r="AK40">
        <v>0</v>
      </c>
      <c r="AL40">
        <v>0</v>
      </c>
    </row>
    <row r="41" spans="1:42" hidden="1" x14ac:dyDescent="0.2">
      <c r="A41" t="s">
        <v>126</v>
      </c>
      <c r="B41" t="s">
        <v>127</v>
      </c>
      <c r="C41" t="s">
        <v>127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5.8</v>
      </c>
      <c r="AE41">
        <v>179</v>
      </c>
      <c r="AF41">
        <v>115.6216216216216</v>
      </c>
      <c r="AG41">
        <v>115.6216216216216</v>
      </c>
      <c r="AH41">
        <f>51.3873873873873*1</f>
        <v>51.387387387387299</v>
      </c>
      <c r="AI41">
        <f>1.4817204100027*1</f>
        <v>1.4817204100026999</v>
      </c>
      <c r="AJ41">
        <v>1</v>
      </c>
      <c r="AK41">
        <v>0</v>
      </c>
      <c r="AL41">
        <v>0</v>
      </c>
    </row>
    <row r="42" spans="1:42" hidden="1" x14ac:dyDescent="0.2">
      <c r="A42" t="s">
        <v>128</v>
      </c>
      <c r="B42" t="s">
        <v>129</v>
      </c>
      <c r="C42" t="s">
        <v>129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4.9000000000000004</v>
      </c>
      <c r="AE42">
        <v>183</v>
      </c>
      <c r="AF42">
        <v>72.054054054054049</v>
      </c>
      <c r="AG42">
        <v>72.054054054054049</v>
      </c>
      <c r="AH42">
        <f>32.024024024024*1</f>
        <v>32.024024024024001</v>
      </c>
      <c r="AI42">
        <f>1.14108841445472*1</f>
        <v>1.14108841445472</v>
      </c>
      <c r="AJ42">
        <v>1</v>
      </c>
      <c r="AK42">
        <v>0</v>
      </c>
      <c r="AL42">
        <v>0</v>
      </c>
    </row>
    <row r="43" spans="1:42" hidden="1" x14ac:dyDescent="0.2">
      <c r="A43" t="s">
        <v>130</v>
      </c>
      <c r="B43" t="s">
        <v>131</v>
      </c>
      <c r="C43" t="s">
        <v>131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4.9000000000000004</v>
      </c>
      <c r="AE43">
        <v>184</v>
      </c>
      <c r="AF43">
        <v>56.972972972972983</v>
      </c>
      <c r="AG43">
        <v>56.972972972972983</v>
      </c>
      <c r="AH43">
        <f>25.3213213213213*1</f>
        <v>25.3213213213213</v>
      </c>
      <c r="AI43">
        <f>1.44384407161599*1</f>
        <v>1.4438440716159899</v>
      </c>
      <c r="AJ43">
        <v>1</v>
      </c>
      <c r="AK43">
        <v>0</v>
      </c>
      <c r="AL43">
        <v>0</v>
      </c>
    </row>
    <row r="44" spans="1:42" hidden="1" x14ac:dyDescent="0.2">
      <c r="A44" t="s">
        <v>132</v>
      </c>
      <c r="B44" t="s">
        <v>133</v>
      </c>
      <c r="C44" t="s">
        <v>133</v>
      </c>
      <c r="D44" t="s">
        <v>3</v>
      </c>
      <c r="E44">
        <v>1</v>
      </c>
      <c r="F44">
        <v>0</v>
      </c>
      <c r="G44">
        <v>0</v>
      </c>
      <c r="H44">
        <v>0</v>
      </c>
      <c r="I44" t="s">
        <v>17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4.4000000000000004</v>
      </c>
      <c r="AE44">
        <v>196</v>
      </c>
      <c r="AF44">
        <v>78.756756756756744</v>
      </c>
      <c r="AG44">
        <v>78.756756756756744</v>
      </c>
      <c r="AH44">
        <f>35.0030030030029*1</f>
        <v>35.003003003002902</v>
      </c>
      <c r="AI44">
        <f>1.18715183531954*1</f>
        <v>1.18715183531954</v>
      </c>
      <c r="AJ44">
        <v>1</v>
      </c>
      <c r="AK44">
        <v>0</v>
      </c>
      <c r="AL44">
        <v>0</v>
      </c>
    </row>
    <row r="45" spans="1:42" hidden="1" x14ac:dyDescent="0.2">
      <c r="A45" t="s">
        <v>111</v>
      </c>
      <c r="B45" t="s">
        <v>134</v>
      </c>
      <c r="C45" t="s">
        <v>134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17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</v>
      </c>
      <c r="AE45">
        <v>203</v>
      </c>
      <c r="AF45">
        <v>58.648648648648653</v>
      </c>
      <c r="AG45">
        <v>58.648648648648653</v>
      </c>
      <c r="AH45">
        <f>26.066066066066*1</f>
        <v>26.066066066066</v>
      </c>
      <c r="AI45">
        <f>1.30116389702047*1</f>
        <v>1.30116389702047</v>
      </c>
      <c r="AJ45">
        <v>1</v>
      </c>
      <c r="AK45">
        <v>0</v>
      </c>
      <c r="AL45">
        <v>0</v>
      </c>
    </row>
    <row r="46" spans="1:42" hidden="1" x14ac:dyDescent="0.2">
      <c r="A46" t="s">
        <v>135</v>
      </c>
      <c r="B46" t="s">
        <v>136</v>
      </c>
      <c r="C46" t="s">
        <v>137</v>
      </c>
      <c r="D46" t="s">
        <v>4</v>
      </c>
      <c r="E46">
        <v>0</v>
      </c>
      <c r="F46">
        <v>1</v>
      </c>
      <c r="G46">
        <v>0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4.4000000000000004</v>
      </c>
      <c r="AE46">
        <v>207</v>
      </c>
      <c r="AF46">
        <v>78.756756756756744</v>
      </c>
      <c r="AG46">
        <v>78.756756756756744</v>
      </c>
      <c r="AH46">
        <f>35.0030030030029*1</f>
        <v>35.003003003002902</v>
      </c>
      <c r="AI46">
        <f>1.01021469851793*1</f>
        <v>1.0102146985179301</v>
      </c>
      <c r="AJ46">
        <v>1</v>
      </c>
      <c r="AK46">
        <v>0</v>
      </c>
      <c r="AL46">
        <v>0</v>
      </c>
    </row>
    <row r="47" spans="1:42" hidden="1" x14ac:dyDescent="0.2">
      <c r="A47" t="s">
        <v>138</v>
      </c>
      <c r="B47" t="s">
        <v>139</v>
      </c>
      <c r="C47" t="s">
        <v>138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6.3</v>
      </c>
      <c r="AE47">
        <v>213</v>
      </c>
      <c r="AF47">
        <v>118.1351351351351</v>
      </c>
      <c r="AG47">
        <v>118.1351351351351</v>
      </c>
      <c r="AH47">
        <f>52.5045045045045*1</f>
        <v>52.504504504504503</v>
      </c>
      <c r="AI47">
        <f>2.17867626107544*1</f>
        <v>2.1786762610754402</v>
      </c>
      <c r="AJ47">
        <v>1</v>
      </c>
      <c r="AK47">
        <v>0</v>
      </c>
      <c r="AL47">
        <v>0</v>
      </c>
    </row>
    <row r="48" spans="1:42" hidden="1" x14ac:dyDescent="0.2">
      <c r="A48" t="s">
        <v>140</v>
      </c>
      <c r="B48" t="s">
        <v>141</v>
      </c>
      <c r="C48" t="s">
        <v>140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5.7</v>
      </c>
      <c r="AE48">
        <v>214</v>
      </c>
      <c r="AF48">
        <v>98.027027027027032</v>
      </c>
      <c r="AG48">
        <v>98.027027027027032</v>
      </c>
      <c r="AH48">
        <f>43.5675675675675*1</f>
        <v>43.567567567567501</v>
      </c>
      <c r="AI48">
        <f>1.31266834071753*1</f>
        <v>1.3126683407175299</v>
      </c>
      <c r="AJ48">
        <v>1</v>
      </c>
      <c r="AK48">
        <v>0</v>
      </c>
      <c r="AL48">
        <v>0</v>
      </c>
    </row>
    <row r="49" spans="1:38" hidden="1" x14ac:dyDescent="0.2">
      <c r="A49" t="s">
        <v>142</v>
      </c>
      <c r="B49" t="s">
        <v>143</v>
      </c>
      <c r="C49" t="s">
        <v>143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5.2</v>
      </c>
      <c r="AE49">
        <v>219</v>
      </c>
      <c r="AF49">
        <v>102.2162162162162</v>
      </c>
      <c r="AG49">
        <v>102.2162162162162</v>
      </c>
      <c r="AH49">
        <f>45.4294294294294*1</f>
        <v>45.429429429429398</v>
      </c>
      <c r="AI49">
        <f>1.57984444898776*1</f>
        <v>1.5798444489877601</v>
      </c>
      <c r="AJ49">
        <v>1</v>
      </c>
      <c r="AK49">
        <v>0</v>
      </c>
      <c r="AL49">
        <v>0</v>
      </c>
    </row>
    <row r="50" spans="1:38" hidden="1" x14ac:dyDescent="0.2">
      <c r="A50" t="s">
        <v>144</v>
      </c>
      <c r="B50" t="s">
        <v>145</v>
      </c>
      <c r="C50" t="s">
        <v>145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4.9000000000000004</v>
      </c>
      <c r="AE50">
        <v>222</v>
      </c>
      <c r="AF50">
        <v>72.891891891891888</v>
      </c>
      <c r="AG50">
        <v>72.891891891891888</v>
      </c>
      <c r="AH50">
        <f>32.3963963963963*1</f>
        <v>32.396396396396298</v>
      </c>
      <c r="AI50">
        <f>1.33615341525023*1</f>
        <v>1.3361534152502299</v>
      </c>
      <c r="AJ50">
        <v>1</v>
      </c>
      <c r="AK50">
        <v>0</v>
      </c>
      <c r="AL50">
        <v>0</v>
      </c>
    </row>
    <row r="51" spans="1:38" hidden="1" x14ac:dyDescent="0.2">
      <c r="A51" t="s">
        <v>146</v>
      </c>
      <c r="B51" t="s">
        <v>147</v>
      </c>
      <c r="C51" t="s">
        <v>147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4.8</v>
      </c>
      <c r="AE51">
        <v>223</v>
      </c>
      <c r="AF51">
        <v>73.72972972972974</v>
      </c>
      <c r="AG51">
        <v>73.72972972972974</v>
      </c>
      <c r="AH51">
        <f>32.7687687687687*1</f>
        <v>32.768768768768702</v>
      </c>
      <c r="AI51">
        <f>0.801235216749779*1</f>
        <v>0.80123521674977904</v>
      </c>
      <c r="AJ51">
        <v>1</v>
      </c>
      <c r="AK51">
        <v>0</v>
      </c>
      <c r="AL51">
        <v>0</v>
      </c>
    </row>
    <row r="52" spans="1:38" x14ac:dyDescent="0.2">
      <c r="A52" t="s">
        <v>248</v>
      </c>
      <c r="B52" t="s">
        <v>249</v>
      </c>
      <c r="C52" t="s">
        <v>250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23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14.4</v>
      </c>
      <c r="AE52">
        <v>423</v>
      </c>
      <c r="AF52">
        <v>247.16216216216219</v>
      </c>
      <c r="AG52">
        <v>247.16216216216219</v>
      </c>
      <c r="AH52">
        <f>109.849849849849*1</f>
        <v>109.84984984984899</v>
      </c>
      <c r="AI52">
        <f>3.03694513656207*1</f>
        <v>3.0369451365620699</v>
      </c>
      <c r="AJ52">
        <v>1</v>
      </c>
      <c r="AK52">
        <v>1</v>
      </c>
      <c r="AL52">
        <v>1</v>
      </c>
    </row>
    <row r="53" spans="1:38" hidden="1" x14ac:dyDescent="0.2">
      <c r="A53" t="s">
        <v>150</v>
      </c>
      <c r="B53" t="s">
        <v>151</v>
      </c>
      <c r="C53" t="s">
        <v>151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4.8</v>
      </c>
      <c r="AE53">
        <v>237</v>
      </c>
      <c r="AF53">
        <v>71.216216216216225</v>
      </c>
      <c r="AG53">
        <v>71.216216216216225</v>
      </c>
      <c r="AH53">
        <f>31.6516516516516*1</f>
        <v>31.651651651651601</v>
      </c>
      <c r="AI53">
        <f>1.03416268764587*1</f>
        <v>1.03416268764587</v>
      </c>
      <c r="AJ53">
        <v>1</v>
      </c>
      <c r="AK53">
        <v>0</v>
      </c>
      <c r="AL53">
        <v>0</v>
      </c>
    </row>
    <row r="54" spans="1:38" hidden="1" x14ac:dyDescent="0.2">
      <c r="A54" t="s">
        <v>152</v>
      </c>
      <c r="B54" t="s">
        <v>153</v>
      </c>
      <c r="C54" t="s">
        <v>154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6.1</v>
      </c>
      <c r="AE54">
        <v>242</v>
      </c>
      <c r="AF54">
        <v>122.32432432432429</v>
      </c>
      <c r="AG54">
        <v>122.32432432432429</v>
      </c>
      <c r="AH54">
        <f>54.3663663663663*1</f>
        <v>54.3663663663663</v>
      </c>
      <c r="AI54">
        <f>1.51852521396918*1</f>
        <v>1.5185252139691801</v>
      </c>
      <c r="AJ54">
        <v>1</v>
      </c>
      <c r="AK54">
        <v>0</v>
      </c>
      <c r="AL54">
        <v>0</v>
      </c>
    </row>
    <row r="55" spans="1:38" x14ac:dyDescent="0.2">
      <c r="A55" t="s">
        <v>278</v>
      </c>
      <c r="B55" t="s">
        <v>279</v>
      </c>
      <c r="C55" t="s">
        <v>279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25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8.1</v>
      </c>
      <c r="AE55">
        <v>478</v>
      </c>
      <c r="AF55">
        <v>175.94594594594591</v>
      </c>
      <c r="AG55">
        <v>175.94594594594591</v>
      </c>
      <c r="AH55">
        <f>78.1981981981982*1</f>
        <v>78.198198198198199</v>
      </c>
      <c r="AI55">
        <f>2.33622651344883*1</f>
        <v>2.33622651344883</v>
      </c>
      <c r="AJ55">
        <v>1</v>
      </c>
      <c r="AK55">
        <v>1</v>
      </c>
      <c r="AL55">
        <v>1</v>
      </c>
    </row>
    <row r="56" spans="1:38" hidden="1" x14ac:dyDescent="0.2">
      <c r="A56" t="s">
        <v>157</v>
      </c>
      <c r="B56" t="s">
        <v>158</v>
      </c>
      <c r="C56" t="s">
        <v>158</v>
      </c>
      <c r="D56" t="s">
        <v>4</v>
      </c>
      <c r="E56">
        <v>0</v>
      </c>
      <c r="F56">
        <v>1</v>
      </c>
      <c r="G56">
        <v>0</v>
      </c>
      <c r="H56">
        <v>0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4.9000000000000004</v>
      </c>
      <c r="AE56">
        <v>246</v>
      </c>
      <c r="AF56">
        <v>62</v>
      </c>
      <c r="AG56">
        <v>62</v>
      </c>
      <c r="AH56">
        <f>27.5555555555555*1</f>
        <v>27.5555555555555</v>
      </c>
      <c r="AI56">
        <f>0.842573967608153*1</f>
        <v>0.84257396760815295</v>
      </c>
      <c r="AJ56">
        <v>1</v>
      </c>
      <c r="AK56">
        <v>0</v>
      </c>
      <c r="AL56">
        <v>0</v>
      </c>
    </row>
    <row r="57" spans="1:38" hidden="1" x14ac:dyDescent="0.2">
      <c r="A57" t="s">
        <v>159</v>
      </c>
      <c r="B57" t="s">
        <v>160</v>
      </c>
      <c r="C57" t="s">
        <v>160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10.3</v>
      </c>
      <c r="AE57">
        <v>253</v>
      </c>
      <c r="AF57">
        <v>167.56756756756761</v>
      </c>
      <c r="AG57">
        <v>167.56756756756761</v>
      </c>
      <c r="AH57">
        <f>74.4744744744744*1</f>
        <v>74.474474474474405</v>
      </c>
      <c r="AI57">
        <f>2.19566522482785*1</f>
        <v>2.1956652248278501</v>
      </c>
      <c r="AJ57">
        <v>1</v>
      </c>
      <c r="AK57">
        <v>0</v>
      </c>
      <c r="AL57">
        <v>0</v>
      </c>
    </row>
    <row r="58" spans="1:38" hidden="1" x14ac:dyDescent="0.2">
      <c r="A58" t="s">
        <v>161</v>
      </c>
      <c r="B58" t="s">
        <v>162</v>
      </c>
      <c r="C58" t="s">
        <v>163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7</v>
      </c>
      <c r="AE58">
        <v>254</v>
      </c>
      <c r="AF58">
        <v>98.027027027027032</v>
      </c>
      <c r="AG58">
        <v>98.027027027027032</v>
      </c>
      <c r="AH58">
        <f>43.5675675675675*1</f>
        <v>43.567567567567501</v>
      </c>
      <c r="AI58">
        <f>1.30433797727365*1</f>
        <v>1.3043379772736501</v>
      </c>
      <c r="AJ58">
        <v>1</v>
      </c>
      <c r="AK58">
        <v>0</v>
      </c>
      <c r="AL58">
        <v>0</v>
      </c>
    </row>
    <row r="59" spans="1:38" hidden="1" x14ac:dyDescent="0.2">
      <c r="A59" t="s">
        <v>164</v>
      </c>
      <c r="B59" t="s">
        <v>165</v>
      </c>
      <c r="C59" t="s">
        <v>164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6.7</v>
      </c>
      <c r="AE59">
        <v>255</v>
      </c>
      <c r="AF59">
        <v>137.40540540540539</v>
      </c>
      <c r="AG59">
        <v>137.40540540540539</v>
      </c>
      <c r="AH59">
        <f>61.069069069069*1</f>
        <v>61.069069069069002</v>
      </c>
      <c r="AI59">
        <f>1.95283385948576*1</f>
        <v>1.9528338594857599</v>
      </c>
      <c r="AJ59">
        <v>1</v>
      </c>
      <c r="AK59">
        <v>0</v>
      </c>
      <c r="AL59">
        <v>0</v>
      </c>
    </row>
    <row r="60" spans="1:38" hidden="1" x14ac:dyDescent="0.2">
      <c r="A60" t="s">
        <v>166</v>
      </c>
      <c r="B60" t="s">
        <v>167</v>
      </c>
      <c r="C60" t="s">
        <v>168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5.8</v>
      </c>
      <c r="AE60">
        <v>259</v>
      </c>
      <c r="AF60">
        <v>101.3783783783784</v>
      </c>
      <c r="AG60">
        <v>101.3783783783784</v>
      </c>
      <c r="AH60">
        <f>45.057057057057*1</f>
        <v>45.057057057057001</v>
      </c>
      <c r="AI60">
        <f>1.90356536120923*1</f>
        <v>1.90356536120923</v>
      </c>
      <c r="AJ60">
        <v>1</v>
      </c>
      <c r="AK60">
        <v>0</v>
      </c>
      <c r="AL60">
        <v>0</v>
      </c>
    </row>
    <row r="61" spans="1:38" hidden="1" x14ac:dyDescent="0.2">
      <c r="A61" t="s">
        <v>169</v>
      </c>
      <c r="B61" t="s">
        <v>170</v>
      </c>
      <c r="C61" t="s">
        <v>169</v>
      </c>
      <c r="D61" t="s">
        <v>6</v>
      </c>
      <c r="E61">
        <v>0</v>
      </c>
      <c r="F61">
        <v>0</v>
      </c>
      <c r="G61">
        <v>0</v>
      </c>
      <c r="H61">
        <v>1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7.7</v>
      </c>
      <c r="AE61">
        <v>266</v>
      </c>
      <c r="AF61">
        <v>148.29729729729729</v>
      </c>
      <c r="AG61">
        <v>148.29729729729729</v>
      </c>
      <c r="AH61">
        <f>65.9099099099099*1</f>
        <v>65.909909909909899</v>
      </c>
      <c r="AI61">
        <f>2.13455758633908*1</f>
        <v>2.13455758633908</v>
      </c>
      <c r="AJ61">
        <v>1</v>
      </c>
      <c r="AK61">
        <v>0</v>
      </c>
      <c r="AL61">
        <v>0</v>
      </c>
    </row>
    <row r="62" spans="1:38" hidden="1" x14ac:dyDescent="0.2">
      <c r="A62" t="s">
        <v>171</v>
      </c>
      <c r="B62" t="s">
        <v>172</v>
      </c>
      <c r="C62" t="s">
        <v>172</v>
      </c>
      <c r="D62" t="s">
        <v>6</v>
      </c>
      <c r="E62">
        <v>0</v>
      </c>
      <c r="F62">
        <v>0</v>
      </c>
      <c r="G62">
        <v>0</v>
      </c>
      <c r="H62">
        <v>1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6.2</v>
      </c>
      <c r="AE62">
        <v>267</v>
      </c>
      <c r="AF62">
        <v>104.7297297297297</v>
      </c>
      <c r="AG62">
        <v>104.7297297297297</v>
      </c>
      <c r="AH62">
        <f>46.5465465465465*1</f>
        <v>46.546546546546502</v>
      </c>
      <c r="AI62">
        <f>1.44058901524573*1</f>
        <v>1.4405890152457299</v>
      </c>
      <c r="AJ62">
        <v>1</v>
      </c>
      <c r="AK62">
        <v>0</v>
      </c>
      <c r="AL62">
        <v>0</v>
      </c>
    </row>
    <row r="63" spans="1:38" hidden="1" x14ac:dyDescent="0.2">
      <c r="A63" t="s">
        <v>173</v>
      </c>
      <c r="B63" t="s">
        <v>174</v>
      </c>
      <c r="C63" t="s">
        <v>175</v>
      </c>
      <c r="D63" t="s">
        <v>6</v>
      </c>
      <c r="E63">
        <v>0</v>
      </c>
      <c r="F63">
        <v>0</v>
      </c>
      <c r="G63">
        <v>0</v>
      </c>
      <c r="H63">
        <v>1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6.5</v>
      </c>
      <c r="AE63">
        <v>268</v>
      </c>
      <c r="AF63">
        <v>138.24324324324331</v>
      </c>
      <c r="AG63">
        <v>138.24324324324331</v>
      </c>
      <c r="AH63">
        <f>61.4414414414414*0</f>
        <v>0</v>
      </c>
      <c r="AI63">
        <f>1.80292481147204*0</f>
        <v>0</v>
      </c>
      <c r="AJ63">
        <v>0</v>
      </c>
      <c r="AK63">
        <v>0</v>
      </c>
      <c r="AL63">
        <v>0</v>
      </c>
    </row>
    <row r="64" spans="1:38" hidden="1" x14ac:dyDescent="0.2">
      <c r="A64" t="s">
        <v>176</v>
      </c>
      <c r="B64" t="s">
        <v>177</v>
      </c>
      <c r="C64" t="s">
        <v>177</v>
      </c>
      <c r="D64" t="s">
        <v>3</v>
      </c>
      <c r="E64">
        <v>1</v>
      </c>
      <c r="F64">
        <v>0</v>
      </c>
      <c r="G64">
        <v>0</v>
      </c>
      <c r="H64">
        <v>0</v>
      </c>
      <c r="I64" t="s">
        <v>19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</v>
      </c>
      <c r="AE64">
        <v>273</v>
      </c>
      <c r="AF64">
        <v>112.2702702702703</v>
      </c>
      <c r="AG64">
        <v>112.2702702702703</v>
      </c>
      <c r="AH64">
        <f>49.8978978978978*1</f>
        <v>49.897897897897799</v>
      </c>
      <c r="AI64">
        <f>1.80792943801943*1</f>
        <v>1.80792943801943</v>
      </c>
      <c r="AJ64">
        <v>1</v>
      </c>
      <c r="AK64">
        <v>0</v>
      </c>
      <c r="AL64">
        <v>0</v>
      </c>
    </row>
    <row r="65" spans="1:38" hidden="1" x14ac:dyDescent="0.2">
      <c r="A65" t="s">
        <v>178</v>
      </c>
      <c r="B65" t="s">
        <v>179</v>
      </c>
      <c r="C65" t="s">
        <v>179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</v>
      </c>
      <c r="AE65">
        <v>278</v>
      </c>
      <c r="AF65">
        <v>115.6216216216216</v>
      </c>
      <c r="AG65">
        <v>115.6216216216216</v>
      </c>
      <c r="AH65">
        <f>51.3873873873873*1</f>
        <v>51.387387387387299</v>
      </c>
      <c r="AI65">
        <f>1.32715534637067*1</f>
        <v>1.32715534637067</v>
      </c>
      <c r="AJ65">
        <v>1</v>
      </c>
      <c r="AK65">
        <v>0</v>
      </c>
      <c r="AL65">
        <v>0</v>
      </c>
    </row>
    <row r="66" spans="1:38" x14ac:dyDescent="0.2">
      <c r="A66" t="s">
        <v>387</v>
      </c>
      <c r="B66" t="s">
        <v>388</v>
      </c>
      <c r="C66" t="s">
        <v>388</v>
      </c>
      <c r="D66" t="s">
        <v>6</v>
      </c>
      <c r="E66">
        <v>0</v>
      </c>
      <c r="F66">
        <v>0</v>
      </c>
      <c r="G66">
        <v>0</v>
      </c>
      <c r="H66">
        <v>1</v>
      </c>
      <c r="I66" t="s">
        <v>30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7.7</v>
      </c>
      <c r="AE66">
        <v>698</v>
      </c>
      <c r="AF66">
        <v>174.27027027027029</v>
      </c>
      <c r="AG66">
        <v>174.27027027027029</v>
      </c>
      <c r="AH66">
        <f>77.4534534534534*1</f>
        <v>77.453453453453406</v>
      </c>
      <c r="AI66">
        <f>2.13257754362112*1</f>
        <v>2.1325775436211201</v>
      </c>
      <c r="AJ66">
        <v>1</v>
      </c>
      <c r="AK66">
        <v>1</v>
      </c>
      <c r="AL66">
        <v>1</v>
      </c>
    </row>
    <row r="67" spans="1:38" x14ac:dyDescent="0.2">
      <c r="A67" t="s">
        <v>302</v>
      </c>
      <c r="B67" t="s">
        <v>303</v>
      </c>
      <c r="C67" t="s">
        <v>303</v>
      </c>
      <c r="D67" t="s">
        <v>3</v>
      </c>
      <c r="E67">
        <v>1</v>
      </c>
      <c r="F67">
        <v>0</v>
      </c>
      <c r="G67">
        <v>0</v>
      </c>
      <c r="H67">
        <v>0</v>
      </c>
      <c r="I67" t="s">
        <v>26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5.0999999999999996</v>
      </c>
      <c r="AE67">
        <v>519</v>
      </c>
      <c r="AF67">
        <v>125.67567567567571</v>
      </c>
      <c r="AG67">
        <v>125.67567567567571</v>
      </c>
      <c r="AH67">
        <f>55.8558558558558*1</f>
        <v>55.8558558558558</v>
      </c>
      <c r="AI67">
        <f>1.84417276511386*1</f>
        <v>1.84417276511386</v>
      </c>
      <c r="AJ67">
        <v>1</v>
      </c>
      <c r="AK67">
        <v>1</v>
      </c>
      <c r="AL67">
        <v>1</v>
      </c>
    </row>
    <row r="68" spans="1:38" x14ac:dyDescent="0.2">
      <c r="A68" t="s">
        <v>183</v>
      </c>
      <c r="B68" t="s">
        <v>184</v>
      </c>
      <c r="C68" t="s">
        <v>184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6.5</v>
      </c>
      <c r="AE68">
        <v>286</v>
      </c>
      <c r="AF68">
        <v>143.27027027027029</v>
      </c>
      <c r="AG68">
        <v>143.27027027027029</v>
      </c>
      <c r="AH68">
        <f>63.6756756756756*1</f>
        <v>63.675675675675599</v>
      </c>
      <c r="AI68">
        <f>1.777134398137*1</f>
        <v>1.777134398137</v>
      </c>
      <c r="AJ68">
        <v>1</v>
      </c>
      <c r="AK68">
        <v>1</v>
      </c>
      <c r="AL68">
        <v>1</v>
      </c>
    </row>
    <row r="69" spans="1:38" hidden="1" x14ac:dyDescent="0.2">
      <c r="A69" t="s">
        <v>185</v>
      </c>
      <c r="B69" t="s">
        <v>186</v>
      </c>
      <c r="C69" t="s">
        <v>186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4.9000000000000004</v>
      </c>
      <c r="AE69">
        <v>289</v>
      </c>
      <c r="AF69">
        <v>62</v>
      </c>
      <c r="AG69">
        <v>62</v>
      </c>
      <c r="AH69">
        <f>27.5555555555555*1</f>
        <v>27.5555555555555</v>
      </c>
      <c r="AI69">
        <f>0.836255004113275*1</f>
        <v>0.83625500411327502</v>
      </c>
      <c r="AJ69">
        <v>1</v>
      </c>
      <c r="AK69">
        <v>0</v>
      </c>
      <c r="AL69">
        <v>0</v>
      </c>
    </row>
    <row r="70" spans="1:38" hidden="1" x14ac:dyDescent="0.2">
      <c r="A70" t="s">
        <v>187</v>
      </c>
      <c r="B70" t="s">
        <v>188</v>
      </c>
      <c r="C70" t="s">
        <v>189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4.9000000000000004</v>
      </c>
      <c r="AE70">
        <v>291</v>
      </c>
      <c r="AF70">
        <v>53.621621621621628</v>
      </c>
      <c r="AG70">
        <v>53.621621621621628</v>
      </c>
      <c r="AH70">
        <f>23.8318318318318*1</f>
        <v>23.831831831831799</v>
      </c>
      <c r="AI70">
        <f>0.869012657228559*1</f>
        <v>0.86901265722855903</v>
      </c>
      <c r="AJ70">
        <v>1</v>
      </c>
      <c r="AK70">
        <v>0</v>
      </c>
      <c r="AL70">
        <v>0</v>
      </c>
    </row>
    <row r="71" spans="1:38" hidden="1" x14ac:dyDescent="0.2">
      <c r="A71" t="s">
        <v>190</v>
      </c>
      <c r="B71" t="s">
        <v>191</v>
      </c>
      <c r="C71" t="s">
        <v>191</v>
      </c>
      <c r="D71" t="s">
        <v>6</v>
      </c>
      <c r="E71">
        <v>0</v>
      </c>
      <c r="F71">
        <v>0</v>
      </c>
      <c r="G71">
        <v>0</v>
      </c>
      <c r="H71">
        <v>1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7.5</v>
      </c>
      <c r="AE71">
        <v>302</v>
      </c>
      <c r="AF71">
        <v>124</v>
      </c>
      <c r="AG71">
        <v>124</v>
      </c>
      <c r="AH71">
        <f>55.1111111111111*1</f>
        <v>55.1111111111111</v>
      </c>
      <c r="AI71">
        <f>1.46799744644043*1</f>
        <v>1.46799744644043</v>
      </c>
      <c r="AJ71">
        <v>1</v>
      </c>
      <c r="AK71">
        <v>0</v>
      </c>
      <c r="AL71">
        <v>0</v>
      </c>
    </row>
    <row r="72" spans="1:38" hidden="1" x14ac:dyDescent="0.2">
      <c r="A72" t="s">
        <v>192</v>
      </c>
      <c r="B72" t="s">
        <v>193</v>
      </c>
      <c r="C72" t="s">
        <v>193</v>
      </c>
      <c r="D72" t="s">
        <v>6</v>
      </c>
      <c r="E72">
        <v>0</v>
      </c>
      <c r="F72">
        <v>0</v>
      </c>
      <c r="G72">
        <v>0</v>
      </c>
      <c r="H72">
        <v>1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5.4</v>
      </c>
      <c r="AE72">
        <v>303</v>
      </c>
      <c r="AF72">
        <v>53.621621621621628</v>
      </c>
      <c r="AG72">
        <v>53.621621621621628</v>
      </c>
      <c r="AH72">
        <f>23.8318318318318*1</f>
        <v>23.831831831831799</v>
      </c>
      <c r="AI72">
        <f>0.811248276662353*1</f>
        <v>0.811248276662353</v>
      </c>
      <c r="AJ72">
        <v>1</v>
      </c>
      <c r="AK72">
        <v>0</v>
      </c>
      <c r="AL72">
        <v>0</v>
      </c>
    </row>
    <row r="73" spans="1:38" hidden="1" x14ac:dyDescent="0.2">
      <c r="A73" t="s">
        <v>194</v>
      </c>
      <c r="B73" t="s">
        <v>195</v>
      </c>
      <c r="C73" t="s">
        <v>195</v>
      </c>
      <c r="D73" t="s">
        <v>3</v>
      </c>
      <c r="E73">
        <v>1</v>
      </c>
      <c r="F73">
        <v>0</v>
      </c>
      <c r="G73">
        <v>0</v>
      </c>
      <c r="H73">
        <v>0</v>
      </c>
      <c r="I73" t="s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5.5</v>
      </c>
      <c r="AE73">
        <v>311</v>
      </c>
      <c r="AF73">
        <v>129.027027027027</v>
      </c>
      <c r="AG73">
        <v>129.027027027027</v>
      </c>
      <c r="AH73">
        <f>57.3453453453453*1</f>
        <v>57.345345345345301</v>
      </c>
      <c r="AI73">
        <f>1.608030600891*1</f>
        <v>1.6080306008909999</v>
      </c>
      <c r="AJ73">
        <v>1</v>
      </c>
      <c r="AK73">
        <v>0</v>
      </c>
      <c r="AL73">
        <v>0</v>
      </c>
    </row>
    <row r="74" spans="1:38" hidden="1" x14ac:dyDescent="0.2">
      <c r="A74" t="s">
        <v>196</v>
      </c>
      <c r="B74" t="s">
        <v>197</v>
      </c>
      <c r="C74" t="s">
        <v>197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5.3</v>
      </c>
      <c r="AE74">
        <v>314</v>
      </c>
      <c r="AF74">
        <v>102.2162162162162</v>
      </c>
      <c r="AG74">
        <v>102.2162162162162</v>
      </c>
      <c r="AH74">
        <f>45.4294294294294*1</f>
        <v>45.429429429429398</v>
      </c>
      <c r="AI74">
        <f>1.40679081576767*1</f>
        <v>1.4067908157676701</v>
      </c>
      <c r="AJ74">
        <v>1</v>
      </c>
      <c r="AK74">
        <v>0</v>
      </c>
      <c r="AL74">
        <v>0</v>
      </c>
    </row>
    <row r="75" spans="1:38" hidden="1" x14ac:dyDescent="0.2">
      <c r="A75" t="s">
        <v>198</v>
      </c>
      <c r="B75" t="s">
        <v>199</v>
      </c>
      <c r="C75" t="s">
        <v>199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5.5</v>
      </c>
      <c r="AE75">
        <v>315</v>
      </c>
      <c r="AF75">
        <v>106.4054054054054</v>
      </c>
      <c r="AG75">
        <v>106.4054054054054</v>
      </c>
      <c r="AH75">
        <f>47.2912912912912*1</f>
        <v>47.291291291291202</v>
      </c>
      <c r="AI75">
        <f>1.37529253082078*1</f>
        <v>1.37529253082078</v>
      </c>
      <c r="AJ75">
        <v>1</v>
      </c>
      <c r="AK75">
        <v>0</v>
      </c>
      <c r="AL75">
        <v>0</v>
      </c>
    </row>
    <row r="76" spans="1:38" hidden="1" x14ac:dyDescent="0.2">
      <c r="A76" t="s">
        <v>200</v>
      </c>
      <c r="B76" t="s">
        <v>201</v>
      </c>
      <c r="C76" t="s">
        <v>201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4.9000000000000004</v>
      </c>
      <c r="AE76">
        <v>316</v>
      </c>
      <c r="AF76">
        <v>101.3783783783784</v>
      </c>
      <c r="AG76">
        <v>101.3783783783784</v>
      </c>
      <c r="AH76">
        <f>45.057057057057*1</f>
        <v>45.057057057057001</v>
      </c>
      <c r="AI76">
        <f>1.08313249808324*1</f>
        <v>1.08313249808324</v>
      </c>
      <c r="AJ76">
        <v>1</v>
      </c>
      <c r="AK76">
        <v>0</v>
      </c>
      <c r="AL76">
        <v>0</v>
      </c>
    </row>
    <row r="77" spans="1:38" hidden="1" x14ac:dyDescent="0.2">
      <c r="A77" t="s">
        <v>198</v>
      </c>
      <c r="B77" t="s">
        <v>202</v>
      </c>
      <c r="C77" t="s">
        <v>202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</v>
      </c>
      <c r="AE77">
        <v>327</v>
      </c>
      <c r="AF77">
        <v>73.72972972972974</v>
      </c>
      <c r="AG77">
        <v>73.72972972972974</v>
      </c>
      <c r="AH77">
        <f>32.7687687687687*1</f>
        <v>32.768768768768702</v>
      </c>
      <c r="AI77">
        <f>1.47699746540997*1</f>
        <v>1.47699746540997</v>
      </c>
      <c r="AJ77">
        <v>1</v>
      </c>
      <c r="AK77">
        <v>0</v>
      </c>
      <c r="AL77">
        <v>0</v>
      </c>
    </row>
    <row r="78" spans="1:38" hidden="1" x14ac:dyDescent="0.2">
      <c r="A78" t="s">
        <v>203</v>
      </c>
      <c r="B78" t="s">
        <v>204</v>
      </c>
      <c r="C78" t="s">
        <v>205</v>
      </c>
      <c r="D78" t="s">
        <v>6</v>
      </c>
      <c r="E78">
        <v>0</v>
      </c>
      <c r="F78">
        <v>0</v>
      </c>
      <c r="G78">
        <v>0</v>
      </c>
      <c r="H78">
        <v>1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5.3</v>
      </c>
      <c r="AE78">
        <v>335</v>
      </c>
      <c r="AF78">
        <v>75.405405405405403</v>
      </c>
      <c r="AG78">
        <v>75.405405405405403</v>
      </c>
      <c r="AH78">
        <f>33.5135135135135*1</f>
        <v>33.513513513513502</v>
      </c>
      <c r="AI78">
        <f>0.823988123627692*1</f>
        <v>0.82398812362769203</v>
      </c>
      <c r="AJ78">
        <v>1</v>
      </c>
      <c r="AK78">
        <v>0</v>
      </c>
      <c r="AL78">
        <v>0</v>
      </c>
    </row>
    <row r="79" spans="1:38" hidden="1" x14ac:dyDescent="0.2">
      <c r="A79" t="s">
        <v>142</v>
      </c>
      <c r="B79" t="s">
        <v>206</v>
      </c>
      <c r="C79" t="s">
        <v>206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6.9</v>
      </c>
      <c r="AE79">
        <v>338</v>
      </c>
      <c r="AF79">
        <v>73.72972972972974</v>
      </c>
      <c r="AG79">
        <v>73.72972972972974</v>
      </c>
      <c r="AH79">
        <f>32.7687687687687*1</f>
        <v>32.768768768768702</v>
      </c>
      <c r="AI79">
        <f>1.90302112942114*1</f>
        <v>1.9030211294211401</v>
      </c>
      <c r="AJ79">
        <v>1</v>
      </c>
      <c r="AK79">
        <v>0</v>
      </c>
      <c r="AL79">
        <v>0</v>
      </c>
    </row>
    <row r="80" spans="1:38" hidden="1" x14ac:dyDescent="0.2">
      <c r="A80" t="s">
        <v>207</v>
      </c>
      <c r="B80" t="s">
        <v>208</v>
      </c>
      <c r="C80" t="s">
        <v>208</v>
      </c>
      <c r="D80" t="s">
        <v>3</v>
      </c>
      <c r="E80">
        <v>1</v>
      </c>
      <c r="F80">
        <v>0</v>
      </c>
      <c r="G80">
        <v>0</v>
      </c>
      <c r="H80">
        <v>0</v>
      </c>
      <c r="I80" t="s">
        <v>21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</v>
      </c>
      <c r="AE80">
        <v>345</v>
      </c>
      <c r="AF80">
        <v>92.162162162162161</v>
      </c>
      <c r="AG80">
        <v>92.162162162162161</v>
      </c>
      <c r="AH80">
        <f>40.9609609609609*1</f>
        <v>40.960960960960897</v>
      </c>
      <c r="AI80">
        <f>1.62200545478448*1</f>
        <v>1.62200545478448</v>
      </c>
      <c r="AJ80">
        <v>1</v>
      </c>
      <c r="AK80">
        <v>0</v>
      </c>
      <c r="AL80">
        <v>0</v>
      </c>
    </row>
    <row r="81" spans="1:38" hidden="1" x14ac:dyDescent="0.2">
      <c r="A81" t="s">
        <v>209</v>
      </c>
      <c r="B81" t="s">
        <v>210</v>
      </c>
      <c r="C81" t="s">
        <v>210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</v>
      </c>
      <c r="AE81">
        <v>347</v>
      </c>
      <c r="AF81">
        <v>83.783783783783775</v>
      </c>
      <c r="AG81">
        <v>83.783783783783775</v>
      </c>
      <c r="AH81">
        <f>37.2372372372372*1</f>
        <v>37.237237237237203</v>
      </c>
      <c r="AI81">
        <f>1.09681562442755*1</f>
        <v>1.09681562442755</v>
      </c>
      <c r="AJ81">
        <v>1</v>
      </c>
      <c r="AK81">
        <v>0</v>
      </c>
      <c r="AL81">
        <v>0</v>
      </c>
    </row>
    <row r="82" spans="1:38" hidden="1" x14ac:dyDescent="0.2">
      <c r="A82" t="s">
        <v>211</v>
      </c>
      <c r="B82" t="s">
        <v>212</v>
      </c>
      <c r="C82" t="s">
        <v>212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21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4.5</v>
      </c>
      <c r="AE82">
        <v>348</v>
      </c>
      <c r="AF82">
        <v>67.027027027027032</v>
      </c>
      <c r="AG82">
        <v>67.027027027027032</v>
      </c>
      <c r="AH82">
        <f>29.7897897897897*1</f>
        <v>29.789789789789701</v>
      </c>
      <c r="AI82">
        <f>1.33253622266273*1</f>
        <v>1.33253622266273</v>
      </c>
      <c r="AJ82">
        <v>1</v>
      </c>
      <c r="AK82">
        <v>0</v>
      </c>
      <c r="AL82">
        <v>0</v>
      </c>
    </row>
    <row r="83" spans="1:38" hidden="1" x14ac:dyDescent="0.2">
      <c r="A83" t="s">
        <v>213</v>
      </c>
      <c r="B83" t="s">
        <v>214</v>
      </c>
      <c r="C83" t="s">
        <v>214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4.5</v>
      </c>
      <c r="AE83">
        <v>349</v>
      </c>
      <c r="AF83">
        <v>70.378378378378372</v>
      </c>
      <c r="AG83">
        <v>70.378378378378372</v>
      </c>
      <c r="AH83">
        <f>31.2792792792792*1</f>
        <v>31.279279279279201</v>
      </c>
      <c r="AI83">
        <f>1.01551599139961*1</f>
        <v>1.0155159913996099</v>
      </c>
      <c r="AJ83">
        <v>1</v>
      </c>
      <c r="AK83">
        <v>0</v>
      </c>
      <c r="AL83">
        <v>0</v>
      </c>
    </row>
    <row r="84" spans="1:38" hidden="1" x14ac:dyDescent="0.2">
      <c r="A84" t="s">
        <v>215</v>
      </c>
      <c r="B84" t="s">
        <v>216</v>
      </c>
      <c r="C84" t="s">
        <v>216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4.4000000000000004</v>
      </c>
      <c r="AE84">
        <v>350</v>
      </c>
      <c r="AF84">
        <v>67.864864864864856</v>
      </c>
      <c r="AG84">
        <v>67.864864864864856</v>
      </c>
      <c r="AH84">
        <f>30.1621621621621*1</f>
        <v>30.162162162162101</v>
      </c>
      <c r="AI84">
        <f>1.0703329077955*1</f>
        <v>1.0703329077954999</v>
      </c>
      <c r="AJ84">
        <v>1</v>
      </c>
      <c r="AK84">
        <v>0</v>
      </c>
      <c r="AL84">
        <v>0</v>
      </c>
    </row>
    <row r="85" spans="1:38" hidden="1" x14ac:dyDescent="0.2">
      <c r="A85" t="s">
        <v>217</v>
      </c>
      <c r="B85" t="s">
        <v>218</v>
      </c>
      <c r="C85" t="s">
        <v>218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4.5</v>
      </c>
      <c r="AE85">
        <v>353</v>
      </c>
      <c r="AF85">
        <v>71.216216216216225</v>
      </c>
      <c r="AG85">
        <v>71.216216216216225</v>
      </c>
      <c r="AH85">
        <f>31.6516516516516*1</f>
        <v>31.651651651651601</v>
      </c>
      <c r="AI85">
        <f>0.790296469355633*1</f>
        <v>0.79029646935563302</v>
      </c>
      <c r="AJ85">
        <v>1</v>
      </c>
      <c r="AK85">
        <v>0</v>
      </c>
      <c r="AL85">
        <v>0</v>
      </c>
    </row>
    <row r="86" spans="1:38" hidden="1" x14ac:dyDescent="0.2">
      <c r="A86" t="s">
        <v>113</v>
      </c>
      <c r="B86" t="s">
        <v>219</v>
      </c>
      <c r="C86" t="s">
        <v>219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6.5</v>
      </c>
      <c r="AE86">
        <v>355</v>
      </c>
      <c r="AF86">
        <v>131.54054054054049</v>
      </c>
      <c r="AG86">
        <v>131.54054054054049</v>
      </c>
      <c r="AH86">
        <f>58.4624624624624*1</f>
        <v>58.462462462462398</v>
      </c>
      <c r="AI86">
        <f>1.82982583093819*1</f>
        <v>1.8298258309381901</v>
      </c>
      <c r="AJ86">
        <v>1</v>
      </c>
      <c r="AK86">
        <v>0</v>
      </c>
      <c r="AL86">
        <v>0</v>
      </c>
    </row>
    <row r="87" spans="1:38" hidden="1" x14ac:dyDescent="0.2">
      <c r="A87" t="s">
        <v>220</v>
      </c>
      <c r="B87" t="s">
        <v>221</v>
      </c>
      <c r="C87" t="s">
        <v>221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5.7</v>
      </c>
      <c r="AE87">
        <v>356</v>
      </c>
      <c r="AF87">
        <v>87.135135135135144</v>
      </c>
      <c r="AG87">
        <v>87.135135135135144</v>
      </c>
      <c r="AH87">
        <f>38.7267267267267*1</f>
        <v>38.726726726726703</v>
      </c>
      <c r="AI87">
        <f>1.35833549136635*1</f>
        <v>1.3583354913663499</v>
      </c>
      <c r="AJ87">
        <v>1</v>
      </c>
      <c r="AK87">
        <v>0</v>
      </c>
      <c r="AL87">
        <v>0</v>
      </c>
    </row>
    <row r="88" spans="1:38" hidden="1" x14ac:dyDescent="0.2">
      <c r="A88" t="s">
        <v>222</v>
      </c>
      <c r="B88" t="s">
        <v>223</v>
      </c>
      <c r="C88" t="s">
        <v>222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5.3</v>
      </c>
      <c r="AE88">
        <v>358</v>
      </c>
      <c r="AF88">
        <v>76.243243243243256</v>
      </c>
      <c r="AG88">
        <v>76.243243243243256</v>
      </c>
      <c r="AH88">
        <f>33.8858858858858*1</f>
        <v>33.885885885885799</v>
      </c>
      <c r="AI88">
        <f>1.5204437504537*1</f>
        <v>1.5204437504537001</v>
      </c>
      <c r="AJ88">
        <v>1</v>
      </c>
      <c r="AK88">
        <v>0</v>
      </c>
      <c r="AL88">
        <v>0</v>
      </c>
    </row>
    <row r="89" spans="1:38" hidden="1" x14ac:dyDescent="0.2">
      <c r="A89" t="s">
        <v>224</v>
      </c>
      <c r="B89" t="s">
        <v>225</v>
      </c>
      <c r="C89" t="s">
        <v>225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5.3</v>
      </c>
      <c r="AE89">
        <v>360</v>
      </c>
      <c r="AF89">
        <v>98.864864864864856</v>
      </c>
      <c r="AG89">
        <v>98.864864864864856</v>
      </c>
      <c r="AH89">
        <f>43.9399399399399*1</f>
        <v>43.939939939939897</v>
      </c>
      <c r="AI89">
        <f>1.29172272200111*1</f>
        <v>1.29172272200111</v>
      </c>
      <c r="AJ89">
        <v>1</v>
      </c>
      <c r="AK89">
        <v>0</v>
      </c>
      <c r="AL89">
        <v>0</v>
      </c>
    </row>
    <row r="90" spans="1:38" hidden="1" x14ac:dyDescent="0.2">
      <c r="A90" t="s">
        <v>226</v>
      </c>
      <c r="B90" t="s">
        <v>227</v>
      </c>
      <c r="C90" t="s">
        <v>227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4.9000000000000004</v>
      </c>
      <c r="AE90">
        <v>361</v>
      </c>
      <c r="AF90">
        <v>56.972972972972983</v>
      </c>
      <c r="AG90">
        <v>56.972972972972983</v>
      </c>
      <c r="AH90">
        <f>25.3213213213213*1</f>
        <v>25.3213213213213</v>
      </c>
      <c r="AI90">
        <f>0.94701761524253*1</f>
        <v>0.94701761524253003</v>
      </c>
      <c r="AJ90">
        <v>1</v>
      </c>
      <c r="AK90">
        <v>0</v>
      </c>
      <c r="AL90">
        <v>0</v>
      </c>
    </row>
    <row r="91" spans="1:38" hidden="1" x14ac:dyDescent="0.2">
      <c r="A91" t="s">
        <v>228</v>
      </c>
      <c r="B91" t="s">
        <v>229</v>
      </c>
      <c r="C91" t="s">
        <v>229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4.9000000000000004</v>
      </c>
      <c r="AE91">
        <v>362</v>
      </c>
      <c r="AF91">
        <v>41.054054054054063</v>
      </c>
      <c r="AG91">
        <v>41.054054054054063</v>
      </c>
      <c r="AH91">
        <f>18.2462462462462*1</f>
        <v>18.246246246246201</v>
      </c>
      <c r="AI91">
        <f>0.828211982706514*1</f>
        <v>0.82821198270651397</v>
      </c>
      <c r="AJ91">
        <v>1</v>
      </c>
      <c r="AK91">
        <v>0</v>
      </c>
      <c r="AL91">
        <v>0</v>
      </c>
    </row>
    <row r="92" spans="1:38" hidden="1" x14ac:dyDescent="0.2">
      <c r="A92" t="s">
        <v>230</v>
      </c>
      <c r="B92" t="s">
        <v>231</v>
      </c>
      <c r="C92" t="s">
        <v>231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</v>
      </c>
      <c r="AE92">
        <v>363</v>
      </c>
      <c r="AF92">
        <v>62</v>
      </c>
      <c r="AG92">
        <v>62</v>
      </c>
      <c r="AH92">
        <f>27.5555555555555*1</f>
        <v>27.5555555555555</v>
      </c>
      <c r="AI92">
        <f>0.805804524675337*1</f>
        <v>0.80580452467533703</v>
      </c>
      <c r="AJ92">
        <v>1</v>
      </c>
      <c r="AK92">
        <v>0</v>
      </c>
      <c r="AL92">
        <v>0</v>
      </c>
    </row>
    <row r="93" spans="1:38" hidden="1" x14ac:dyDescent="0.2">
      <c r="A93" t="s">
        <v>232</v>
      </c>
      <c r="B93" t="s">
        <v>233</v>
      </c>
      <c r="C93" t="s">
        <v>234</v>
      </c>
      <c r="D93" t="s">
        <v>6</v>
      </c>
      <c r="E93">
        <v>0</v>
      </c>
      <c r="F93">
        <v>0</v>
      </c>
      <c r="G93">
        <v>0</v>
      </c>
      <c r="H93">
        <v>1</v>
      </c>
      <c r="I93" t="s">
        <v>21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5.4</v>
      </c>
      <c r="AE93">
        <v>369</v>
      </c>
      <c r="AF93">
        <v>85.459459459459453</v>
      </c>
      <c r="AG93">
        <v>85.459459459459453</v>
      </c>
      <c r="AH93">
        <f>37.9819819819819*1</f>
        <v>37.981981981981903</v>
      </c>
      <c r="AI93">
        <f>1.43226599873572*1</f>
        <v>1.43226599873572</v>
      </c>
      <c r="AJ93">
        <v>1</v>
      </c>
      <c r="AK93">
        <v>0</v>
      </c>
      <c r="AL93">
        <v>0</v>
      </c>
    </row>
    <row r="94" spans="1:38" hidden="1" x14ac:dyDescent="0.2">
      <c r="A94" t="s">
        <v>142</v>
      </c>
      <c r="B94" t="s">
        <v>235</v>
      </c>
      <c r="C94" t="s">
        <v>235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5.2</v>
      </c>
      <c r="AE94">
        <v>387</v>
      </c>
      <c r="AF94">
        <v>69.540540540540547</v>
      </c>
      <c r="AG94">
        <v>69.540540540540547</v>
      </c>
      <c r="AH94">
        <f>30.9069069069069*1</f>
        <v>30.906906906906901</v>
      </c>
      <c r="AI94">
        <f>1.15161836013612*1</f>
        <v>1.1516183601361201</v>
      </c>
      <c r="AJ94">
        <v>1</v>
      </c>
      <c r="AK94">
        <v>0</v>
      </c>
      <c r="AL94">
        <v>0</v>
      </c>
    </row>
    <row r="95" spans="1:38" hidden="1" x14ac:dyDescent="0.2">
      <c r="A95" t="s">
        <v>236</v>
      </c>
      <c r="B95" t="s">
        <v>237</v>
      </c>
      <c r="C95" t="s">
        <v>237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4.9000000000000004</v>
      </c>
      <c r="AE95">
        <v>401</v>
      </c>
      <c r="AF95">
        <v>66.189189189189193</v>
      </c>
      <c r="AG95">
        <v>66.189189189189193</v>
      </c>
      <c r="AH95">
        <f>29.4174174174174*1</f>
        <v>29.417417417417401</v>
      </c>
      <c r="AI95">
        <f>1.06411792342779*1</f>
        <v>1.06411792342779</v>
      </c>
      <c r="AJ95">
        <v>1</v>
      </c>
      <c r="AK95">
        <v>0</v>
      </c>
      <c r="AL95">
        <v>0</v>
      </c>
    </row>
    <row r="96" spans="1:38" hidden="1" x14ac:dyDescent="0.2">
      <c r="A96" t="s">
        <v>238</v>
      </c>
      <c r="B96" t="s">
        <v>239</v>
      </c>
      <c r="C96" t="s">
        <v>239</v>
      </c>
      <c r="D96" t="s">
        <v>6</v>
      </c>
      <c r="E96">
        <v>0</v>
      </c>
      <c r="F96">
        <v>0</v>
      </c>
      <c r="G96">
        <v>0</v>
      </c>
      <c r="H96">
        <v>1</v>
      </c>
      <c r="I96" t="s">
        <v>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5.5</v>
      </c>
      <c r="AE96">
        <v>404</v>
      </c>
      <c r="AF96">
        <v>97.189189189189193</v>
      </c>
      <c r="AG96">
        <v>97.189189189189193</v>
      </c>
      <c r="AH96">
        <f>43.1951951951952*1</f>
        <v>43.195195195195197</v>
      </c>
      <c r="AI96">
        <f>1.38539115502528*1</f>
        <v>1.38539115502528</v>
      </c>
      <c r="AJ96">
        <v>1</v>
      </c>
      <c r="AK96">
        <v>0</v>
      </c>
      <c r="AL96">
        <v>0</v>
      </c>
    </row>
    <row r="97" spans="1:38" hidden="1" x14ac:dyDescent="0.2">
      <c r="A97" t="s">
        <v>198</v>
      </c>
      <c r="B97" t="s">
        <v>99</v>
      </c>
      <c r="C97" t="s">
        <v>99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</v>
      </c>
      <c r="AE97">
        <v>406</v>
      </c>
      <c r="AF97">
        <v>58.648648648648653</v>
      </c>
      <c r="AG97">
        <v>58.648648648648653</v>
      </c>
      <c r="AH97">
        <f>26.066066066066*1</f>
        <v>26.066066066066</v>
      </c>
      <c r="AI97">
        <f>1.16712064453594*1</f>
        <v>1.1671206445359401</v>
      </c>
      <c r="AJ97">
        <v>1</v>
      </c>
      <c r="AK97">
        <v>0</v>
      </c>
      <c r="AL97">
        <v>0</v>
      </c>
    </row>
    <row r="98" spans="1:38" hidden="1" x14ac:dyDescent="0.2">
      <c r="A98" t="s">
        <v>240</v>
      </c>
      <c r="B98" t="s">
        <v>241</v>
      </c>
      <c r="C98" t="s">
        <v>241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5.8</v>
      </c>
      <c r="AE98">
        <v>413</v>
      </c>
      <c r="AF98">
        <v>108.91891891891891</v>
      </c>
      <c r="AG98">
        <v>108.91891891891891</v>
      </c>
      <c r="AH98">
        <f>48.4084084084084*1</f>
        <v>48.408408408408398</v>
      </c>
      <c r="AI98">
        <f>1.3354280935432*1</f>
        <v>1.3354280935431999</v>
      </c>
      <c r="AJ98">
        <v>1</v>
      </c>
      <c r="AK98">
        <v>0</v>
      </c>
      <c r="AL98">
        <v>0</v>
      </c>
    </row>
    <row r="99" spans="1:38" hidden="1" x14ac:dyDescent="0.2">
      <c r="A99" t="s">
        <v>242</v>
      </c>
      <c r="B99" t="s">
        <v>243</v>
      </c>
      <c r="C99" t="s">
        <v>243</v>
      </c>
      <c r="D99" t="s">
        <v>4</v>
      </c>
      <c r="E99">
        <v>0</v>
      </c>
      <c r="F99">
        <v>1</v>
      </c>
      <c r="G99">
        <v>0</v>
      </c>
      <c r="H99">
        <v>0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5.8</v>
      </c>
      <c r="AE99">
        <v>414</v>
      </c>
      <c r="AF99">
        <v>95.513513513513516</v>
      </c>
      <c r="AG99">
        <v>95.513513513513516</v>
      </c>
      <c r="AH99">
        <f>42.4504504504504*1</f>
        <v>42.450450450450397</v>
      </c>
      <c r="AI99">
        <f>0.992987123263074*1</f>
        <v>0.99298712326307403</v>
      </c>
      <c r="AJ99">
        <v>1</v>
      </c>
      <c r="AK99">
        <v>0</v>
      </c>
      <c r="AL99">
        <v>0</v>
      </c>
    </row>
    <row r="100" spans="1:38" hidden="1" x14ac:dyDescent="0.2">
      <c r="A100" t="s">
        <v>244</v>
      </c>
      <c r="B100" t="s">
        <v>245</v>
      </c>
      <c r="C100" t="s">
        <v>244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6.1</v>
      </c>
      <c r="AE100">
        <v>415</v>
      </c>
      <c r="AF100">
        <v>117.29729729729731</v>
      </c>
      <c r="AG100">
        <v>117.29729729729731</v>
      </c>
      <c r="AH100">
        <f>52.1321321321321*1</f>
        <v>52.132132132132099</v>
      </c>
      <c r="AI100">
        <f>1.64023023727667*1</f>
        <v>1.6402302372766699</v>
      </c>
      <c r="AJ100">
        <v>1</v>
      </c>
      <c r="AK100">
        <v>0</v>
      </c>
      <c r="AL100">
        <v>0</v>
      </c>
    </row>
    <row r="101" spans="1:38" hidden="1" x14ac:dyDescent="0.2">
      <c r="A101" t="s">
        <v>246</v>
      </c>
      <c r="B101" t="s">
        <v>247</v>
      </c>
      <c r="C101" t="s">
        <v>247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5.5</v>
      </c>
      <c r="AE101">
        <v>416</v>
      </c>
      <c r="AF101">
        <v>104.7297297297297</v>
      </c>
      <c r="AG101">
        <v>104.7297297297297</v>
      </c>
      <c r="AH101">
        <f>46.5465465465465*1</f>
        <v>46.546546546546502</v>
      </c>
      <c r="AI101">
        <f>1.64171139498772*1</f>
        <v>1.64171139498772</v>
      </c>
      <c r="AJ101">
        <v>1</v>
      </c>
      <c r="AK101">
        <v>0</v>
      </c>
      <c r="AL101">
        <v>0</v>
      </c>
    </row>
    <row r="102" spans="1:38" x14ac:dyDescent="0.2">
      <c r="A102" t="s">
        <v>267</v>
      </c>
      <c r="B102" t="s">
        <v>268</v>
      </c>
      <c r="C102" t="s">
        <v>268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5.9</v>
      </c>
      <c r="AE102">
        <v>448</v>
      </c>
      <c r="AF102">
        <v>134.05405405405409</v>
      </c>
      <c r="AG102">
        <v>134.05405405405409</v>
      </c>
      <c r="AH102">
        <f>59.5795795795795*1</f>
        <v>59.579579579579502</v>
      </c>
      <c r="AI102">
        <f>1.62701700387663*1</f>
        <v>1.6270170038766301</v>
      </c>
      <c r="AJ102">
        <v>1</v>
      </c>
      <c r="AK102">
        <v>1</v>
      </c>
      <c r="AL102">
        <v>1</v>
      </c>
    </row>
    <row r="103" spans="1:38" hidden="1" x14ac:dyDescent="0.2">
      <c r="A103" t="s">
        <v>251</v>
      </c>
      <c r="B103" t="s">
        <v>252</v>
      </c>
      <c r="C103" t="s">
        <v>252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7.5</v>
      </c>
      <c r="AE103">
        <v>426</v>
      </c>
      <c r="AF103">
        <v>127.3513513513513</v>
      </c>
      <c r="AG103">
        <v>127.3513513513513</v>
      </c>
      <c r="AH103">
        <f>56.6006006006005*1</f>
        <v>56.600600600600501</v>
      </c>
      <c r="AI103">
        <f>1.55829329846374*1</f>
        <v>1.5582932984637401</v>
      </c>
      <c r="AJ103">
        <v>1</v>
      </c>
      <c r="AK103">
        <v>0</v>
      </c>
      <c r="AL103">
        <v>0</v>
      </c>
    </row>
    <row r="104" spans="1:38" hidden="1" x14ac:dyDescent="0.2">
      <c r="A104" t="s">
        <v>253</v>
      </c>
      <c r="B104" t="s">
        <v>254</v>
      </c>
      <c r="C104" t="s">
        <v>254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6.3</v>
      </c>
      <c r="AE104">
        <v>428</v>
      </c>
      <c r="AF104">
        <v>106.4054054054054</v>
      </c>
      <c r="AG104">
        <v>106.4054054054054</v>
      </c>
      <c r="AH104">
        <f>47.2912912912912*1</f>
        <v>47.291291291291202</v>
      </c>
      <c r="AI104">
        <f>1.30913021135224*1</f>
        <v>1.3091302113522401</v>
      </c>
      <c r="AJ104">
        <v>1</v>
      </c>
      <c r="AK104">
        <v>0</v>
      </c>
      <c r="AL104">
        <v>0</v>
      </c>
    </row>
    <row r="105" spans="1:38" hidden="1" x14ac:dyDescent="0.2">
      <c r="A105" t="s">
        <v>255</v>
      </c>
      <c r="B105" t="s">
        <v>256</v>
      </c>
      <c r="C105" t="s">
        <v>256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6.5</v>
      </c>
      <c r="AE105">
        <v>429</v>
      </c>
      <c r="AF105">
        <v>124.8378378378378</v>
      </c>
      <c r="AG105">
        <v>124.8378378378378</v>
      </c>
      <c r="AH105">
        <f>55.4834834834834*1</f>
        <v>55.483483483483397</v>
      </c>
      <c r="AI105">
        <f>1.60101161871777*1</f>
        <v>1.6010116187177701</v>
      </c>
      <c r="AJ105">
        <v>1</v>
      </c>
      <c r="AK105">
        <v>0</v>
      </c>
      <c r="AL105">
        <v>0</v>
      </c>
    </row>
    <row r="106" spans="1:38" hidden="1" x14ac:dyDescent="0.2">
      <c r="A106" t="s">
        <v>257</v>
      </c>
      <c r="B106" t="s">
        <v>258</v>
      </c>
      <c r="C106" t="s">
        <v>259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5.4</v>
      </c>
      <c r="AE106">
        <v>430</v>
      </c>
      <c r="AF106">
        <v>77.081081081081081</v>
      </c>
      <c r="AG106">
        <v>77.081081081081081</v>
      </c>
      <c r="AH106">
        <f>34.2582582582582*1</f>
        <v>34.258258258258202</v>
      </c>
      <c r="AI106">
        <f>0.992422392073062*1</f>
        <v>0.99242239207306204</v>
      </c>
      <c r="AJ106">
        <v>1</v>
      </c>
      <c r="AK106">
        <v>0</v>
      </c>
      <c r="AL106">
        <v>0</v>
      </c>
    </row>
    <row r="107" spans="1:38" hidden="1" x14ac:dyDescent="0.2">
      <c r="A107" t="s">
        <v>109</v>
      </c>
      <c r="B107" t="s">
        <v>260</v>
      </c>
      <c r="C107" t="s">
        <v>260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5.7</v>
      </c>
      <c r="AE107">
        <v>431</v>
      </c>
      <c r="AF107">
        <v>97.189189189189193</v>
      </c>
      <c r="AG107">
        <v>97.189189189189193</v>
      </c>
      <c r="AH107">
        <f>43.1951951951952*1</f>
        <v>43.195195195195197</v>
      </c>
      <c r="AI107">
        <f>1.38231031638319*1</f>
        <v>1.38231031638319</v>
      </c>
      <c r="AJ107">
        <v>1</v>
      </c>
      <c r="AK107">
        <v>0</v>
      </c>
      <c r="AL107">
        <v>0</v>
      </c>
    </row>
    <row r="108" spans="1:38" hidden="1" x14ac:dyDescent="0.2">
      <c r="A108" t="s">
        <v>261</v>
      </c>
      <c r="B108" t="s">
        <v>262</v>
      </c>
      <c r="C108" t="s">
        <v>261</v>
      </c>
      <c r="D108" t="s">
        <v>6</v>
      </c>
      <c r="E108">
        <v>0</v>
      </c>
      <c r="F108">
        <v>0</v>
      </c>
      <c r="G108">
        <v>0</v>
      </c>
      <c r="H108">
        <v>1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6.5</v>
      </c>
      <c r="AE108">
        <v>437</v>
      </c>
      <c r="AF108">
        <v>70.378378378378372</v>
      </c>
      <c r="AG108">
        <v>70.378378378378372</v>
      </c>
      <c r="AH108">
        <f>31.2792792792792*1</f>
        <v>31.279279279279201</v>
      </c>
      <c r="AI108">
        <f>1.22772183263995*1</f>
        <v>1.2277218326399499</v>
      </c>
      <c r="AJ108">
        <v>1</v>
      </c>
      <c r="AK108">
        <v>0</v>
      </c>
      <c r="AL108">
        <v>0</v>
      </c>
    </row>
    <row r="109" spans="1:38" hidden="1" x14ac:dyDescent="0.2">
      <c r="A109" t="s">
        <v>263</v>
      </c>
      <c r="B109" t="s">
        <v>264</v>
      </c>
      <c r="C109" t="s">
        <v>264</v>
      </c>
      <c r="D109" t="s">
        <v>6</v>
      </c>
      <c r="E109">
        <v>0</v>
      </c>
      <c r="F109">
        <v>0</v>
      </c>
      <c r="G109">
        <v>0</v>
      </c>
      <c r="H109">
        <v>1</v>
      </c>
      <c r="I109" t="s">
        <v>23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10.6</v>
      </c>
      <c r="AE109">
        <v>439</v>
      </c>
      <c r="AF109">
        <v>191.027027027027</v>
      </c>
      <c r="AG109">
        <v>191.027027027027</v>
      </c>
      <c r="AH109">
        <f>84.9009009009009*1</f>
        <v>84.900900900900893</v>
      </c>
      <c r="AI109">
        <f>2.67029700835658*1</f>
        <v>2.67029700835658</v>
      </c>
      <c r="AJ109">
        <v>1</v>
      </c>
      <c r="AK109">
        <v>0</v>
      </c>
      <c r="AL109">
        <v>0</v>
      </c>
    </row>
    <row r="110" spans="1:38" hidden="1" x14ac:dyDescent="0.2">
      <c r="A110" t="s">
        <v>265</v>
      </c>
      <c r="B110" t="s">
        <v>266</v>
      </c>
      <c r="C110" t="s">
        <v>266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24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5.8</v>
      </c>
      <c r="AE110">
        <v>447</v>
      </c>
      <c r="AF110">
        <v>109.7567567567567</v>
      </c>
      <c r="AG110">
        <v>109.7567567567567</v>
      </c>
      <c r="AH110">
        <f>48.7807807807807*1</f>
        <v>48.780780780780702</v>
      </c>
      <c r="AI110">
        <f>1.0900781071866*1</f>
        <v>1.0900781071865999</v>
      </c>
      <c r="AJ110">
        <v>1</v>
      </c>
      <c r="AK110">
        <v>0</v>
      </c>
      <c r="AL110">
        <v>0</v>
      </c>
    </row>
    <row r="111" spans="1:38" x14ac:dyDescent="0.2">
      <c r="A111" t="s">
        <v>181</v>
      </c>
      <c r="B111" t="s">
        <v>182</v>
      </c>
      <c r="C111" t="s">
        <v>182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19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4.5</v>
      </c>
      <c r="AE111">
        <v>281</v>
      </c>
      <c r="AF111">
        <v>104.7297297297297</v>
      </c>
      <c r="AG111">
        <v>104.7297297297297</v>
      </c>
      <c r="AH111">
        <f>46.5465465465465*1</f>
        <v>46.546546546546502</v>
      </c>
      <c r="AI111">
        <f>1.55562173224322*1</f>
        <v>1.55562173224322</v>
      </c>
      <c r="AJ111">
        <v>1</v>
      </c>
      <c r="AK111">
        <v>1</v>
      </c>
      <c r="AL111">
        <v>1</v>
      </c>
    </row>
    <row r="112" spans="1:38" hidden="1" x14ac:dyDescent="0.2">
      <c r="A112" t="s">
        <v>269</v>
      </c>
      <c r="B112" t="s">
        <v>111</v>
      </c>
      <c r="C112" t="s">
        <v>111</v>
      </c>
      <c r="D112" t="s">
        <v>4</v>
      </c>
      <c r="E112">
        <v>0</v>
      </c>
      <c r="F112">
        <v>1</v>
      </c>
      <c r="G112">
        <v>0</v>
      </c>
      <c r="H112">
        <v>0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</v>
      </c>
      <c r="AE112">
        <v>455</v>
      </c>
      <c r="AF112">
        <v>78.756756756756744</v>
      </c>
      <c r="AG112">
        <v>78.756756756756744</v>
      </c>
      <c r="AH112">
        <f>35.0030030030029*1</f>
        <v>35.003003003002902</v>
      </c>
      <c r="AI112">
        <f>1.07427906069594*1</f>
        <v>1.07427906069594</v>
      </c>
      <c r="AJ112">
        <v>1</v>
      </c>
      <c r="AK112">
        <v>0</v>
      </c>
      <c r="AL112">
        <v>0</v>
      </c>
    </row>
    <row r="113" spans="1:38" hidden="1" x14ac:dyDescent="0.2">
      <c r="A113" t="s">
        <v>270</v>
      </c>
      <c r="B113" t="s">
        <v>271</v>
      </c>
      <c r="C113" t="s">
        <v>271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8.1</v>
      </c>
      <c r="AE113">
        <v>459</v>
      </c>
      <c r="AF113">
        <v>136.56756756756761</v>
      </c>
      <c r="AG113">
        <v>136.56756756756761</v>
      </c>
      <c r="AH113">
        <f>60.6966966966966*1</f>
        <v>60.696696696696598</v>
      </c>
      <c r="AI113">
        <f>2.31102747625122*1</f>
        <v>2.31102747625122</v>
      </c>
      <c r="AJ113">
        <v>1</v>
      </c>
      <c r="AK113">
        <v>0</v>
      </c>
      <c r="AL113">
        <v>0</v>
      </c>
    </row>
    <row r="114" spans="1:38" hidden="1" x14ac:dyDescent="0.2">
      <c r="A114" t="s">
        <v>272</v>
      </c>
      <c r="B114" t="s">
        <v>273</v>
      </c>
      <c r="C114" t="s">
        <v>273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6.6</v>
      </c>
      <c r="AE114">
        <v>463</v>
      </c>
      <c r="AF114">
        <v>104.7297297297297</v>
      </c>
      <c r="AG114">
        <v>104.7297297297297</v>
      </c>
      <c r="AH114">
        <f>46.5465465465465*1</f>
        <v>46.546546546546502</v>
      </c>
      <c r="AI114">
        <f>1.47676831904226*1</f>
        <v>1.47676831904226</v>
      </c>
      <c r="AJ114">
        <v>1</v>
      </c>
      <c r="AK114">
        <v>0</v>
      </c>
      <c r="AL114">
        <v>0</v>
      </c>
    </row>
    <row r="115" spans="1:38" hidden="1" x14ac:dyDescent="0.2">
      <c r="A115" t="s">
        <v>274</v>
      </c>
      <c r="B115" t="s">
        <v>275</v>
      </c>
      <c r="C115" t="s">
        <v>275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5.9</v>
      </c>
      <c r="AE115">
        <v>466</v>
      </c>
      <c r="AF115">
        <v>102.2162162162162</v>
      </c>
      <c r="AG115">
        <v>102.2162162162162</v>
      </c>
      <c r="AH115">
        <f>45.4294294294294*1</f>
        <v>45.429429429429398</v>
      </c>
      <c r="AI115">
        <f>1.17482767564178*1</f>
        <v>1.1748276756417799</v>
      </c>
      <c r="AJ115">
        <v>1</v>
      </c>
      <c r="AK115">
        <v>0</v>
      </c>
      <c r="AL115">
        <v>0</v>
      </c>
    </row>
    <row r="116" spans="1:38" hidden="1" x14ac:dyDescent="0.2">
      <c r="A116" t="s">
        <v>276</v>
      </c>
      <c r="B116" t="s">
        <v>277</v>
      </c>
      <c r="C116" t="s">
        <v>277</v>
      </c>
      <c r="D116" t="s">
        <v>6</v>
      </c>
      <c r="E116">
        <v>0</v>
      </c>
      <c r="F116">
        <v>0</v>
      </c>
      <c r="G116">
        <v>0</v>
      </c>
      <c r="H116">
        <v>1</v>
      </c>
      <c r="I116" t="s">
        <v>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14.5</v>
      </c>
      <c r="AE116">
        <v>473</v>
      </c>
      <c r="AF116">
        <v>204.43243243243239</v>
      </c>
      <c r="AG116">
        <v>204.43243243243239</v>
      </c>
      <c r="AH116">
        <f>90.8588588588588*1</f>
        <v>90.858858858858795</v>
      </c>
      <c r="AI116">
        <f>3.10249424343949*1</f>
        <v>3.10249424343949</v>
      </c>
      <c r="AJ116">
        <v>1</v>
      </c>
      <c r="AK116">
        <v>0</v>
      </c>
      <c r="AL116">
        <v>0</v>
      </c>
    </row>
    <row r="117" spans="1:38" x14ac:dyDescent="0.2">
      <c r="A117" t="s">
        <v>297</v>
      </c>
      <c r="B117" t="s">
        <v>320</v>
      </c>
      <c r="C117" t="s">
        <v>321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6.2</v>
      </c>
      <c r="AE117">
        <v>538</v>
      </c>
      <c r="AF117">
        <v>138.24324324324331</v>
      </c>
      <c r="AG117">
        <v>138.24324324324331</v>
      </c>
      <c r="AH117">
        <f>61.4414414414414*1</f>
        <v>61.441441441441398</v>
      </c>
      <c r="AI117">
        <f>1.46029915367536*1</f>
        <v>1.46029915367536</v>
      </c>
      <c r="AJ117">
        <v>1</v>
      </c>
      <c r="AK117">
        <v>1</v>
      </c>
      <c r="AL117">
        <v>1</v>
      </c>
    </row>
    <row r="118" spans="1:38" hidden="1" x14ac:dyDescent="0.2">
      <c r="A118" t="s">
        <v>280</v>
      </c>
      <c r="B118" t="s">
        <v>88</v>
      </c>
      <c r="C118" t="s">
        <v>88</v>
      </c>
      <c r="D118" t="s">
        <v>3</v>
      </c>
      <c r="E118">
        <v>1</v>
      </c>
      <c r="F118">
        <v>0</v>
      </c>
      <c r="G118">
        <v>0</v>
      </c>
      <c r="H118">
        <v>0</v>
      </c>
      <c r="I118" t="s">
        <v>25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4.9000000000000004</v>
      </c>
      <c r="AE118">
        <v>480</v>
      </c>
      <c r="AF118">
        <v>109.7567567567567</v>
      </c>
      <c r="AG118">
        <v>109.7567567567567</v>
      </c>
      <c r="AH118">
        <f>48.7807807807807*1</f>
        <v>48.780780780780702</v>
      </c>
      <c r="AI118">
        <f>1.51914279427467*1</f>
        <v>1.51914279427467</v>
      </c>
      <c r="AJ118">
        <v>1</v>
      </c>
      <c r="AK118">
        <v>0</v>
      </c>
      <c r="AL118">
        <v>0</v>
      </c>
    </row>
    <row r="119" spans="1:38" hidden="1" x14ac:dyDescent="0.2">
      <c r="A119" t="s">
        <v>281</v>
      </c>
      <c r="B119" t="s">
        <v>282</v>
      </c>
      <c r="C119" t="s">
        <v>283</v>
      </c>
      <c r="D119" t="s">
        <v>4</v>
      </c>
      <c r="E119">
        <v>0</v>
      </c>
      <c r="F119">
        <v>1</v>
      </c>
      <c r="G119">
        <v>0</v>
      </c>
      <c r="H119">
        <v>0</v>
      </c>
      <c r="I119" t="s">
        <v>25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4.4000000000000004</v>
      </c>
      <c r="AE119">
        <v>488</v>
      </c>
      <c r="AF119">
        <v>87.135135135135144</v>
      </c>
      <c r="AG119">
        <v>87.135135135135144</v>
      </c>
      <c r="AH119">
        <f>38.7267267267267*1</f>
        <v>38.726726726726703</v>
      </c>
      <c r="AI119">
        <f>1.74689880015417*1</f>
        <v>1.7468988001541701</v>
      </c>
      <c r="AJ119">
        <v>1</v>
      </c>
      <c r="AK119">
        <v>1</v>
      </c>
      <c r="AL119">
        <v>0</v>
      </c>
    </row>
    <row r="120" spans="1:38" hidden="1" x14ac:dyDescent="0.2">
      <c r="A120" t="s">
        <v>224</v>
      </c>
      <c r="B120" t="s">
        <v>284</v>
      </c>
      <c r="C120" t="s">
        <v>284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4.4000000000000004</v>
      </c>
      <c r="AE120">
        <v>490</v>
      </c>
      <c r="AF120">
        <v>67.027027027027032</v>
      </c>
      <c r="AG120">
        <v>67.027027027027032</v>
      </c>
      <c r="AH120">
        <f>29.7897897897897*1</f>
        <v>29.789789789789701</v>
      </c>
      <c r="AI120">
        <f>1.43591067464127*1</f>
        <v>1.43591067464127</v>
      </c>
      <c r="AJ120">
        <v>1</v>
      </c>
      <c r="AK120">
        <v>0</v>
      </c>
      <c r="AL120">
        <v>0</v>
      </c>
    </row>
    <row r="121" spans="1:38" hidden="1" x14ac:dyDescent="0.2">
      <c r="A121" t="s">
        <v>285</v>
      </c>
      <c r="B121" t="s">
        <v>286</v>
      </c>
      <c r="C121" t="s">
        <v>287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9</v>
      </c>
      <c r="AE121">
        <v>497</v>
      </c>
      <c r="AF121">
        <v>158.35135135135141</v>
      </c>
      <c r="AG121">
        <v>158.35135135135141</v>
      </c>
      <c r="AH121">
        <f>70.3783783783783*1</f>
        <v>70.378378378378301</v>
      </c>
      <c r="AI121">
        <f>1.94963603261217*1</f>
        <v>1.94963603261217</v>
      </c>
      <c r="AJ121">
        <v>1</v>
      </c>
      <c r="AK121">
        <v>0</v>
      </c>
      <c r="AL121">
        <v>0</v>
      </c>
    </row>
    <row r="122" spans="1:38" hidden="1" x14ac:dyDescent="0.2">
      <c r="A122" t="s">
        <v>288</v>
      </c>
      <c r="B122" t="s">
        <v>289</v>
      </c>
      <c r="C122" t="s">
        <v>288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6.3</v>
      </c>
      <c r="AE122">
        <v>500</v>
      </c>
      <c r="AF122">
        <v>134.8918918918919</v>
      </c>
      <c r="AG122">
        <v>134.8918918918919</v>
      </c>
      <c r="AH122">
        <f>59.9519519519519*1</f>
        <v>59.951951951951898</v>
      </c>
      <c r="AI122">
        <f>1.88244117552136*1</f>
        <v>1.8824411755213599</v>
      </c>
      <c r="AJ122">
        <v>1</v>
      </c>
      <c r="AK122">
        <v>0</v>
      </c>
      <c r="AL122">
        <v>0</v>
      </c>
    </row>
    <row r="123" spans="1:38" hidden="1" x14ac:dyDescent="0.2">
      <c r="A123" t="s">
        <v>290</v>
      </c>
      <c r="B123" t="s">
        <v>291</v>
      </c>
      <c r="C123" t="s">
        <v>292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5.5</v>
      </c>
      <c r="AE123">
        <v>503</v>
      </c>
      <c r="AF123">
        <v>65.35135135135134</v>
      </c>
      <c r="AG123">
        <v>65.35135135135134</v>
      </c>
      <c r="AH123">
        <f>29.045045045045*1</f>
        <v>29.045045045045001</v>
      </c>
      <c r="AI123">
        <f>1.12825683020419*1</f>
        <v>1.12825683020419</v>
      </c>
      <c r="AJ123">
        <v>1</v>
      </c>
      <c r="AK123">
        <v>0</v>
      </c>
      <c r="AL123">
        <v>0</v>
      </c>
    </row>
    <row r="124" spans="1:38" hidden="1" x14ac:dyDescent="0.2">
      <c r="A124" t="s">
        <v>293</v>
      </c>
      <c r="B124" t="s">
        <v>294</v>
      </c>
      <c r="C124" t="s">
        <v>294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4.8</v>
      </c>
      <c r="AE124">
        <v>504</v>
      </c>
      <c r="AF124">
        <v>67.864864864864856</v>
      </c>
      <c r="AG124">
        <v>67.864864864864856</v>
      </c>
      <c r="AH124">
        <f>30.1621621621621*1</f>
        <v>30.162162162162101</v>
      </c>
      <c r="AI124">
        <f>0.845112054276298*1</f>
        <v>0.84511205427629799</v>
      </c>
      <c r="AJ124">
        <v>1</v>
      </c>
      <c r="AK124">
        <v>0</v>
      </c>
      <c r="AL124">
        <v>0</v>
      </c>
    </row>
    <row r="125" spans="1:38" hidden="1" x14ac:dyDescent="0.2">
      <c r="A125" t="s">
        <v>295</v>
      </c>
      <c r="B125" t="s">
        <v>296</v>
      </c>
      <c r="C125" t="s">
        <v>296</v>
      </c>
      <c r="D125" t="s">
        <v>6</v>
      </c>
      <c r="E125">
        <v>0</v>
      </c>
      <c r="F125">
        <v>0</v>
      </c>
      <c r="G125">
        <v>0</v>
      </c>
      <c r="H125">
        <v>1</v>
      </c>
      <c r="I125" t="s">
        <v>25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6.3</v>
      </c>
      <c r="AE125">
        <v>511</v>
      </c>
      <c r="AF125">
        <v>85.459459459459453</v>
      </c>
      <c r="AG125">
        <v>85.459459459459453</v>
      </c>
      <c r="AH125">
        <f>37.9819819819819*1</f>
        <v>37.981981981981903</v>
      </c>
      <c r="AI125">
        <f>1.35770198865705*1</f>
        <v>1.3577019886570501</v>
      </c>
      <c r="AJ125">
        <v>1</v>
      </c>
      <c r="AK125">
        <v>0</v>
      </c>
      <c r="AL125">
        <v>0</v>
      </c>
    </row>
    <row r="126" spans="1:38" hidden="1" x14ac:dyDescent="0.2">
      <c r="A126" t="s">
        <v>297</v>
      </c>
      <c r="B126" t="s">
        <v>298</v>
      </c>
      <c r="C126" t="s">
        <v>299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5.3</v>
      </c>
      <c r="AE126">
        <v>517</v>
      </c>
      <c r="AF126">
        <v>67.864864864864856</v>
      </c>
      <c r="AG126">
        <v>67.864864864864856</v>
      </c>
      <c r="AH126">
        <f>30.1621621621621*1</f>
        <v>30.162162162162101</v>
      </c>
      <c r="AI126">
        <f>1.2229004177785*1</f>
        <v>1.2229004177784999</v>
      </c>
      <c r="AJ126">
        <v>1</v>
      </c>
      <c r="AK126">
        <v>0</v>
      </c>
      <c r="AL126">
        <v>0</v>
      </c>
    </row>
    <row r="127" spans="1:38" hidden="1" x14ac:dyDescent="0.2">
      <c r="A127" t="s">
        <v>300</v>
      </c>
      <c r="B127" t="s">
        <v>301</v>
      </c>
      <c r="C127" t="s">
        <v>301</v>
      </c>
      <c r="D127" t="s">
        <v>6</v>
      </c>
      <c r="E127">
        <v>0</v>
      </c>
      <c r="F127">
        <v>0</v>
      </c>
      <c r="G127">
        <v>0</v>
      </c>
      <c r="H127">
        <v>1</v>
      </c>
      <c r="I127" t="s">
        <v>26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7.4</v>
      </c>
      <c r="AE127">
        <v>518</v>
      </c>
      <c r="AF127">
        <v>171.75675675675669</v>
      </c>
      <c r="AG127">
        <v>171.75675675675669</v>
      </c>
      <c r="AH127">
        <f>76.3363363363363*0</f>
        <v>0</v>
      </c>
      <c r="AI127">
        <f>2.05366928701969*0</f>
        <v>0</v>
      </c>
      <c r="AJ127">
        <v>0</v>
      </c>
      <c r="AK127">
        <v>0</v>
      </c>
      <c r="AL127">
        <v>0</v>
      </c>
    </row>
    <row r="128" spans="1:38" x14ac:dyDescent="0.2">
      <c r="A128" t="s">
        <v>331</v>
      </c>
      <c r="B128" t="s">
        <v>332</v>
      </c>
      <c r="C128" t="s">
        <v>332</v>
      </c>
      <c r="D128" t="s">
        <v>3</v>
      </c>
      <c r="E128">
        <v>1</v>
      </c>
      <c r="F128">
        <v>0</v>
      </c>
      <c r="G128">
        <v>0</v>
      </c>
      <c r="H128">
        <v>0</v>
      </c>
      <c r="I128" t="s">
        <v>27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4.9000000000000004</v>
      </c>
      <c r="AE128">
        <v>555</v>
      </c>
      <c r="AF128">
        <v>107.2432432432433</v>
      </c>
      <c r="AG128">
        <v>107.2432432432433</v>
      </c>
      <c r="AH128">
        <f>47.6636636636636*1</f>
        <v>47.663663663663598</v>
      </c>
      <c r="AI128">
        <f>1.45111556001992*1</f>
        <v>1.4511155600199199</v>
      </c>
      <c r="AJ128">
        <v>1</v>
      </c>
      <c r="AK128">
        <v>1</v>
      </c>
      <c r="AL128">
        <v>1</v>
      </c>
    </row>
    <row r="129" spans="1:38" hidden="1" x14ac:dyDescent="0.2">
      <c r="A129" t="s">
        <v>111</v>
      </c>
      <c r="B129" t="s">
        <v>304</v>
      </c>
      <c r="C129" t="s">
        <v>304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26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5.3</v>
      </c>
      <c r="AE129">
        <v>522</v>
      </c>
      <c r="AF129">
        <v>109.7567567567567</v>
      </c>
      <c r="AG129">
        <v>109.7567567567567</v>
      </c>
      <c r="AH129">
        <f>48.7807807807807*1</f>
        <v>48.780780780780702</v>
      </c>
      <c r="AI129">
        <f>1.52543572680135*1</f>
        <v>1.5254357268013501</v>
      </c>
      <c r="AJ129">
        <v>1</v>
      </c>
      <c r="AK129">
        <v>0</v>
      </c>
      <c r="AL129">
        <v>0</v>
      </c>
    </row>
    <row r="130" spans="1:38" hidden="1" x14ac:dyDescent="0.2">
      <c r="A130" t="s">
        <v>305</v>
      </c>
      <c r="B130" t="s">
        <v>306</v>
      </c>
      <c r="C130" t="s">
        <v>306</v>
      </c>
      <c r="D130" t="s">
        <v>4</v>
      </c>
      <c r="E130">
        <v>0</v>
      </c>
      <c r="F130">
        <v>1</v>
      </c>
      <c r="G130">
        <v>0</v>
      </c>
      <c r="H130">
        <v>0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5.4</v>
      </c>
      <c r="AE130">
        <v>523</v>
      </c>
      <c r="AF130">
        <v>116.4594594594595</v>
      </c>
      <c r="AG130">
        <v>116.4594594594595</v>
      </c>
      <c r="AH130">
        <f>51.7597597597597*1</f>
        <v>51.759759759759703</v>
      </c>
      <c r="AI130">
        <f>1.42026103754841*1</f>
        <v>1.4202610375484099</v>
      </c>
      <c r="AJ130">
        <v>1</v>
      </c>
      <c r="AK130">
        <v>0</v>
      </c>
      <c r="AL130">
        <v>0</v>
      </c>
    </row>
    <row r="131" spans="1:38" x14ac:dyDescent="0.2">
      <c r="A131" t="s">
        <v>307</v>
      </c>
      <c r="B131" t="s">
        <v>308</v>
      </c>
      <c r="C131" t="s">
        <v>308</v>
      </c>
      <c r="D131" t="s">
        <v>4</v>
      </c>
      <c r="E131">
        <v>0</v>
      </c>
      <c r="F131">
        <v>1</v>
      </c>
      <c r="G131">
        <v>0</v>
      </c>
      <c r="H131">
        <v>0</v>
      </c>
      <c r="I131" t="s">
        <v>26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5.0999999999999996</v>
      </c>
      <c r="AE131">
        <v>525</v>
      </c>
      <c r="AF131">
        <v>122.32432432432429</v>
      </c>
      <c r="AG131">
        <v>122.32432432432429</v>
      </c>
      <c r="AH131">
        <f>54.3663663663663*1</f>
        <v>54.3663663663663</v>
      </c>
      <c r="AI131">
        <f>1.31985149724112*1</f>
        <v>1.3198514972411199</v>
      </c>
      <c r="AJ131">
        <v>1</v>
      </c>
      <c r="AK131">
        <v>0</v>
      </c>
      <c r="AL131">
        <v>1</v>
      </c>
    </row>
    <row r="132" spans="1:38" hidden="1" x14ac:dyDescent="0.2">
      <c r="A132" t="s">
        <v>309</v>
      </c>
      <c r="B132" t="s">
        <v>310</v>
      </c>
      <c r="C132" t="s">
        <v>310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5</v>
      </c>
      <c r="AE132">
        <v>526</v>
      </c>
      <c r="AF132">
        <v>106.4054054054054</v>
      </c>
      <c r="AG132">
        <v>106.4054054054054</v>
      </c>
      <c r="AH132">
        <f>47.2912912912912*1</f>
        <v>47.291291291291202</v>
      </c>
      <c r="AI132">
        <f>1.42425387608214*1</f>
        <v>1.4242538760821399</v>
      </c>
      <c r="AJ132">
        <v>1</v>
      </c>
      <c r="AK132">
        <v>0</v>
      </c>
      <c r="AL132">
        <v>0</v>
      </c>
    </row>
    <row r="133" spans="1:38" hidden="1" x14ac:dyDescent="0.2">
      <c r="A133" t="s">
        <v>311</v>
      </c>
      <c r="B133" t="s">
        <v>312</v>
      </c>
      <c r="C133" t="s">
        <v>312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26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5</v>
      </c>
      <c r="AE133">
        <v>527</v>
      </c>
      <c r="AF133">
        <v>95.513513513513516</v>
      </c>
      <c r="AG133">
        <v>95.513513513513516</v>
      </c>
      <c r="AH133">
        <f>42.4504504504504*1</f>
        <v>42.450450450450397</v>
      </c>
      <c r="AI133">
        <f>1.45028708192872*1</f>
        <v>1.4502870819287199</v>
      </c>
      <c r="AJ133">
        <v>1</v>
      </c>
      <c r="AK133">
        <v>0</v>
      </c>
      <c r="AL133">
        <v>0</v>
      </c>
    </row>
    <row r="134" spans="1:38" hidden="1" x14ac:dyDescent="0.2">
      <c r="A134" t="s">
        <v>313</v>
      </c>
      <c r="B134" t="s">
        <v>314</v>
      </c>
      <c r="C134" t="s">
        <v>314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7.4</v>
      </c>
      <c r="AE134">
        <v>534</v>
      </c>
      <c r="AF134">
        <v>108.91891891891891</v>
      </c>
      <c r="AG134">
        <v>108.91891891891891</v>
      </c>
      <c r="AH134">
        <f>48.4084084084084*1</f>
        <v>48.408408408408398</v>
      </c>
      <c r="AI134">
        <f>1.05188456569312*1</f>
        <v>1.0518845656931199</v>
      </c>
      <c r="AJ134">
        <v>1</v>
      </c>
      <c r="AK134">
        <v>0</v>
      </c>
      <c r="AL134">
        <v>0</v>
      </c>
    </row>
    <row r="135" spans="1:38" hidden="1" x14ac:dyDescent="0.2">
      <c r="A135" t="s">
        <v>313</v>
      </c>
      <c r="B135" t="s">
        <v>315</v>
      </c>
      <c r="C135" t="s">
        <v>315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6.8</v>
      </c>
      <c r="AE135">
        <v>535</v>
      </c>
      <c r="AF135">
        <v>125.67567567567571</v>
      </c>
      <c r="AG135">
        <v>125.67567567567571</v>
      </c>
      <c r="AH135">
        <f>55.8558558558558*1</f>
        <v>55.8558558558558</v>
      </c>
      <c r="AI135">
        <f>0.976044106240048*1</f>
        <v>0.976044106240048</v>
      </c>
      <c r="AJ135">
        <v>1</v>
      </c>
      <c r="AK135">
        <v>0</v>
      </c>
      <c r="AL135">
        <v>0</v>
      </c>
    </row>
    <row r="136" spans="1:38" hidden="1" x14ac:dyDescent="0.2">
      <c r="A136" t="s">
        <v>316</v>
      </c>
      <c r="B136" t="s">
        <v>317</v>
      </c>
      <c r="C136" t="s">
        <v>317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6.4</v>
      </c>
      <c r="AE136">
        <v>536</v>
      </c>
      <c r="AF136">
        <v>101.3783783783784</v>
      </c>
      <c r="AG136">
        <v>101.3783783783784</v>
      </c>
      <c r="AH136">
        <f>45.057057057057*1</f>
        <v>45.057057057057001</v>
      </c>
      <c r="AI136">
        <f>1.62330340421791*1</f>
        <v>1.62330340421791</v>
      </c>
      <c r="AJ136">
        <v>1</v>
      </c>
      <c r="AK136">
        <v>0</v>
      </c>
      <c r="AL136">
        <v>0</v>
      </c>
    </row>
    <row r="137" spans="1:38" hidden="1" x14ac:dyDescent="0.2">
      <c r="A137" t="s">
        <v>285</v>
      </c>
      <c r="B137" t="s">
        <v>318</v>
      </c>
      <c r="C137" t="s">
        <v>319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6.5</v>
      </c>
      <c r="AE137">
        <v>537</v>
      </c>
      <c r="AF137">
        <v>118.1351351351351</v>
      </c>
      <c r="AG137">
        <v>118.1351351351351</v>
      </c>
      <c r="AH137">
        <f>52.5045045045045*1</f>
        <v>52.504504504504503</v>
      </c>
      <c r="AI137">
        <f>1.64990075216403*1</f>
        <v>1.6499007521640301</v>
      </c>
      <c r="AJ137">
        <v>1</v>
      </c>
      <c r="AK137">
        <v>0</v>
      </c>
      <c r="AL137">
        <v>0</v>
      </c>
    </row>
    <row r="138" spans="1:38" x14ac:dyDescent="0.2">
      <c r="A138" t="s">
        <v>152</v>
      </c>
      <c r="B138" t="s">
        <v>180</v>
      </c>
      <c r="C138" t="s">
        <v>180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19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4.9000000000000004</v>
      </c>
      <c r="AE138">
        <v>280</v>
      </c>
      <c r="AF138">
        <v>128.18918918918919</v>
      </c>
      <c r="AG138">
        <v>128.18918918918919</v>
      </c>
      <c r="AH138">
        <f>56.9729729729729*1</f>
        <v>56.972972972972897</v>
      </c>
      <c r="AI138">
        <f>1.30689156142481*1</f>
        <v>1.30689156142481</v>
      </c>
      <c r="AJ138">
        <v>1</v>
      </c>
      <c r="AK138">
        <v>1</v>
      </c>
      <c r="AL138">
        <v>1</v>
      </c>
    </row>
    <row r="139" spans="1:38" hidden="1" x14ac:dyDescent="0.2">
      <c r="A139" t="s">
        <v>322</v>
      </c>
      <c r="B139" t="s">
        <v>323</v>
      </c>
      <c r="C139" t="s">
        <v>324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5.9</v>
      </c>
      <c r="AE139">
        <v>539</v>
      </c>
      <c r="AF139">
        <v>93</v>
      </c>
      <c r="AG139">
        <v>93</v>
      </c>
      <c r="AH139">
        <f>41.3333333333333*1</f>
        <v>41.3333333333333</v>
      </c>
      <c r="AI139">
        <f>1.36542597362995*1</f>
        <v>1.3654259736299501</v>
      </c>
      <c r="AJ139">
        <v>1</v>
      </c>
      <c r="AK139">
        <v>0</v>
      </c>
      <c r="AL139">
        <v>0</v>
      </c>
    </row>
    <row r="140" spans="1:38" hidden="1" x14ac:dyDescent="0.2">
      <c r="A140" t="s">
        <v>325</v>
      </c>
      <c r="B140" t="s">
        <v>326</v>
      </c>
      <c r="C140" t="s">
        <v>326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5.4</v>
      </c>
      <c r="AE140">
        <v>540</v>
      </c>
      <c r="AF140">
        <v>94.675675675675677</v>
      </c>
      <c r="AG140">
        <v>94.675675675675677</v>
      </c>
      <c r="AH140">
        <f>42.078078078078*1</f>
        <v>42.078078078078001</v>
      </c>
      <c r="AI140">
        <f>1.39706536574846*1</f>
        <v>1.39706536574846</v>
      </c>
      <c r="AJ140">
        <v>1</v>
      </c>
      <c r="AK140">
        <v>0</v>
      </c>
      <c r="AL140">
        <v>0</v>
      </c>
    </row>
    <row r="141" spans="1:38" hidden="1" x14ac:dyDescent="0.2">
      <c r="A141" t="s">
        <v>327</v>
      </c>
      <c r="B141" t="s">
        <v>328</v>
      </c>
      <c r="C141" t="s">
        <v>328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5</v>
      </c>
      <c r="AE141">
        <v>542</v>
      </c>
      <c r="AF141">
        <v>44.405405405405403</v>
      </c>
      <c r="AG141">
        <v>44.405405405405403</v>
      </c>
      <c r="AH141">
        <f>19.7357357357357*1</f>
        <v>19.735735735735702</v>
      </c>
      <c r="AI141">
        <f>0.933047603366419*1</f>
        <v>0.93304760336641901</v>
      </c>
      <c r="AJ141">
        <v>1</v>
      </c>
      <c r="AK141">
        <v>0</v>
      </c>
      <c r="AL141">
        <v>0</v>
      </c>
    </row>
    <row r="142" spans="1:38" hidden="1" x14ac:dyDescent="0.2">
      <c r="A142" t="s">
        <v>329</v>
      </c>
      <c r="B142" t="s">
        <v>330</v>
      </c>
      <c r="C142" t="s">
        <v>330</v>
      </c>
      <c r="D142" t="s">
        <v>3</v>
      </c>
      <c r="E142">
        <v>1</v>
      </c>
      <c r="F142">
        <v>0</v>
      </c>
      <c r="G142">
        <v>0</v>
      </c>
      <c r="H142">
        <v>0</v>
      </c>
      <c r="I142" t="s">
        <v>26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4.8</v>
      </c>
      <c r="AE142">
        <v>549</v>
      </c>
      <c r="AF142">
        <v>103.05405405405401</v>
      </c>
      <c r="AG142">
        <v>103.05405405405401</v>
      </c>
      <c r="AH142">
        <f>45.8018018018017*1</f>
        <v>45.801801801801702</v>
      </c>
      <c r="AI142">
        <f>1.57042932555792*1</f>
        <v>1.57042932555792</v>
      </c>
      <c r="AJ142">
        <v>1</v>
      </c>
      <c r="AK142">
        <v>0</v>
      </c>
      <c r="AL142">
        <v>0</v>
      </c>
    </row>
    <row r="143" spans="1:38" x14ac:dyDescent="0.2">
      <c r="A143" t="s">
        <v>148</v>
      </c>
      <c r="B143" t="s">
        <v>149</v>
      </c>
      <c r="C143" t="s">
        <v>149</v>
      </c>
      <c r="D143" t="s">
        <v>6</v>
      </c>
      <c r="E143">
        <v>0</v>
      </c>
      <c r="F143">
        <v>0</v>
      </c>
      <c r="G143">
        <v>0</v>
      </c>
      <c r="H143">
        <v>1</v>
      </c>
      <c r="I143" t="s">
        <v>17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6.3</v>
      </c>
      <c r="AE143">
        <v>233</v>
      </c>
      <c r="AF143">
        <v>119.81081081081081</v>
      </c>
      <c r="AG143">
        <v>119.81081081081081</v>
      </c>
      <c r="AH143">
        <f>53.2492492492492*1</f>
        <v>53.249249249249203</v>
      </c>
      <c r="AI143">
        <f>1.27889761246312*1</f>
        <v>1.2788976124631199</v>
      </c>
      <c r="AJ143">
        <v>1</v>
      </c>
      <c r="AK143">
        <v>1</v>
      </c>
      <c r="AL143">
        <v>1</v>
      </c>
    </row>
    <row r="144" spans="1:38" hidden="1" x14ac:dyDescent="0.2">
      <c r="A144" t="s">
        <v>333</v>
      </c>
      <c r="B144" t="s">
        <v>334</v>
      </c>
      <c r="C144" t="s">
        <v>334</v>
      </c>
      <c r="D144" t="s">
        <v>4</v>
      </c>
      <c r="E144">
        <v>0</v>
      </c>
      <c r="F144">
        <v>1</v>
      </c>
      <c r="G144">
        <v>0</v>
      </c>
      <c r="H144">
        <v>0</v>
      </c>
      <c r="I144" t="s">
        <v>27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5.3</v>
      </c>
      <c r="AE144">
        <v>558</v>
      </c>
      <c r="AF144">
        <v>108.08108108108109</v>
      </c>
      <c r="AG144">
        <v>108.08108108108109</v>
      </c>
      <c r="AH144">
        <f>48.036036036036*1</f>
        <v>48.036036036036002</v>
      </c>
      <c r="AI144">
        <f>1.49346671635426*1</f>
        <v>1.4934667163542601</v>
      </c>
      <c r="AJ144">
        <v>1</v>
      </c>
      <c r="AK144">
        <v>0</v>
      </c>
      <c r="AL144">
        <v>0</v>
      </c>
    </row>
    <row r="145" spans="1:38" hidden="1" x14ac:dyDescent="0.2">
      <c r="A145" t="s">
        <v>335</v>
      </c>
      <c r="B145" t="s">
        <v>336</v>
      </c>
      <c r="C145" t="s">
        <v>336</v>
      </c>
      <c r="D145" t="s">
        <v>4</v>
      </c>
      <c r="E145">
        <v>0</v>
      </c>
      <c r="F145">
        <v>1</v>
      </c>
      <c r="G145">
        <v>0</v>
      </c>
      <c r="H145">
        <v>0</v>
      </c>
      <c r="I145" t="s">
        <v>27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4.8</v>
      </c>
      <c r="AE145">
        <v>560</v>
      </c>
      <c r="AF145">
        <v>111.43243243243241</v>
      </c>
      <c r="AG145">
        <v>111.43243243243241</v>
      </c>
      <c r="AH145">
        <f>49.5255255255255*0</f>
        <v>0</v>
      </c>
      <c r="AI145">
        <f>1.575360104429*0</f>
        <v>0</v>
      </c>
      <c r="AJ145">
        <v>0</v>
      </c>
      <c r="AK145">
        <v>0</v>
      </c>
      <c r="AL145">
        <v>0</v>
      </c>
    </row>
    <row r="146" spans="1:38" hidden="1" x14ac:dyDescent="0.2">
      <c r="A146" t="s">
        <v>337</v>
      </c>
      <c r="B146" t="s">
        <v>338</v>
      </c>
      <c r="C146" t="s">
        <v>339</v>
      </c>
      <c r="D146" t="s">
        <v>4</v>
      </c>
      <c r="E146">
        <v>0</v>
      </c>
      <c r="F146">
        <v>1</v>
      </c>
      <c r="G146">
        <v>0</v>
      </c>
      <c r="H146">
        <v>0</v>
      </c>
      <c r="I146" t="s">
        <v>27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4.8</v>
      </c>
      <c r="AE146">
        <v>561</v>
      </c>
      <c r="AF146">
        <v>95.513513513513516</v>
      </c>
      <c r="AG146">
        <v>95.513513513513516</v>
      </c>
      <c r="AH146">
        <f>42.4504504504504*1</f>
        <v>42.450450450450397</v>
      </c>
      <c r="AI146">
        <f>0.921215433109143*1</f>
        <v>0.921215433109143</v>
      </c>
      <c r="AJ146">
        <v>1</v>
      </c>
      <c r="AK146">
        <v>0</v>
      </c>
      <c r="AL146">
        <v>0</v>
      </c>
    </row>
    <row r="147" spans="1:38" hidden="1" x14ac:dyDescent="0.2">
      <c r="A147" t="s">
        <v>79</v>
      </c>
      <c r="B147" t="s">
        <v>340</v>
      </c>
      <c r="C147" t="s">
        <v>340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7.4</v>
      </c>
      <c r="AE147">
        <v>568</v>
      </c>
      <c r="AF147">
        <v>130.70270270270271</v>
      </c>
      <c r="AG147">
        <v>130.70270270270271</v>
      </c>
      <c r="AH147">
        <f>58.09009009009*1</f>
        <v>58.090090090090001</v>
      </c>
      <c r="AI147">
        <f>1.55731568638974*1</f>
        <v>1.5573156863897399</v>
      </c>
      <c r="AJ147">
        <v>1</v>
      </c>
      <c r="AK147">
        <v>0</v>
      </c>
      <c r="AL147">
        <v>0</v>
      </c>
    </row>
    <row r="148" spans="1:38" hidden="1" x14ac:dyDescent="0.2">
      <c r="A148" t="s">
        <v>341</v>
      </c>
      <c r="B148" t="s">
        <v>342</v>
      </c>
      <c r="C148" t="s">
        <v>342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5.9</v>
      </c>
      <c r="AE148">
        <v>569</v>
      </c>
      <c r="AF148">
        <v>98.864864864864856</v>
      </c>
      <c r="AG148">
        <v>98.864864864864856</v>
      </c>
      <c r="AH148">
        <f>43.9399399399399*1</f>
        <v>43.939939939939897</v>
      </c>
      <c r="AI148">
        <f>1.4202752340072*1</f>
        <v>1.4202752340072</v>
      </c>
      <c r="AJ148">
        <v>1</v>
      </c>
      <c r="AK148">
        <v>0</v>
      </c>
      <c r="AL148">
        <v>0</v>
      </c>
    </row>
    <row r="149" spans="1:38" hidden="1" x14ac:dyDescent="0.2">
      <c r="A149" t="s">
        <v>343</v>
      </c>
      <c r="B149" t="s">
        <v>344</v>
      </c>
      <c r="C149" t="s">
        <v>344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5.4</v>
      </c>
      <c r="AE149">
        <v>570</v>
      </c>
      <c r="AF149">
        <v>93.837837837837839</v>
      </c>
      <c r="AG149">
        <v>93.837837837837839</v>
      </c>
      <c r="AH149">
        <f>41.7057057057057*1</f>
        <v>41.705705705705697</v>
      </c>
      <c r="AI149">
        <f>1.12472549855349*1</f>
        <v>1.12472549855349</v>
      </c>
      <c r="AJ149">
        <v>1</v>
      </c>
      <c r="AK149">
        <v>0</v>
      </c>
      <c r="AL149">
        <v>0</v>
      </c>
    </row>
    <row r="150" spans="1:38" hidden="1" x14ac:dyDescent="0.2">
      <c r="A150" t="s">
        <v>345</v>
      </c>
      <c r="B150" t="s">
        <v>346</v>
      </c>
      <c r="C150" t="s">
        <v>347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27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5</v>
      </c>
      <c r="AE150">
        <v>572</v>
      </c>
      <c r="AF150">
        <v>46.081081081081081</v>
      </c>
      <c r="AG150">
        <v>46.081081081081081</v>
      </c>
      <c r="AH150">
        <f>20.4804804804804*1</f>
        <v>20.480480480480399</v>
      </c>
      <c r="AI150">
        <f>0.723942765137833*1</f>
        <v>0.72394276513783296</v>
      </c>
      <c r="AJ150">
        <v>1</v>
      </c>
      <c r="AK150">
        <v>0</v>
      </c>
      <c r="AL150">
        <v>0</v>
      </c>
    </row>
    <row r="151" spans="1:38" hidden="1" x14ac:dyDescent="0.2">
      <c r="A151" t="s">
        <v>109</v>
      </c>
      <c r="B151" t="s">
        <v>348</v>
      </c>
      <c r="C151" t="s">
        <v>348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4.8</v>
      </c>
      <c r="AE151">
        <v>575</v>
      </c>
      <c r="AF151">
        <v>52.783783783783782</v>
      </c>
      <c r="AG151">
        <v>52.783783783783782</v>
      </c>
      <c r="AH151">
        <f>23.4594594594594*1</f>
        <v>23.459459459459399</v>
      </c>
      <c r="AI151">
        <f>0.826707879902837*1</f>
        <v>0.82670787990283701</v>
      </c>
      <c r="AJ151">
        <v>1</v>
      </c>
      <c r="AK151">
        <v>0</v>
      </c>
      <c r="AL151">
        <v>0</v>
      </c>
    </row>
    <row r="152" spans="1:38" x14ac:dyDescent="0.2">
      <c r="A152" t="s">
        <v>155</v>
      </c>
      <c r="B152" t="s">
        <v>156</v>
      </c>
      <c r="C152" t="s">
        <v>156</v>
      </c>
      <c r="D152" t="s">
        <v>4</v>
      </c>
      <c r="E152">
        <v>0</v>
      </c>
      <c r="F152">
        <v>1</v>
      </c>
      <c r="G152">
        <v>0</v>
      </c>
      <c r="H152">
        <v>0</v>
      </c>
      <c r="I152" t="s">
        <v>18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5.0999999999999996</v>
      </c>
      <c r="AE152">
        <v>244</v>
      </c>
      <c r="AF152">
        <v>134.05405405405409</v>
      </c>
      <c r="AG152">
        <v>134.05405405405409</v>
      </c>
      <c r="AH152">
        <f>59.5795795795795*1</f>
        <v>59.579579579579502</v>
      </c>
      <c r="AI152">
        <f>1.1834998441039*1</f>
        <v>1.1834998441039</v>
      </c>
      <c r="AJ152">
        <v>1</v>
      </c>
      <c r="AK152">
        <v>1</v>
      </c>
      <c r="AL152">
        <v>1</v>
      </c>
    </row>
    <row r="153" spans="1:38" hidden="1" x14ac:dyDescent="0.2">
      <c r="A153" t="s">
        <v>350</v>
      </c>
      <c r="B153" t="s">
        <v>351</v>
      </c>
      <c r="C153" t="s">
        <v>351</v>
      </c>
      <c r="D153" t="s">
        <v>6</v>
      </c>
      <c r="E153">
        <v>0</v>
      </c>
      <c r="F153">
        <v>0</v>
      </c>
      <c r="G153">
        <v>0</v>
      </c>
      <c r="H153">
        <v>1</v>
      </c>
      <c r="I153" t="s">
        <v>27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5.2</v>
      </c>
      <c r="AE153">
        <v>580</v>
      </c>
      <c r="AF153">
        <v>52.783783783783782</v>
      </c>
      <c r="AG153">
        <v>52.783783783783782</v>
      </c>
      <c r="AH153">
        <f>23.4594594594594*1</f>
        <v>23.459459459459399</v>
      </c>
      <c r="AI153">
        <f>0.530863844722888*1</f>
        <v>0.53086384472288795</v>
      </c>
      <c r="AJ153">
        <v>1</v>
      </c>
      <c r="AK153">
        <v>0</v>
      </c>
      <c r="AL153">
        <v>0</v>
      </c>
    </row>
    <row r="154" spans="1:38" hidden="1" x14ac:dyDescent="0.2">
      <c r="A154" t="s">
        <v>352</v>
      </c>
      <c r="B154" t="s">
        <v>353</v>
      </c>
      <c r="C154" t="s">
        <v>353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28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5.2</v>
      </c>
      <c r="AE154">
        <v>605</v>
      </c>
      <c r="AF154">
        <v>64.513513513513516</v>
      </c>
      <c r="AG154">
        <v>64.513513513513516</v>
      </c>
      <c r="AH154">
        <f>28.6726726726726*1</f>
        <v>28.672672672672601</v>
      </c>
      <c r="AI154">
        <f>1.17290448438477*1</f>
        <v>1.17290448438477</v>
      </c>
      <c r="AJ154">
        <v>1</v>
      </c>
      <c r="AK154">
        <v>0</v>
      </c>
      <c r="AL154">
        <v>0</v>
      </c>
    </row>
    <row r="155" spans="1:38" hidden="1" x14ac:dyDescent="0.2">
      <c r="A155" t="s">
        <v>354</v>
      </c>
      <c r="B155" t="s">
        <v>355</v>
      </c>
      <c r="C155" t="s">
        <v>355</v>
      </c>
      <c r="D155" t="s">
        <v>3</v>
      </c>
      <c r="E155">
        <v>1</v>
      </c>
      <c r="F155">
        <v>0</v>
      </c>
      <c r="G155">
        <v>0</v>
      </c>
      <c r="H155">
        <v>0</v>
      </c>
      <c r="I155" t="s">
        <v>29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5.0999999999999996</v>
      </c>
      <c r="AE155">
        <v>635</v>
      </c>
      <c r="AF155">
        <v>97.189189189189193</v>
      </c>
      <c r="AG155">
        <v>97.189189189189193</v>
      </c>
      <c r="AH155">
        <f>43.1951951951952*1</f>
        <v>43.195195195195197</v>
      </c>
      <c r="AI155">
        <f>1.3177377969577*1</f>
        <v>1.3177377969577</v>
      </c>
      <c r="AJ155">
        <v>1</v>
      </c>
      <c r="AK155">
        <v>0</v>
      </c>
      <c r="AL155">
        <v>0</v>
      </c>
    </row>
    <row r="156" spans="1:38" hidden="1" x14ac:dyDescent="0.2">
      <c r="A156" t="s">
        <v>356</v>
      </c>
      <c r="B156" t="s">
        <v>357</v>
      </c>
      <c r="C156" t="s">
        <v>357</v>
      </c>
      <c r="D156" t="s">
        <v>4</v>
      </c>
      <c r="E156">
        <v>0</v>
      </c>
      <c r="F156">
        <v>1</v>
      </c>
      <c r="G156">
        <v>0</v>
      </c>
      <c r="H156">
        <v>0</v>
      </c>
      <c r="I156" t="s">
        <v>29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4.4000000000000004</v>
      </c>
      <c r="AE156">
        <v>644</v>
      </c>
      <c r="AF156">
        <v>54.45945945945946</v>
      </c>
      <c r="AG156">
        <v>54.45945945945946</v>
      </c>
      <c r="AH156">
        <f>24.2042042042042*1</f>
        <v>24.204204204204199</v>
      </c>
      <c r="AI156">
        <f>0.946022461324286*1</f>
        <v>0.94602246132428602</v>
      </c>
      <c r="AJ156">
        <v>1</v>
      </c>
      <c r="AK156">
        <v>0</v>
      </c>
      <c r="AL156">
        <v>0</v>
      </c>
    </row>
    <row r="157" spans="1:38" hidden="1" x14ac:dyDescent="0.2">
      <c r="A157" t="s">
        <v>358</v>
      </c>
      <c r="B157" t="s">
        <v>359</v>
      </c>
      <c r="C157" t="s">
        <v>358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29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8.5</v>
      </c>
      <c r="AE157">
        <v>649</v>
      </c>
      <c r="AF157">
        <v>129.8648648648649</v>
      </c>
      <c r="AG157">
        <v>129.8648648648649</v>
      </c>
      <c r="AH157">
        <f>57.7177177177177*1</f>
        <v>57.717717717717697</v>
      </c>
      <c r="AI157">
        <f>2.40156253576801*1</f>
        <v>2.4015625357680102</v>
      </c>
      <c r="AJ157">
        <v>1</v>
      </c>
      <c r="AK157">
        <v>0</v>
      </c>
      <c r="AL157">
        <v>0</v>
      </c>
    </row>
    <row r="158" spans="1:38" hidden="1" x14ac:dyDescent="0.2">
      <c r="A158" t="s">
        <v>360</v>
      </c>
      <c r="B158" t="s">
        <v>361</v>
      </c>
      <c r="C158" t="s">
        <v>361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29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6.8</v>
      </c>
      <c r="AE158">
        <v>650</v>
      </c>
      <c r="AF158">
        <v>125.67567567567571</v>
      </c>
      <c r="AG158">
        <v>125.67567567567571</v>
      </c>
      <c r="AH158">
        <f>55.8558558558558*1</f>
        <v>55.8558558558558</v>
      </c>
      <c r="AI158">
        <f>1.63430058610941*1</f>
        <v>1.63430058610941</v>
      </c>
      <c r="AJ158">
        <v>1</v>
      </c>
      <c r="AK158">
        <v>0</v>
      </c>
      <c r="AL158">
        <v>0</v>
      </c>
    </row>
    <row r="159" spans="1:38" hidden="1" x14ac:dyDescent="0.2">
      <c r="A159" t="s">
        <v>198</v>
      </c>
      <c r="B159" t="s">
        <v>362</v>
      </c>
      <c r="C159" t="s">
        <v>362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29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6.9</v>
      </c>
      <c r="AE159">
        <v>651</v>
      </c>
      <c r="AF159">
        <v>122.32432432432429</v>
      </c>
      <c r="AG159">
        <v>122.32432432432429</v>
      </c>
      <c r="AH159">
        <f>54.3663663663663*1</f>
        <v>54.3663663663663</v>
      </c>
      <c r="AI159">
        <f>1.9618984885362*1</f>
        <v>1.9618984885362001</v>
      </c>
      <c r="AJ159">
        <v>1</v>
      </c>
      <c r="AK159">
        <v>0</v>
      </c>
      <c r="AL159">
        <v>0</v>
      </c>
    </row>
    <row r="160" spans="1:38" hidden="1" x14ac:dyDescent="0.2">
      <c r="A160" t="s">
        <v>363</v>
      </c>
      <c r="B160" t="s">
        <v>364</v>
      </c>
      <c r="C160" t="s">
        <v>364</v>
      </c>
      <c r="D160" t="s">
        <v>5</v>
      </c>
      <c r="E160">
        <v>0</v>
      </c>
      <c r="F160">
        <v>0</v>
      </c>
      <c r="G160">
        <v>1</v>
      </c>
      <c r="H160">
        <v>0</v>
      </c>
      <c r="I160" t="s">
        <v>29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6.8</v>
      </c>
      <c r="AE160">
        <v>652</v>
      </c>
      <c r="AF160">
        <v>117.29729729729731</v>
      </c>
      <c r="AG160">
        <v>117.29729729729731</v>
      </c>
      <c r="AH160">
        <f>52.1321321321321*1</f>
        <v>52.132132132132099</v>
      </c>
      <c r="AI160">
        <f>1.74281208135504*1</f>
        <v>1.7428120813550401</v>
      </c>
      <c r="AJ160">
        <v>1</v>
      </c>
      <c r="AK160">
        <v>0</v>
      </c>
      <c r="AL160">
        <v>0</v>
      </c>
    </row>
    <row r="161" spans="1:38" hidden="1" x14ac:dyDescent="0.2">
      <c r="A161" t="s">
        <v>365</v>
      </c>
      <c r="B161" t="s">
        <v>366</v>
      </c>
      <c r="C161" t="s">
        <v>366</v>
      </c>
      <c r="D161" t="s">
        <v>5</v>
      </c>
      <c r="E161">
        <v>0</v>
      </c>
      <c r="F161">
        <v>0</v>
      </c>
      <c r="G161">
        <v>1</v>
      </c>
      <c r="H161">
        <v>0</v>
      </c>
      <c r="I161" t="s">
        <v>29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6.4</v>
      </c>
      <c r="AE161">
        <v>653</v>
      </c>
      <c r="AF161">
        <v>116.4594594594595</v>
      </c>
      <c r="AG161">
        <v>116.4594594594595</v>
      </c>
      <c r="AH161">
        <f>51.7597597597597*1</f>
        <v>51.759759759759703</v>
      </c>
      <c r="AI161">
        <f>1.68943461857032*1</f>
        <v>1.68943461857032</v>
      </c>
      <c r="AJ161">
        <v>1</v>
      </c>
      <c r="AK161">
        <v>0</v>
      </c>
      <c r="AL161">
        <v>0</v>
      </c>
    </row>
    <row r="162" spans="1:38" hidden="1" x14ac:dyDescent="0.2">
      <c r="A162" t="s">
        <v>232</v>
      </c>
      <c r="B162" t="s">
        <v>367</v>
      </c>
      <c r="C162" t="s">
        <v>367</v>
      </c>
      <c r="D162" t="s">
        <v>5</v>
      </c>
      <c r="E162">
        <v>0</v>
      </c>
      <c r="F162">
        <v>0</v>
      </c>
      <c r="G162">
        <v>1</v>
      </c>
      <c r="H162">
        <v>0</v>
      </c>
      <c r="I162" t="s">
        <v>29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5.3</v>
      </c>
      <c r="AE162">
        <v>655</v>
      </c>
      <c r="AF162">
        <v>58.648648648648653</v>
      </c>
      <c r="AG162">
        <v>58.648648648648653</v>
      </c>
      <c r="AH162">
        <f>26.066066066066*1</f>
        <v>26.066066066066</v>
      </c>
      <c r="AI162">
        <f>0.917618644504643*1</f>
        <v>0.91761864450464303</v>
      </c>
      <c r="AJ162">
        <v>1</v>
      </c>
      <c r="AK162">
        <v>0</v>
      </c>
      <c r="AL162">
        <v>0</v>
      </c>
    </row>
    <row r="163" spans="1:38" hidden="1" x14ac:dyDescent="0.2">
      <c r="A163" t="s">
        <v>368</v>
      </c>
      <c r="B163" t="s">
        <v>369</v>
      </c>
      <c r="C163" t="s">
        <v>369</v>
      </c>
      <c r="D163" t="s">
        <v>5</v>
      </c>
      <c r="E163">
        <v>0</v>
      </c>
      <c r="F163">
        <v>0</v>
      </c>
      <c r="G163">
        <v>1</v>
      </c>
      <c r="H163">
        <v>0</v>
      </c>
      <c r="I163" t="s">
        <v>29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5.2</v>
      </c>
      <c r="AE163">
        <v>657</v>
      </c>
      <c r="AF163">
        <v>53.621621621621628</v>
      </c>
      <c r="AG163">
        <v>53.621621621621628</v>
      </c>
      <c r="AH163">
        <f>23.8318318318318*1</f>
        <v>23.831831831831799</v>
      </c>
      <c r="AI163">
        <f>0.821818746592265*1</f>
        <v>0.82181874659226495</v>
      </c>
      <c r="AJ163">
        <v>1</v>
      </c>
      <c r="AK163">
        <v>0</v>
      </c>
      <c r="AL163">
        <v>0</v>
      </c>
    </row>
    <row r="164" spans="1:38" hidden="1" x14ac:dyDescent="0.2">
      <c r="A164" t="s">
        <v>370</v>
      </c>
      <c r="B164" t="s">
        <v>184</v>
      </c>
      <c r="C164" t="s">
        <v>371</v>
      </c>
      <c r="D164" t="s">
        <v>5</v>
      </c>
      <c r="E164">
        <v>0</v>
      </c>
      <c r="F164">
        <v>0</v>
      </c>
      <c r="G164">
        <v>1</v>
      </c>
      <c r="H164">
        <v>0</v>
      </c>
      <c r="I164" t="s">
        <v>29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5</v>
      </c>
      <c r="AE164">
        <v>663</v>
      </c>
      <c r="AF164">
        <v>75.405405405405403</v>
      </c>
      <c r="AG164">
        <v>75.405405405405403</v>
      </c>
      <c r="AH164">
        <f>33.5135135135135*1</f>
        <v>33.513513513513502</v>
      </c>
      <c r="AI164">
        <f>1.37568137538087*1</f>
        <v>1.3756813753808701</v>
      </c>
      <c r="AJ164">
        <v>1</v>
      </c>
      <c r="AK164">
        <v>0</v>
      </c>
      <c r="AL164">
        <v>0</v>
      </c>
    </row>
    <row r="165" spans="1:38" hidden="1" x14ac:dyDescent="0.2">
      <c r="A165" t="s">
        <v>372</v>
      </c>
      <c r="B165" t="s">
        <v>373</v>
      </c>
      <c r="C165" t="s">
        <v>373</v>
      </c>
      <c r="D165" t="s">
        <v>3</v>
      </c>
      <c r="E165">
        <v>1</v>
      </c>
      <c r="F165">
        <v>0</v>
      </c>
      <c r="G165">
        <v>0</v>
      </c>
      <c r="H165">
        <v>0</v>
      </c>
      <c r="I165" t="s">
        <v>30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4.3</v>
      </c>
      <c r="AE165">
        <v>674</v>
      </c>
      <c r="AF165">
        <v>87.972972972972968</v>
      </c>
      <c r="AG165">
        <v>87.972972972972968</v>
      </c>
      <c r="AH165">
        <f>39.0990990990991*1</f>
        <v>39.099099099099099</v>
      </c>
      <c r="AI165">
        <f>1.35872366395951*1</f>
        <v>1.3587236639595099</v>
      </c>
      <c r="AJ165">
        <v>1</v>
      </c>
      <c r="AK165">
        <v>0</v>
      </c>
      <c r="AL165">
        <v>0</v>
      </c>
    </row>
    <row r="166" spans="1:38" hidden="1" x14ac:dyDescent="0.2">
      <c r="A166" t="s">
        <v>374</v>
      </c>
      <c r="B166" t="s">
        <v>375</v>
      </c>
      <c r="C166" t="s">
        <v>374</v>
      </c>
      <c r="D166" t="s">
        <v>4</v>
      </c>
      <c r="E166">
        <v>0</v>
      </c>
      <c r="F166">
        <v>1</v>
      </c>
      <c r="G166">
        <v>0</v>
      </c>
      <c r="H166">
        <v>0</v>
      </c>
      <c r="I166" t="s">
        <v>30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4.4000000000000004</v>
      </c>
      <c r="AE166">
        <v>678</v>
      </c>
      <c r="AF166">
        <v>64.513513513513516</v>
      </c>
      <c r="AG166">
        <v>64.513513513513516</v>
      </c>
      <c r="AH166">
        <f>28.6726726726726*1</f>
        <v>28.672672672672601</v>
      </c>
      <c r="AI166">
        <f>0.834045234073447*1</f>
        <v>0.83404523407344699</v>
      </c>
      <c r="AJ166">
        <v>1</v>
      </c>
      <c r="AK166">
        <v>0</v>
      </c>
      <c r="AL166">
        <v>0</v>
      </c>
    </row>
    <row r="167" spans="1:38" hidden="1" x14ac:dyDescent="0.2">
      <c r="A167" t="s">
        <v>376</v>
      </c>
      <c r="B167" t="s">
        <v>377</v>
      </c>
      <c r="C167" t="s">
        <v>377</v>
      </c>
      <c r="D167" t="s">
        <v>4</v>
      </c>
      <c r="E167">
        <v>0</v>
      </c>
      <c r="F167">
        <v>1</v>
      </c>
      <c r="G167">
        <v>0</v>
      </c>
      <c r="H167">
        <v>0</v>
      </c>
      <c r="I167" t="s">
        <v>30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4.4000000000000004</v>
      </c>
      <c r="AE167">
        <v>680</v>
      </c>
      <c r="AF167">
        <v>50.270270270270267</v>
      </c>
      <c r="AG167">
        <v>50.270270270270267</v>
      </c>
      <c r="AH167">
        <f>22.3423423423423*1</f>
        <v>22.342342342342299</v>
      </c>
      <c r="AI167">
        <f>0.900396850339409*1</f>
        <v>0.90039685033940897</v>
      </c>
      <c r="AJ167">
        <v>1</v>
      </c>
      <c r="AK167">
        <v>0</v>
      </c>
      <c r="AL167">
        <v>0</v>
      </c>
    </row>
    <row r="168" spans="1:38" hidden="1" x14ac:dyDescent="0.2">
      <c r="A168" t="s">
        <v>329</v>
      </c>
      <c r="B168" t="s">
        <v>378</v>
      </c>
      <c r="C168" t="s">
        <v>378</v>
      </c>
      <c r="D168" t="s">
        <v>4</v>
      </c>
      <c r="E168">
        <v>0</v>
      </c>
      <c r="F168">
        <v>1</v>
      </c>
      <c r="G168">
        <v>0</v>
      </c>
      <c r="H168">
        <v>0</v>
      </c>
      <c r="I168" t="s">
        <v>30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4.3</v>
      </c>
      <c r="AE168">
        <v>684</v>
      </c>
      <c r="AF168">
        <v>98.864864864864856</v>
      </c>
      <c r="AG168">
        <v>98.864864864864856</v>
      </c>
      <c r="AH168">
        <f>43.9399399399399*1</f>
        <v>43.939939939939897</v>
      </c>
      <c r="AI168">
        <f>1.36627281425347*1</f>
        <v>1.3662728142534699</v>
      </c>
      <c r="AJ168">
        <v>1</v>
      </c>
      <c r="AK168">
        <v>0</v>
      </c>
      <c r="AL168">
        <v>0</v>
      </c>
    </row>
    <row r="169" spans="1:38" hidden="1" x14ac:dyDescent="0.2">
      <c r="A169" t="s">
        <v>70</v>
      </c>
      <c r="B169" t="s">
        <v>379</v>
      </c>
      <c r="C169" t="s">
        <v>380</v>
      </c>
      <c r="D169" t="s">
        <v>5</v>
      </c>
      <c r="E169">
        <v>0</v>
      </c>
      <c r="F169">
        <v>0</v>
      </c>
      <c r="G169">
        <v>1</v>
      </c>
      <c r="H169">
        <v>0</v>
      </c>
      <c r="I169" t="s">
        <v>30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5.9</v>
      </c>
      <c r="AE169">
        <v>686</v>
      </c>
      <c r="AF169">
        <v>82.108108108108112</v>
      </c>
      <c r="AG169">
        <v>82.108108108108112</v>
      </c>
      <c r="AH169">
        <f>36.4924924924924*1</f>
        <v>36.492492492492403</v>
      </c>
      <c r="AI169">
        <f>1.39173367203543*1</f>
        <v>1.3917336720354301</v>
      </c>
      <c r="AJ169">
        <v>1</v>
      </c>
      <c r="AK169">
        <v>0</v>
      </c>
      <c r="AL169">
        <v>0</v>
      </c>
    </row>
    <row r="170" spans="1:38" hidden="1" x14ac:dyDescent="0.2">
      <c r="A170" t="s">
        <v>381</v>
      </c>
      <c r="B170" t="s">
        <v>382</v>
      </c>
      <c r="C170" t="s">
        <v>382</v>
      </c>
      <c r="D170" t="s">
        <v>5</v>
      </c>
      <c r="E170">
        <v>0</v>
      </c>
      <c r="F170">
        <v>0</v>
      </c>
      <c r="G170">
        <v>1</v>
      </c>
      <c r="H170">
        <v>0</v>
      </c>
      <c r="I170" t="s">
        <v>30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5.7</v>
      </c>
      <c r="AE170">
        <v>687</v>
      </c>
      <c r="AF170">
        <v>98.027027027027032</v>
      </c>
      <c r="AG170">
        <v>98.027027027027032</v>
      </c>
      <c r="AH170">
        <f>43.5675675675675*1</f>
        <v>43.567567567567501</v>
      </c>
      <c r="AI170">
        <f>1.55217649464554*1</f>
        <v>1.5521764946455401</v>
      </c>
      <c r="AJ170">
        <v>1</v>
      </c>
      <c r="AK170">
        <v>0</v>
      </c>
      <c r="AL170">
        <v>0</v>
      </c>
    </row>
    <row r="171" spans="1:38" hidden="1" x14ac:dyDescent="0.2">
      <c r="A171" t="s">
        <v>198</v>
      </c>
      <c r="B171" t="s">
        <v>383</v>
      </c>
      <c r="C171" t="s">
        <v>383</v>
      </c>
      <c r="D171" t="s">
        <v>5</v>
      </c>
      <c r="E171">
        <v>0</v>
      </c>
      <c r="F171">
        <v>0</v>
      </c>
      <c r="G171">
        <v>1</v>
      </c>
      <c r="H171">
        <v>0</v>
      </c>
      <c r="I171" t="s">
        <v>30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5.8</v>
      </c>
      <c r="AE171">
        <v>688</v>
      </c>
      <c r="AF171">
        <v>75.405405405405403</v>
      </c>
      <c r="AG171">
        <v>75.405405405405403</v>
      </c>
      <c r="AH171">
        <f>33.5135135135135*1</f>
        <v>33.513513513513502</v>
      </c>
      <c r="AI171">
        <f>1.59340891027553*1</f>
        <v>1.59340891027553</v>
      </c>
      <c r="AJ171">
        <v>1</v>
      </c>
      <c r="AK171">
        <v>0</v>
      </c>
      <c r="AL171">
        <v>0</v>
      </c>
    </row>
    <row r="172" spans="1:38" hidden="1" x14ac:dyDescent="0.2">
      <c r="A172" t="s">
        <v>384</v>
      </c>
      <c r="B172" t="s">
        <v>385</v>
      </c>
      <c r="C172" t="s">
        <v>386</v>
      </c>
      <c r="D172" t="s">
        <v>5</v>
      </c>
      <c r="E172">
        <v>0</v>
      </c>
      <c r="F172">
        <v>0</v>
      </c>
      <c r="G172">
        <v>1</v>
      </c>
      <c r="H172">
        <v>0</v>
      </c>
      <c r="I172" t="s">
        <v>30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4.9000000000000004</v>
      </c>
      <c r="AE172">
        <v>690</v>
      </c>
      <c r="AF172">
        <v>50.270270270270267</v>
      </c>
      <c r="AG172">
        <v>50.270270270270267</v>
      </c>
      <c r="AH172">
        <f>22.3423423423423*1</f>
        <v>22.342342342342299</v>
      </c>
      <c r="AI172">
        <f>0.737148466180364*1</f>
        <v>0.737148466180364</v>
      </c>
      <c r="AJ172">
        <v>1</v>
      </c>
      <c r="AK172">
        <v>0</v>
      </c>
      <c r="AL172">
        <v>0</v>
      </c>
    </row>
    <row r="173" spans="1:38" x14ac:dyDescent="0.2">
      <c r="A173" t="s">
        <v>181</v>
      </c>
      <c r="B173" t="s">
        <v>349</v>
      </c>
      <c r="C173" t="s">
        <v>349</v>
      </c>
      <c r="D173" t="s">
        <v>6</v>
      </c>
      <c r="E173">
        <v>0</v>
      </c>
      <c r="F173">
        <v>0</v>
      </c>
      <c r="G173">
        <v>0</v>
      </c>
      <c r="H173">
        <v>1</v>
      </c>
      <c r="I173" t="s">
        <v>27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7.3</v>
      </c>
      <c r="AE173">
        <v>578</v>
      </c>
      <c r="AF173">
        <v>161.70270270270271</v>
      </c>
      <c r="AG173">
        <v>161.70270270270271</v>
      </c>
      <c r="AH173">
        <f>71.8678678678678*0.75</f>
        <v>53.900900900900851</v>
      </c>
      <c r="AI173">
        <f>1.520116568106*0.75</f>
        <v>1.1400874260795</v>
      </c>
      <c r="AJ173">
        <v>0.75</v>
      </c>
      <c r="AK173">
        <v>1</v>
      </c>
      <c r="AL173">
        <v>1</v>
      </c>
    </row>
    <row r="174" spans="1:38" hidden="1" x14ac:dyDescent="0.2">
      <c r="A174" t="s">
        <v>389</v>
      </c>
      <c r="B174" t="s">
        <v>390</v>
      </c>
      <c r="C174" t="s">
        <v>390</v>
      </c>
      <c r="D174" t="s">
        <v>4</v>
      </c>
      <c r="E174">
        <v>0</v>
      </c>
      <c r="F174">
        <v>1</v>
      </c>
      <c r="G174">
        <v>0</v>
      </c>
      <c r="H174">
        <v>0</v>
      </c>
      <c r="I174" t="s">
        <v>30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4.4000000000000004</v>
      </c>
      <c r="AE174">
        <v>701</v>
      </c>
      <c r="AF174">
        <v>51.108108108108112</v>
      </c>
      <c r="AG174">
        <v>51.108108108108112</v>
      </c>
      <c r="AH174">
        <f>22.7147147147147*1</f>
        <v>22.714714714714699</v>
      </c>
      <c r="AI174">
        <f>1.10617474623559*1</f>
        <v>1.10617474623559</v>
      </c>
      <c r="AJ174">
        <v>1</v>
      </c>
      <c r="AK174">
        <v>0</v>
      </c>
      <c r="AL174">
        <v>0</v>
      </c>
    </row>
    <row r="175" spans="1:38" hidden="1" x14ac:dyDescent="0.2">
      <c r="A175" t="s">
        <v>391</v>
      </c>
      <c r="B175" t="s">
        <v>392</v>
      </c>
      <c r="C175" t="s">
        <v>393</v>
      </c>
      <c r="D175" t="s">
        <v>5</v>
      </c>
      <c r="E175">
        <v>0</v>
      </c>
      <c r="F175">
        <v>0</v>
      </c>
      <c r="G175">
        <v>1</v>
      </c>
      <c r="H175">
        <v>0</v>
      </c>
      <c r="I175" t="s">
        <v>30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5.5</v>
      </c>
      <c r="AE175">
        <v>704</v>
      </c>
      <c r="AF175">
        <v>84.621621621621628</v>
      </c>
      <c r="AG175">
        <v>84.621621621621628</v>
      </c>
      <c r="AH175">
        <f>37.6096096096096*1</f>
        <v>37.609609609609599</v>
      </c>
      <c r="AI175">
        <f>1.21746524399385*1</f>
        <v>1.21746524399385</v>
      </c>
      <c r="AJ175">
        <v>1</v>
      </c>
      <c r="AK175">
        <v>0</v>
      </c>
      <c r="AL175">
        <v>0</v>
      </c>
    </row>
    <row r="176" spans="1:38" hidden="1" x14ac:dyDescent="0.2">
      <c r="A176" t="s">
        <v>394</v>
      </c>
      <c r="B176" t="s">
        <v>395</v>
      </c>
      <c r="C176" t="s">
        <v>396</v>
      </c>
      <c r="D176" t="s">
        <v>3</v>
      </c>
      <c r="E176">
        <v>1</v>
      </c>
      <c r="F176">
        <v>0</v>
      </c>
      <c r="G176">
        <v>0</v>
      </c>
      <c r="H176">
        <v>0</v>
      </c>
      <c r="I176" t="s">
        <v>31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4.4000000000000004</v>
      </c>
      <c r="AE176">
        <v>708</v>
      </c>
      <c r="AF176">
        <v>92.162162162162161</v>
      </c>
      <c r="AG176">
        <v>92.162162162162161</v>
      </c>
      <c r="AH176">
        <f>40.9609609609609*1</f>
        <v>40.960960960960897</v>
      </c>
      <c r="AI176">
        <f>1.65293293929209*1</f>
        <v>1.65293293929209</v>
      </c>
      <c r="AJ176">
        <v>1</v>
      </c>
      <c r="AK176">
        <v>0</v>
      </c>
      <c r="AL176">
        <v>0</v>
      </c>
    </row>
    <row r="177" spans="1:38" hidden="1" x14ac:dyDescent="0.2">
      <c r="A177" t="s">
        <v>397</v>
      </c>
      <c r="B177" t="s">
        <v>398</v>
      </c>
      <c r="C177" t="s">
        <v>398</v>
      </c>
      <c r="D177" t="s">
        <v>4</v>
      </c>
      <c r="E177">
        <v>0</v>
      </c>
      <c r="F177">
        <v>1</v>
      </c>
      <c r="G177">
        <v>0</v>
      </c>
      <c r="H177">
        <v>0</v>
      </c>
      <c r="I177" t="s">
        <v>31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4.4000000000000004</v>
      </c>
      <c r="AE177">
        <v>711</v>
      </c>
      <c r="AF177">
        <v>66.189189189189193</v>
      </c>
      <c r="AG177">
        <v>66.189189189189193</v>
      </c>
      <c r="AH177">
        <f>29.4174174174174*1</f>
        <v>29.417417417417401</v>
      </c>
      <c r="AI177">
        <f>0.841172741131222*1</f>
        <v>0.84117274113122198</v>
      </c>
      <c r="AJ177">
        <v>1</v>
      </c>
      <c r="AK177">
        <v>0</v>
      </c>
      <c r="AL177">
        <v>0</v>
      </c>
    </row>
    <row r="178" spans="1:38" hidden="1" x14ac:dyDescent="0.2">
      <c r="A178" t="s">
        <v>399</v>
      </c>
      <c r="B178" t="s">
        <v>400</v>
      </c>
      <c r="C178" t="s">
        <v>401</v>
      </c>
      <c r="D178" t="s">
        <v>5</v>
      </c>
      <c r="E178">
        <v>0</v>
      </c>
      <c r="F178">
        <v>0</v>
      </c>
      <c r="G178">
        <v>1</v>
      </c>
      <c r="H178">
        <v>0</v>
      </c>
      <c r="I178" t="s">
        <v>31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5.9</v>
      </c>
      <c r="AE178">
        <v>721</v>
      </c>
      <c r="AF178">
        <v>79.594594594594597</v>
      </c>
      <c r="AG178">
        <v>79.594594594594597</v>
      </c>
      <c r="AH178">
        <f>35.3753753753753*1</f>
        <v>35.375375375375299</v>
      </c>
      <c r="AI178">
        <f>1.01053485727892*1</f>
        <v>1.0105348572789199</v>
      </c>
      <c r="AJ178">
        <v>1</v>
      </c>
      <c r="AK178">
        <v>0</v>
      </c>
      <c r="AL178">
        <v>0</v>
      </c>
    </row>
    <row r="179" spans="1:38" hidden="1" x14ac:dyDescent="0.2">
      <c r="A179" t="s">
        <v>402</v>
      </c>
      <c r="B179" t="s">
        <v>403</v>
      </c>
      <c r="C179" t="s">
        <v>403</v>
      </c>
      <c r="D179" t="s">
        <v>5</v>
      </c>
      <c r="E179">
        <v>0</v>
      </c>
      <c r="F179">
        <v>0</v>
      </c>
      <c r="G179">
        <v>1</v>
      </c>
      <c r="H179">
        <v>0</v>
      </c>
      <c r="I179" t="s">
        <v>31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5.3</v>
      </c>
      <c r="AE179">
        <v>723</v>
      </c>
      <c r="AF179">
        <v>69.540540540540547</v>
      </c>
      <c r="AG179">
        <v>69.540540540540547</v>
      </c>
      <c r="AH179">
        <f>30.9069069069069*1</f>
        <v>30.906906906906901</v>
      </c>
      <c r="AI179">
        <f>1.02970220568472*1</f>
        <v>1.02970220568472</v>
      </c>
      <c r="AJ179">
        <v>1</v>
      </c>
      <c r="AK179">
        <v>0</v>
      </c>
      <c r="AL179">
        <v>0</v>
      </c>
    </row>
    <row r="180" spans="1:38" hidden="1" x14ac:dyDescent="0.2">
      <c r="A180" t="s">
        <v>404</v>
      </c>
      <c r="B180" t="s">
        <v>405</v>
      </c>
      <c r="C180" t="s">
        <v>406</v>
      </c>
      <c r="D180" t="s">
        <v>5</v>
      </c>
      <c r="E180">
        <v>0</v>
      </c>
      <c r="F180">
        <v>0</v>
      </c>
      <c r="G180">
        <v>1</v>
      </c>
      <c r="H180">
        <v>0</v>
      </c>
      <c r="I180" t="s">
        <v>31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5.4</v>
      </c>
      <c r="AE180">
        <v>725</v>
      </c>
      <c r="AF180">
        <v>81.27027027027026</v>
      </c>
      <c r="AG180">
        <v>81.27027027027026</v>
      </c>
      <c r="AH180">
        <f>36.1201201201201*1</f>
        <v>36.120120120120099</v>
      </c>
      <c r="AI180">
        <f>0.901372145827613*1</f>
        <v>0.90137214582761305</v>
      </c>
      <c r="AJ180">
        <v>1</v>
      </c>
      <c r="AK180">
        <v>0</v>
      </c>
      <c r="AL180">
        <v>0</v>
      </c>
    </row>
    <row r="181" spans="1:38" hidden="1" x14ac:dyDescent="0.2">
      <c r="A181" t="s">
        <v>407</v>
      </c>
      <c r="B181" t="s">
        <v>408</v>
      </c>
      <c r="C181" t="s">
        <v>409</v>
      </c>
      <c r="D181" t="s">
        <v>5</v>
      </c>
      <c r="E181">
        <v>0</v>
      </c>
      <c r="F181">
        <v>0</v>
      </c>
      <c r="G181">
        <v>1</v>
      </c>
      <c r="H181">
        <v>0</v>
      </c>
      <c r="I181" t="s">
        <v>31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5.5</v>
      </c>
      <c r="AE181">
        <v>726</v>
      </c>
      <c r="AF181">
        <v>65.35135135135134</v>
      </c>
      <c r="AG181">
        <v>65.35135135135134</v>
      </c>
      <c r="AH181">
        <f>29.045045045045*1</f>
        <v>29.045045045045001</v>
      </c>
      <c r="AI181">
        <f>0.936614959316996*1</f>
        <v>0.93661495931699601</v>
      </c>
      <c r="AJ181">
        <v>1</v>
      </c>
      <c r="AK181">
        <v>0</v>
      </c>
      <c r="AL181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2025-10-17T13:26:41Z</dcterms:created>
  <dcterms:modified xsi:type="dcterms:W3CDTF">2025-10-17T13:28:20Z</dcterms:modified>
</cp:coreProperties>
</file>