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B759DD9F-0027-CA40-A894-577E37F248FA}" xr6:coauthVersionLast="47" xr6:coauthVersionMax="47" xr10:uidLastSave="{00000000-0000-0000-0000-000000000000}"/>
  <bookViews>
    <workbookView xWindow="240" yWindow="760" windowWidth="25320" windowHeight="18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51" i="1" l="1"/>
  <c r="AI151" i="1"/>
  <c r="AJ150" i="1"/>
  <c r="AI150" i="1"/>
  <c r="AJ149" i="1"/>
  <c r="AI149" i="1"/>
  <c r="AJ148" i="1"/>
  <c r="AI148" i="1"/>
  <c r="AJ147" i="1"/>
  <c r="AI147" i="1"/>
  <c r="AJ137" i="1"/>
  <c r="AI137" i="1"/>
  <c r="AJ145" i="1"/>
  <c r="AI145" i="1"/>
  <c r="AJ144" i="1"/>
  <c r="AI144" i="1"/>
  <c r="AJ143" i="1"/>
  <c r="AI143" i="1"/>
  <c r="AJ142" i="1"/>
  <c r="AI142" i="1"/>
  <c r="AJ141" i="1"/>
  <c r="AI141" i="1"/>
  <c r="AJ140" i="1"/>
  <c r="AI140" i="1"/>
  <c r="AJ139" i="1"/>
  <c r="AI139" i="1"/>
  <c r="AJ138" i="1"/>
  <c r="AI138" i="1"/>
  <c r="AJ88" i="1"/>
  <c r="AI88" i="1"/>
  <c r="AJ136" i="1"/>
  <c r="AI136" i="1"/>
  <c r="AJ135" i="1"/>
  <c r="AI135" i="1"/>
  <c r="AJ134" i="1"/>
  <c r="AI134" i="1"/>
  <c r="AJ133" i="1"/>
  <c r="AI133" i="1"/>
  <c r="AJ132" i="1"/>
  <c r="AI132" i="1"/>
  <c r="AJ131" i="1"/>
  <c r="AI131" i="1"/>
  <c r="AJ130" i="1"/>
  <c r="AI130" i="1"/>
  <c r="AJ129" i="1"/>
  <c r="AI129" i="1"/>
  <c r="AJ128" i="1"/>
  <c r="AI128" i="1"/>
  <c r="AJ127" i="1"/>
  <c r="AI127" i="1"/>
  <c r="AJ126" i="1"/>
  <c r="AI126" i="1"/>
  <c r="AJ125" i="1"/>
  <c r="AI125" i="1"/>
  <c r="AJ124" i="1"/>
  <c r="AI124" i="1"/>
  <c r="AJ123" i="1"/>
  <c r="AI123" i="1"/>
  <c r="AJ146" i="1"/>
  <c r="AI146" i="1"/>
  <c r="AJ121" i="1"/>
  <c r="AI121" i="1"/>
  <c r="AJ120" i="1"/>
  <c r="AI120" i="1"/>
  <c r="AJ119" i="1"/>
  <c r="AI119" i="1"/>
  <c r="AJ118" i="1"/>
  <c r="AI118" i="1"/>
  <c r="AJ117" i="1"/>
  <c r="AI117" i="1"/>
  <c r="AJ116" i="1"/>
  <c r="AI116" i="1"/>
  <c r="AJ122" i="1"/>
  <c r="AI122" i="1"/>
  <c r="AJ114" i="1"/>
  <c r="AI114" i="1"/>
  <c r="AJ113" i="1"/>
  <c r="AI113" i="1"/>
  <c r="AJ36" i="1"/>
  <c r="AI36" i="1"/>
  <c r="AJ57" i="1"/>
  <c r="AI57" i="1"/>
  <c r="AJ63" i="1"/>
  <c r="AI63" i="1"/>
  <c r="AJ109" i="1"/>
  <c r="AI109" i="1"/>
  <c r="AJ108" i="1"/>
  <c r="AI108" i="1"/>
  <c r="AJ107" i="1"/>
  <c r="AI107" i="1"/>
  <c r="AJ106" i="1"/>
  <c r="AI106" i="1"/>
  <c r="AJ105" i="1"/>
  <c r="AI105" i="1"/>
  <c r="AJ104" i="1"/>
  <c r="AI104" i="1"/>
  <c r="AJ103" i="1"/>
  <c r="AI103" i="1"/>
  <c r="AJ102" i="1"/>
  <c r="AI102" i="1"/>
  <c r="AJ101" i="1"/>
  <c r="AI101" i="1"/>
  <c r="AJ100" i="1"/>
  <c r="AI100" i="1"/>
  <c r="AJ64" i="1"/>
  <c r="AI64" i="1"/>
  <c r="AJ98" i="1"/>
  <c r="AI98" i="1"/>
  <c r="AJ97" i="1"/>
  <c r="AI97" i="1"/>
  <c r="AJ96" i="1"/>
  <c r="AI96" i="1"/>
  <c r="AJ95" i="1"/>
  <c r="AI95" i="1"/>
  <c r="AJ94" i="1"/>
  <c r="AI94" i="1"/>
  <c r="AJ93" i="1"/>
  <c r="AI93" i="1"/>
  <c r="AJ92" i="1"/>
  <c r="AI92" i="1"/>
  <c r="AJ91" i="1"/>
  <c r="AI91" i="1"/>
  <c r="AJ90" i="1"/>
  <c r="AI90" i="1"/>
  <c r="AJ89" i="1"/>
  <c r="AI89" i="1"/>
  <c r="AJ22" i="1"/>
  <c r="AI22" i="1"/>
  <c r="AJ87" i="1"/>
  <c r="AI87" i="1"/>
  <c r="AJ86" i="1"/>
  <c r="AI86" i="1"/>
  <c r="AJ85" i="1"/>
  <c r="AI85" i="1"/>
  <c r="AJ84" i="1"/>
  <c r="AI84" i="1"/>
  <c r="AJ83" i="1"/>
  <c r="AI83" i="1"/>
  <c r="AJ82" i="1"/>
  <c r="AI82" i="1"/>
  <c r="AJ81" i="1"/>
  <c r="AI81" i="1"/>
  <c r="AJ80" i="1"/>
  <c r="AI80" i="1"/>
  <c r="AJ79" i="1"/>
  <c r="AI79" i="1"/>
  <c r="AJ78" i="1"/>
  <c r="AI78" i="1"/>
  <c r="AJ77" i="1"/>
  <c r="AI77" i="1"/>
  <c r="AJ76" i="1"/>
  <c r="AI76" i="1"/>
  <c r="AJ75" i="1"/>
  <c r="AI75" i="1"/>
  <c r="AJ74" i="1"/>
  <c r="AI74" i="1"/>
  <c r="AJ73" i="1"/>
  <c r="AI73" i="1"/>
  <c r="AJ72" i="1"/>
  <c r="AI72" i="1"/>
  <c r="AJ71" i="1"/>
  <c r="AI71" i="1"/>
  <c r="AJ70" i="1"/>
  <c r="AI70" i="1"/>
  <c r="AJ69" i="1"/>
  <c r="AI69" i="1"/>
  <c r="AJ68" i="1"/>
  <c r="AI68" i="1"/>
  <c r="AJ67" i="1"/>
  <c r="AI67" i="1"/>
  <c r="AJ66" i="1"/>
  <c r="AI66" i="1"/>
  <c r="AJ111" i="1"/>
  <c r="AI111" i="1"/>
  <c r="AJ112" i="1"/>
  <c r="AI112" i="1"/>
  <c r="AJ65" i="1"/>
  <c r="AI65" i="1"/>
  <c r="AJ62" i="1"/>
  <c r="AI62" i="1"/>
  <c r="AJ61" i="1"/>
  <c r="AI61" i="1"/>
  <c r="AJ60" i="1"/>
  <c r="AI60" i="1"/>
  <c r="AJ59" i="1"/>
  <c r="AI59" i="1"/>
  <c r="AJ58" i="1"/>
  <c r="AI58" i="1"/>
  <c r="AJ99" i="1"/>
  <c r="AI99" i="1"/>
  <c r="AJ56" i="1"/>
  <c r="AI56" i="1"/>
  <c r="AJ55" i="1"/>
  <c r="AI55" i="1"/>
  <c r="AJ54" i="1"/>
  <c r="AI54" i="1"/>
  <c r="AJ53" i="1"/>
  <c r="AI53" i="1"/>
  <c r="AJ52" i="1"/>
  <c r="AI52" i="1"/>
  <c r="AJ51" i="1"/>
  <c r="AI51" i="1"/>
  <c r="AJ50" i="1"/>
  <c r="AI50" i="1"/>
  <c r="AJ49" i="1"/>
  <c r="AI49" i="1"/>
  <c r="AJ48" i="1"/>
  <c r="AI48" i="1"/>
  <c r="AJ47" i="1"/>
  <c r="AI47" i="1"/>
  <c r="AJ46" i="1"/>
  <c r="AI46" i="1"/>
  <c r="AJ45" i="1"/>
  <c r="AI45" i="1"/>
  <c r="AJ44" i="1"/>
  <c r="AI44" i="1"/>
  <c r="AJ43" i="1"/>
  <c r="AI43" i="1"/>
  <c r="AJ42" i="1"/>
  <c r="AI42" i="1"/>
  <c r="AJ41" i="1"/>
  <c r="AI41" i="1"/>
  <c r="AJ40" i="1"/>
  <c r="AI40" i="1"/>
  <c r="AJ39" i="1"/>
  <c r="AI39" i="1"/>
  <c r="AP38" i="1"/>
  <c r="AJ38" i="1"/>
  <c r="AI38" i="1"/>
  <c r="AP37" i="1"/>
  <c r="AJ37" i="1"/>
  <c r="AI37" i="1"/>
  <c r="AP36" i="1"/>
  <c r="AJ110" i="1"/>
  <c r="AI110" i="1"/>
  <c r="AP35" i="1"/>
  <c r="AJ35" i="1"/>
  <c r="AI35" i="1"/>
  <c r="AP34" i="1"/>
  <c r="AJ34" i="1"/>
  <c r="AI34" i="1"/>
  <c r="AP33" i="1"/>
  <c r="AJ33" i="1"/>
  <c r="AI33" i="1"/>
  <c r="AP32" i="1"/>
  <c r="AJ32" i="1"/>
  <c r="AI32" i="1"/>
  <c r="AP31" i="1"/>
  <c r="AJ31" i="1"/>
  <c r="AI31" i="1"/>
  <c r="AP30" i="1"/>
  <c r="AJ30" i="1"/>
  <c r="AI30" i="1"/>
  <c r="AP29" i="1"/>
  <c r="AJ29" i="1"/>
  <c r="AI29" i="1"/>
  <c r="AP28" i="1"/>
  <c r="AJ28" i="1"/>
  <c r="AI28" i="1"/>
  <c r="AP27" i="1"/>
  <c r="AJ27" i="1"/>
  <c r="AI27" i="1"/>
  <c r="AP26" i="1"/>
  <c r="AJ26" i="1"/>
  <c r="AI26" i="1"/>
  <c r="AP25" i="1"/>
  <c r="AJ25" i="1"/>
  <c r="AI25" i="1"/>
  <c r="AP24" i="1"/>
  <c r="AJ24" i="1"/>
  <c r="AI24" i="1"/>
  <c r="AP23" i="1"/>
  <c r="AJ23" i="1"/>
  <c r="AI23" i="1"/>
  <c r="AP22" i="1"/>
  <c r="AJ115" i="1"/>
  <c r="AI115" i="1"/>
  <c r="AP21" i="1"/>
  <c r="AJ21" i="1"/>
  <c r="AI21" i="1"/>
  <c r="AP20" i="1"/>
  <c r="AJ20" i="1"/>
  <c r="AI20" i="1"/>
  <c r="AP19" i="1"/>
  <c r="AJ19" i="1"/>
  <c r="AI19" i="1"/>
  <c r="AJ18" i="1"/>
  <c r="AI18" i="1"/>
  <c r="AJ17" i="1"/>
  <c r="AI17" i="1"/>
  <c r="AJ16" i="1"/>
  <c r="AI16" i="1"/>
  <c r="AJ15" i="1"/>
  <c r="AI15" i="1"/>
  <c r="AJ14" i="1"/>
  <c r="AI14" i="1"/>
  <c r="AJ13" i="1"/>
  <c r="AI13" i="1"/>
  <c r="AP12" i="1"/>
  <c r="AP15" i="1" s="1"/>
  <c r="AP17" i="1" s="1"/>
  <c r="AJ12" i="1"/>
  <c r="AI12" i="1"/>
  <c r="AJ11" i="1"/>
  <c r="AI11" i="1"/>
  <c r="AQ10" i="1"/>
  <c r="AJ10" i="1"/>
  <c r="AI10" i="1"/>
  <c r="AQ9" i="1"/>
  <c r="AJ9" i="1"/>
  <c r="AI9" i="1"/>
  <c r="AQ8" i="1"/>
  <c r="AJ8" i="1"/>
  <c r="AI8" i="1"/>
  <c r="AQ7" i="1"/>
  <c r="AJ7" i="1"/>
  <c r="AI7" i="1"/>
  <c r="AQ6" i="1"/>
  <c r="AJ6" i="1"/>
  <c r="AI6" i="1"/>
  <c r="AJ5" i="1"/>
  <c r="AI5" i="1"/>
  <c r="AP4" i="1"/>
  <c r="AJ4" i="1"/>
  <c r="AI4" i="1"/>
  <c r="AJ3" i="1"/>
  <c r="AI3" i="1"/>
  <c r="AJ2" i="1"/>
  <c r="AI2" i="1"/>
  <c r="AP2" i="1" s="1"/>
</calcChain>
</file>

<file path=xl/sharedStrings.xml><?xml version="1.0" encoding="utf-8"?>
<sst xmlns="http://schemas.openxmlformats.org/spreadsheetml/2006/main" count="821" uniqueCount="370">
  <si>
    <t>Total Points</t>
  </si>
  <si>
    <t>MAX</t>
  </si>
  <si>
    <t>Total Cost</t>
  </si>
  <si>
    <t>GKP</t>
  </si>
  <si>
    <t>DEF</t>
  </si>
  <si>
    <t>MID</t>
  </si>
  <si>
    <t>FWD</t>
  </si>
  <si>
    <t>TOTAL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</si>
  <si>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</si>
  <si>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</si>
  <si>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</si>
  <si>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</si>
  <si>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</si>
  <si>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</si>
  <si>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</si>
  <si>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</si>
  <si>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</si>
  <si>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</si>
  <si>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</si>
  <si>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</si>
  <si>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</si>
  <si>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</si>
  <si>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</si>
  <si>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</si>
  <si>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</si>
  <si>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</si>
  <si>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</si>
  <si>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</si>
  <si>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</si>
  <si>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</si>
  <si>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</si>
  <si>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</si>
  <si>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</si>
  <si>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</si>
  <si>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</si>
  <si>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</si>
  <si>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</si>
  <si>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</si>
  <si>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</si>
  <si>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</si>
  <si>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FOREST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</si>
  <si>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</si>
  <si>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</si>
  <si>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</si>
  <si>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</si>
  <si>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</si>
  <si>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</si>
  <si>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</si>
  <si>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</si>
  <si>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</si>
  <si>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Jurriën</t>
  </si>
  <si>
    <t>Timber</t>
  </si>
  <si>
    <t>J.Timber</t>
  </si>
  <si>
    <t>Martinelli Silva</t>
  </si>
  <si>
    <t>Martinelli</t>
  </si>
  <si>
    <t>David</t>
  </si>
  <si>
    <t>Raya Martin</t>
  </si>
  <si>
    <t>Raya</t>
  </si>
  <si>
    <t>Declan</t>
  </si>
  <si>
    <t>Rice</t>
  </si>
  <si>
    <t>Bukayo</t>
  </si>
  <si>
    <t>Saka</t>
  </si>
  <si>
    <t>William</t>
  </si>
  <si>
    <t>Saliba</t>
  </si>
  <si>
    <t>Thomas</t>
  </si>
  <si>
    <t>Partey</t>
  </si>
  <si>
    <t>Leandro</t>
  </si>
  <si>
    <t>Trossard</t>
  </si>
  <si>
    <t>Ross</t>
  </si>
  <si>
    <t>Barkley</t>
  </si>
  <si>
    <t>Jhon</t>
  </si>
  <si>
    <t>Durán</t>
  </si>
  <si>
    <t>Duran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</si>
  <si>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</si>
  <si>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</si>
  <si>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</si>
  <si>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</si>
  <si>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</si>
  <si>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</si>
  <si>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</si>
  <si>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</si>
  <si>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Morgan</t>
  </si>
  <si>
    <t>Rogers</t>
  </si>
  <si>
    <t>Youri</t>
  </si>
  <si>
    <t>Tielemans</t>
  </si>
  <si>
    <t>Ollie</t>
  </si>
  <si>
    <t>Watkins</t>
  </si>
  <si>
    <t>Ryan</t>
  </si>
  <si>
    <t>Christie</t>
  </si>
  <si>
    <t>Enes</t>
  </si>
  <si>
    <t>Ünal</t>
  </si>
  <si>
    <t>Enes Ünal</t>
  </si>
  <si>
    <t>Milos</t>
  </si>
  <si>
    <t>Kerkez</t>
  </si>
  <si>
    <t>Justin</t>
  </si>
  <si>
    <t>Kluivert</t>
  </si>
  <si>
    <t>Dango</t>
  </si>
  <si>
    <t>Ouattara</t>
  </si>
  <si>
    <t>O.Dango</t>
  </si>
  <si>
    <t>Antoine</t>
  </si>
  <si>
    <t>Semenyo</t>
  </si>
  <si>
    <t>Adam</t>
  </si>
  <si>
    <t>Smith</t>
  </si>
  <si>
    <t>Marcus</t>
  </si>
  <si>
    <t>Tavernier</t>
  </si>
  <si>
    <t>Illia</t>
  </si>
  <si>
    <t>Zabarnyi</t>
  </si>
  <si>
    <t>Francisco Evanilson</t>
  </si>
  <si>
    <t>de Lima Barbosa</t>
  </si>
  <si>
    <t>Evanilson</t>
  </si>
  <si>
    <t>Nathan</t>
  </si>
  <si>
    <t>Collins</t>
  </si>
  <si>
    <t>Mikkel</t>
  </si>
  <si>
    <t>Damsgaard</t>
  </si>
  <si>
    <t>Mark</t>
  </si>
  <si>
    <t>Flekken</t>
  </si>
  <si>
    <t>Bryan</t>
  </si>
  <si>
    <t>Mbeumo</t>
  </si>
  <si>
    <t>Ethan</t>
  </si>
  <si>
    <t>Pinnock</t>
  </si>
  <si>
    <t>Kevin</t>
  </si>
  <si>
    <t>Schade</t>
  </si>
  <si>
    <t>Yoane</t>
  </si>
  <si>
    <t>Wissa</t>
  </si>
  <si>
    <t>Carlos</t>
  </si>
  <si>
    <t>Baleba</t>
  </si>
  <si>
    <t>Mitoma</t>
  </si>
  <si>
    <t>Kaoru</t>
  </si>
  <si>
    <t>Danny</t>
  </si>
  <si>
    <t>Welbeck</t>
  </si>
  <si>
    <t>Mats</t>
  </si>
  <si>
    <t>Wieffer</t>
  </si>
  <si>
    <t>Moisés</t>
  </si>
  <si>
    <t>Caicedo Corozo</t>
  </si>
  <si>
    <t>Caicedo</t>
  </si>
  <si>
    <t>Levi</t>
  </si>
  <si>
    <t>Colwill</t>
  </si>
  <si>
    <t>Marc</t>
  </si>
  <si>
    <t>Cucurella Saseta</t>
  </si>
  <si>
    <t>Cucurella</t>
  </si>
  <si>
    <t>Enzo</t>
  </si>
  <si>
    <t>Fernández</t>
  </si>
  <si>
    <t>Noni</t>
  </si>
  <si>
    <t>Madueke</t>
  </si>
  <si>
    <t>Nicolas</t>
  </si>
  <si>
    <t>Jackson</t>
  </si>
  <si>
    <t>N.Jackson</t>
  </si>
  <si>
    <t>Christopher</t>
  </si>
  <si>
    <t>Nkunku</t>
  </si>
  <si>
    <t>Cole</t>
  </si>
  <si>
    <t>Palmer</t>
  </si>
  <si>
    <t>Robert</t>
  </si>
  <si>
    <t>Sánchez</t>
  </si>
  <si>
    <t>Pedro</t>
  </si>
  <si>
    <t>Lomba Neto</t>
  </si>
  <si>
    <t>Neto</t>
  </si>
  <si>
    <t>Eberechi</t>
  </si>
  <si>
    <t>Eze</t>
  </si>
  <si>
    <t>Dean</t>
  </si>
  <si>
    <t>Henderson</t>
  </si>
  <si>
    <t>Will</t>
  </si>
  <si>
    <t>Hughes</t>
  </si>
  <si>
    <t>Jean-Philippe</t>
  </si>
  <si>
    <t>Mateta</t>
  </si>
  <si>
    <t>Tyrick</t>
  </si>
  <si>
    <t>Mitchell</t>
  </si>
  <si>
    <t>Daniel</t>
  </si>
  <si>
    <t>Muñoz</t>
  </si>
  <si>
    <t>Ismaïla</t>
  </si>
  <si>
    <t>Sarr</t>
  </si>
  <si>
    <t>I.Sarr</t>
  </si>
  <si>
    <t>Maxence</t>
  </si>
  <si>
    <t>Lacroix</t>
  </si>
  <si>
    <t>Abdoulaye</t>
  </si>
  <si>
    <t>Doucouré</t>
  </si>
  <si>
    <t>A.Doucoure</t>
  </si>
  <si>
    <t>Dominic</t>
  </si>
  <si>
    <t>Calvert-Lewin</t>
  </si>
  <si>
    <t>Idrissa</t>
  </si>
  <si>
    <t>Gueye</t>
  </si>
  <si>
    <t>Gana</t>
  </si>
  <si>
    <t>Dwight</t>
  </si>
  <si>
    <t>McNeil</t>
  </si>
  <si>
    <t>Vitalii</t>
  </si>
  <si>
    <t>Mykolenko</t>
  </si>
  <si>
    <t>Jordan</t>
  </si>
  <si>
    <t>Pickford</t>
  </si>
  <si>
    <t>James</t>
  </si>
  <si>
    <t>Tarkowski</t>
  </si>
  <si>
    <t>Ashley</t>
  </si>
  <si>
    <t>Young</t>
  </si>
  <si>
    <t>Orel</t>
  </si>
  <si>
    <t>Mangala</t>
  </si>
  <si>
    <t>Andreas</t>
  </si>
  <si>
    <t>Hoelgebaum Pereira</t>
  </si>
  <si>
    <t>Calvin</t>
  </si>
  <si>
    <t>Bassey</t>
  </si>
  <si>
    <t>Alex</t>
  </si>
  <si>
    <t>Iwobi</t>
  </si>
  <si>
    <t>Bernd</t>
  </si>
  <si>
    <t>Leno</t>
  </si>
  <si>
    <t>Rodrigo</t>
  </si>
  <si>
    <t>Muniz Carvalho</t>
  </si>
  <si>
    <t>Muniz</t>
  </si>
  <si>
    <t>Raúl</t>
  </si>
  <si>
    <t>Jiménez</t>
  </si>
  <si>
    <t>Antonee</t>
  </si>
  <si>
    <t>Robinson</t>
  </si>
  <si>
    <t>Kenny</t>
  </si>
  <si>
    <t>Tete</t>
  </si>
  <si>
    <t>Conor</t>
  </si>
  <si>
    <t>Chaplin</t>
  </si>
  <si>
    <t>Arijanet</t>
  </si>
  <si>
    <t>Muric</t>
  </si>
  <si>
    <t>Sam</t>
  </si>
  <si>
    <t>Szmodics</t>
  </si>
  <si>
    <t>Facundo</t>
  </si>
  <si>
    <t>Buonanotte</t>
  </si>
  <si>
    <t>Ayew</t>
  </si>
  <si>
    <t>J.Ayew</t>
  </si>
  <si>
    <t>Mads</t>
  </si>
  <si>
    <t>Hermansen</t>
  </si>
  <si>
    <t>Jamie</t>
  </si>
  <si>
    <t>Vardy</t>
  </si>
  <si>
    <t>Trent</t>
  </si>
  <si>
    <t>Alexander-Arnold</t>
  </si>
  <si>
    <t>Cody</t>
  </si>
  <si>
    <t>Gakpo</t>
  </si>
  <si>
    <t>Gravenberch</t>
  </si>
  <si>
    <t>Curtis</t>
  </si>
  <si>
    <t>Jones</t>
  </si>
  <si>
    <t>Luis</t>
  </si>
  <si>
    <t>Díaz</t>
  </si>
  <si>
    <t>Luis Díaz</t>
  </si>
  <si>
    <t>Mohamed</t>
  </si>
  <si>
    <t>Salah</t>
  </si>
  <si>
    <t>M.Salah</t>
  </si>
  <si>
    <t>Alexis</t>
  </si>
  <si>
    <t>Mac Allister</t>
  </si>
  <si>
    <t>Dominik</t>
  </si>
  <si>
    <t>Szoboszlai</t>
  </si>
  <si>
    <t>Virgil</t>
  </si>
  <si>
    <t>van Dijk</t>
  </si>
  <si>
    <t>Bernardo</t>
  </si>
  <si>
    <t>Veiga de Carvalho e Silva</t>
  </si>
  <si>
    <t>Jérémy</t>
  </si>
  <si>
    <t>Doku</t>
  </si>
  <si>
    <t>Ederson</t>
  </si>
  <si>
    <t>Santana de Moraes</t>
  </si>
  <si>
    <t>Ederson M.</t>
  </si>
  <si>
    <t>Joško</t>
  </si>
  <si>
    <t>Gvardiol</t>
  </si>
  <si>
    <t>Erling</t>
  </si>
  <si>
    <t>Haaland</t>
  </si>
  <si>
    <t>Mateo</t>
  </si>
  <si>
    <t>Kovačić</t>
  </si>
  <si>
    <t>Rúben</t>
  </si>
  <si>
    <t>Gato Alves Dias</t>
  </si>
  <si>
    <t>Amad</t>
  </si>
  <si>
    <t>Diallo</t>
  </si>
  <si>
    <t>Bruno</t>
  </si>
  <si>
    <t>Borges Fernandes</t>
  </si>
  <si>
    <t>B.Fernandes</t>
  </si>
  <si>
    <t>Diogo</t>
  </si>
  <si>
    <t>Dalot Teixeira</t>
  </si>
  <si>
    <t>Dalot</t>
  </si>
  <si>
    <t>Lisandro</t>
  </si>
  <si>
    <t>Martínez</t>
  </si>
  <si>
    <t>André</t>
  </si>
  <si>
    <t>Onana</t>
  </si>
  <si>
    <t>Rashford</t>
  </si>
  <si>
    <t>Joshua</t>
  </si>
  <si>
    <t>Zirkzee</t>
  </si>
  <si>
    <t>Harvey</t>
  </si>
  <si>
    <t>Barnes</t>
  </si>
  <si>
    <t>Guimarães Rodriguez Moura</t>
  </si>
  <si>
    <t>Bruno G.</t>
  </si>
  <si>
    <t>Dan</t>
  </si>
  <si>
    <t>Burn</t>
  </si>
  <si>
    <t>Anthony</t>
  </si>
  <si>
    <t>Gordon</t>
  </si>
  <si>
    <t>Lewis</t>
  </si>
  <si>
    <t>Hall</t>
  </si>
  <si>
    <t>Alexander</t>
  </si>
  <si>
    <t>Isak</t>
  </si>
  <si>
    <t>Jacob</t>
  </si>
  <si>
    <t>Murphy</t>
  </si>
  <si>
    <t>J.Murphy</t>
  </si>
  <si>
    <t>Tino</t>
  </si>
  <si>
    <t>Livramento</t>
  </si>
  <si>
    <t>Fabian</t>
  </si>
  <si>
    <t>Schär</t>
  </si>
  <si>
    <t>Ola</t>
  </si>
  <si>
    <t>Aina</t>
  </si>
  <si>
    <t>Elliot</t>
  </si>
  <si>
    <t>Anderson</t>
  </si>
  <si>
    <t>Elanga</t>
  </si>
  <si>
    <t>Gibbs-White</t>
  </si>
  <si>
    <t>Callum</t>
  </si>
  <si>
    <t>Hudson-Odoi</t>
  </si>
  <si>
    <t>Murillo</t>
  </si>
  <si>
    <t>Santiago Costa dos Santos</t>
  </si>
  <si>
    <t>Neco</t>
  </si>
  <si>
    <t>Williams</t>
  </si>
  <si>
    <t>N.Williams</t>
  </si>
  <si>
    <t>Matz</t>
  </si>
  <si>
    <t>Sels</t>
  </si>
  <si>
    <t>Chris</t>
  </si>
  <si>
    <t>Wood</t>
  </si>
  <si>
    <t>Nikola</t>
  </si>
  <si>
    <t>Milenković</t>
  </si>
  <si>
    <t>Joe</t>
  </si>
  <si>
    <t>Aribo</t>
  </si>
  <si>
    <t>Armstrong</t>
  </si>
  <si>
    <t>Taylor</t>
  </si>
  <si>
    <t>Harwood-Bellis</t>
  </si>
  <si>
    <t>Kyle</t>
  </si>
  <si>
    <t>Walker-Peters</t>
  </si>
  <si>
    <t>Flynn</t>
  </si>
  <si>
    <t>Downes</t>
  </si>
  <si>
    <t>Mateus Gonçalo</t>
  </si>
  <si>
    <t>Espanha Fernandes</t>
  </si>
  <si>
    <t>M.Fernandes</t>
  </si>
  <si>
    <t>Solanke-Mitchell</t>
  </si>
  <si>
    <t>Solanke</t>
  </si>
  <si>
    <t>Brennan</t>
  </si>
  <si>
    <t>Johnson</t>
  </si>
  <si>
    <t>Dejan</t>
  </si>
  <si>
    <t>Kulusevski</t>
  </si>
  <si>
    <t>Maddison</t>
  </si>
  <si>
    <t>Porro</t>
  </si>
  <si>
    <t>Pedro Porro</t>
  </si>
  <si>
    <t>Pape Matar</t>
  </si>
  <si>
    <t>P.M.Sarr</t>
  </si>
  <si>
    <t>Son</t>
  </si>
  <si>
    <t>Heung-min</t>
  </si>
  <si>
    <t>Destiny</t>
  </si>
  <si>
    <t>Udogie</t>
  </si>
  <si>
    <t>Timo</t>
  </si>
  <si>
    <t>Werner</t>
  </si>
  <si>
    <t>Aaron</t>
  </si>
  <si>
    <t>Wan-Bissaka</t>
  </si>
  <si>
    <t>Jarrod</t>
  </si>
  <si>
    <t>Bowen</t>
  </si>
  <si>
    <t>Emerson</t>
  </si>
  <si>
    <t>Palmieri dos Santos</t>
  </si>
  <si>
    <t>Lucas</t>
  </si>
  <si>
    <t>Tolentino Coelho de Lima</t>
  </si>
  <si>
    <t>L.Paquetá</t>
  </si>
  <si>
    <t>Tomáš</t>
  </si>
  <si>
    <t>Souček</t>
  </si>
  <si>
    <t>Jean-Ricner</t>
  </si>
  <si>
    <t>Bellegarde</t>
  </si>
  <si>
    <t>Matheus</t>
  </si>
  <si>
    <t>Santos Carneiro Da Cunha</t>
  </si>
  <si>
    <t>Cunha</t>
  </si>
  <si>
    <t>Gonçalo Manuel</t>
  </si>
  <si>
    <t>Ganchinho Guedes</t>
  </si>
  <si>
    <t>Guedes</t>
  </si>
  <si>
    <t>João Victor</t>
  </si>
  <si>
    <t>Gomes da Silva</t>
  </si>
  <si>
    <t>J.Gomes</t>
  </si>
  <si>
    <t>Mario</t>
  </si>
  <si>
    <t>Lemina</t>
  </si>
  <si>
    <t>Mario Jr.</t>
  </si>
  <si>
    <t>Nélson</t>
  </si>
  <si>
    <t>Cabral Semedo</t>
  </si>
  <si>
    <t>N.Semedo</t>
  </si>
  <si>
    <t>Jørgen</t>
  </si>
  <si>
    <t>Strand Larsen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</si>
</sst>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M151" totalsRowShown="0">
  <autoFilter ref="A1:AM151" xr:uid="{00000000-0009-0000-0100-000001000000}">
    <filterColumn colId="38">
      <filters>
        <filter val="1"/>
      </filters>
    </filterColumn>
  </autoFilter>
  <sortState xmlns:xlrd2="http://schemas.microsoft.com/office/spreadsheetml/2017/richdata2" ref="A22:AM146">
    <sortCondition descending="1" ref="AJ1:AJ151"/>
  </sortState>
  <tableColumns count="39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FOREST"/>
    <tableColumn id="35" xr3:uid="{00000000-0010-0000-0000-000023000000}" name="PP"/>
    <tableColumn id="36" xr3:uid="{00000000-0010-0000-0000-000024000000}" name="NEXT"/>
    <tableColumn id="37" xr3:uid="{00000000-0010-0000-0000-000025000000}" name="Health"/>
    <tableColumn id="38" xr3:uid="{00000000-0010-0000-0000-000026000000}" name="PREV"/>
    <tableColumn id="39" xr3:uid="{00000000-0010-0000-0000-000027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51"/>
  <sheetViews>
    <sheetView tabSelected="1" workbookViewId="0">
      <selection activeCell="AM137" sqref="AM137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4" width="0" hidden="1" customWidth="1"/>
  </cols>
  <sheetData>
    <row r="1" spans="1:44" x14ac:dyDescent="0.2">
      <c r="A1" t="s">
        <v>32</v>
      </c>
      <c r="B1" t="s">
        <v>33</v>
      </c>
      <c r="C1" t="s">
        <v>34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10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</row>
    <row r="2" spans="1:44" hidden="1" x14ac:dyDescent="0.2">
      <c r="A2" t="s">
        <v>46</v>
      </c>
      <c r="B2" t="s">
        <v>47</v>
      </c>
      <c r="C2" t="s">
        <v>46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12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6.3</v>
      </c>
      <c r="AE2">
        <v>2</v>
      </c>
      <c r="AF2">
        <v>21.593689947547539</v>
      </c>
      <c r="AG2">
        <v>16.899695288373739</v>
      </c>
      <c r="AH2">
        <v>26.299426985512351</v>
      </c>
      <c r="AI2">
        <f>15.3180771129579*1</f>
        <v>15.3180771129579</v>
      </c>
      <c r="AJ2">
        <f>2.8542406100879*1</f>
        <v>2.8542406100879001</v>
      </c>
      <c r="AK2">
        <v>1</v>
      </c>
      <c r="AL2">
        <v>0</v>
      </c>
      <c r="AM2">
        <v>0</v>
      </c>
      <c r="AO2" t="s">
        <v>0</v>
      </c>
      <c r="AP2">
        <f>SUMPRODUCT(Table1[Selected], Table1[PP])</f>
        <v>381.69044898643415</v>
      </c>
      <c r="AQ2" t="s">
        <v>1</v>
      </c>
    </row>
    <row r="3" spans="1:44" hidden="1" x14ac:dyDescent="0.2">
      <c r="A3" t="s">
        <v>48</v>
      </c>
      <c r="B3" t="s">
        <v>49</v>
      </c>
      <c r="C3" t="s">
        <v>49</v>
      </c>
      <c r="D3" t="s">
        <v>6</v>
      </c>
      <c r="E3">
        <v>0</v>
      </c>
      <c r="F3">
        <v>0</v>
      </c>
      <c r="G3">
        <v>0</v>
      </c>
      <c r="H3">
        <v>1</v>
      </c>
      <c r="I3" t="s">
        <v>12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7.9</v>
      </c>
      <c r="AE3">
        <v>3</v>
      </c>
      <c r="AF3">
        <v>19.240823493098301</v>
      </c>
      <c r="AG3">
        <v>15.085877605081089</v>
      </c>
      <c r="AH3">
        <v>19.109037468389459</v>
      </c>
      <c r="AI3">
        <f>8.5304913653157*1</f>
        <v>8.5304913653157008</v>
      </c>
      <c r="AJ3">
        <f>1.72813976444719*1</f>
        <v>1.7281397644471901</v>
      </c>
      <c r="AK3">
        <v>1</v>
      </c>
      <c r="AL3">
        <v>0</v>
      </c>
      <c r="AM3">
        <v>0</v>
      </c>
    </row>
    <row r="4" spans="1:44" hidden="1" x14ac:dyDescent="0.2">
      <c r="A4" t="s">
        <v>50</v>
      </c>
      <c r="B4" t="s">
        <v>51</v>
      </c>
      <c r="C4" t="s">
        <v>52</v>
      </c>
      <c r="D4" t="s">
        <v>4</v>
      </c>
      <c r="E4">
        <v>0</v>
      </c>
      <c r="F4">
        <v>1</v>
      </c>
      <c r="G4">
        <v>0</v>
      </c>
      <c r="H4">
        <v>0</v>
      </c>
      <c r="I4" t="s">
        <v>12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5.7</v>
      </c>
      <c r="AE4">
        <v>5</v>
      </c>
      <c r="AF4">
        <v>0</v>
      </c>
      <c r="AG4">
        <v>0</v>
      </c>
      <c r="AH4">
        <v>0</v>
      </c>
      <c r="AI4">
        <f>0*1</f>
        <v>0</v>
      </c>
      <c r="AJ4">
        <f>0*1</f>
        <v>0</v>
      </c>
      <c r="AK4">
        <v>1</v>
      </c>
      <c r="AL4">
        <v>0</v>
      </c>
      <c r="AM4">
        <v>0</v>
      </c>
      <c r="AO4" t="s">
        <v>2</v>
      </c>
      <c r="AP4">
        <f>SUMPRODUCT(Table1[Selected],Table1[Cost])</f>
        <v>94.5</v>
      </c>
      <c r="AQ4">
        <v>99.899999999999991</v>
      </c>
    </row>
    <row r="5" spans="1:44" hidden="1" x14ac:dyDescent="0.2">
      <c r="A5" t="s">
        <v>46</v>
      </c>
      <c r="B5" t="s">
        <v>53</v>
      </c>
      <c r="C5" t="s">
        <v>54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6.7</v>
      </c>
      <c r="AE5">
        <v>8</v>
      </c>
      <c r="AF5">
        <v>21.807228915662652</v>
      </c>
      <c r="AG5">
        <v>27.238377788766918</v>
      </c>
      <c r="AH5">
        <v>16.930613777674811</v>
      </c>
      <c r="AI5">
        <f>12.5392142158876*1</f>
        <v>12.539214215887601</v>
      </c>
      <c r="AJ5">
        <f>2.06501357808764*1</f>
        <v>2.06501357808764</v>
      </c>
      <c r="AK5">
        <v>1</v>
      </c>
      <c r="AL5">
        <v>0</v>
      </c>
      <c r="AM5">
        <v>0</v>
      </c>
    </row>
    <row r="6" spans="1:44" hidden="1" x14ac:dyDescent="0.2">
      <c r="A6" t="s">
        <v>55</v>
      </c>
      <c r="B6" t="s">
        <v>56</v>
      </c>
      <c r="C6" t="s">
        <v>57</v>
      </c>
      <c r="D6" t="s">
        <v>3</v>
      </c>
      <c r="E6">
        <v>1</v>
      </c>
      <c r="F6">
        <v>0</v>
      </c>
      <c r="G6">
        <v>0</v>
      </c>
      <c r="H6">
        <v>0</v>
      </c>
      <c r="I6" t="s">
        <v>12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5.6</v>
      </c>
      <c r="AE6">
        <v>11</v>
      </c>
      <c r="AF6">
        <v>20.555555555555561</v>
      </c>
      <c r="AG6">
        <v>20.216524158829952</v>
      </c>
      <c r="AH6">
        <v>14.94106971783722</v>
      </c>
      <c r="AI6">
        <f>15.2458970632978*1</f>
        <v>15.2458970632978</v>
      </c>
      <c r="AJ6">
        <f>2.9560742656366*1</f>
        <v>2.9560742656365999</v>
      </c>
      <c r="AK6">
        <v>1</v>
      </c>
      <c r="AL6">
        <v>0</v>
      </c>
      <c r="AM6">
        <v>0</v>
      </c>
      <c r="AO6" t="s">
        <v>3</v>
      </c>
      <c r="AP6">
        <v>2</v>
      </c>
      <c r="AQ6">
        <f>SUMPRODUCT(Table1[Selected],Table1[GKP])</f>
        <v>2</v>
      </c>
      <c r="AR6">
        <v>2</v>
      </c>
    </row>
    <row r="7" spans="1:44" hidden="1" x14ac:dyDescent="0.2">
      <c r="A7" t="s">
        <v>58</v>
      </c>
      <c r="B7" t="s">
        <v>59</v>
      </c>
      <c r="C7" t="s">
        <v>59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6.2</v>
      </c>
      <c r="AE7">
        <v>12</v>
      </c>
      <c r="AF7">
        <v>18.284115759245921</v>
      </c>
      <c r="AG7">
        <v>14.76391010135144</v>
      </c>
      <c r="AH7">
        <v>39.228571428571428</v>
      </c>
      <c r="AI7">
        <f>20.5814433236626*1</f>
        <v>20.581443323662601</v>
      </c>
      <c r="AJ7">
        <f>4.0642022873761*1</f>
        <v>4.0642022873760997</v>
      </c>
      <c r="AK7">
        <v>1</v>
      </c>
      <c r="AL7">
        <v>0</v>
      </c>
      <c r="AM7">
        <v>0</v>
      </c>
      <c r="AO7" t="s">
        <v>4</v>
      </c>
      <c r="AP7">
        <v>5</v>
      </c>
      <c r="AQ7">
        <f>SUMPRODUCT(Table1[Selected],Table1[DEF])</f>
        <v>5</v>
      </c>
      <c r="AR7">
        <v>5</v>
      </c>
    </row>
    <row r="8" spans="1:44" hidden="1" x14ac:dyDescent="0.2">
      <c r="A8" t="s">
        <v>60</v>
      </c>
      <c r="B8" t="s">
        <v>61</v>
      </c>
      <c r="C8" t="s">
        <v>61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10.5</v>
      </c>
      <c r="AE8">
        <v>13</v>
      </c>
      <c r="AF8">
        <v>32.343033464457989</v>
      </c>
      <c r="AG8">
        <v>26.32397074575761</v>
      </c>
      <c r="AH8">
        <v>23.19504314617582</v>
      </c>
      <c r="AI8">
        <f>18.5184668678075*0</f>
        <v>0</v>
      </c>
      <c r="AJ8">
        <f>3.62093787602532*0</f>
        <v>0</v>
      </c>
      <c r="AK8">
        <v>0</v>
      </c>
      <c r="AL8">
        <v>0</v>
      </c>
      <c r="AM8">
        <v>0</v>
      </c>
      <c r="AO8" t="s">
        <v>5</v>
      </c>
      <c r="AP8">
        <v>5</v>
      </c>
      <c r="AQ8">
        <f>SUMPRODUCT(Table1[Selected],Table1[MID])</f>
        <v>5</v>
      </c>
      <c r="AR8">
        <v>5</v>
      </c>
    </row>
    <row r="9" spans="1:44" hidden="1" x14ac:dyDescent="0.2">
      <c r="A9" t="s">
        <v>62</v>
      </c>
      <c r="B9" t="s">
        <v>63</v>
      </c>
      <c r="C9" t="s">
        <v>63</v>
      </c>
      <c r="D9" t="s">
        <v>4</v>
      </c>
      <c r="E9">
        <v>0</v>
      </c>
      <c r="F9">
        <v>1</v>
      </c>
      <c r="G9">
        <v>0</v>
      </c>
      <c r="H9">
        <v>0</v>
      </c>
      <c r="I9" t="s">
        <v>12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6.3</v>
      </c>
      <c r="AE9">
        <v>14</v>
      </c>
      <c r="AF9">
        <v>21.025641025641011</v>
      </c>
      <c r="AG9">
        <v>20.69582843790776</v>
      </c>
      <c r="AH9">
        <v>20.415697211098511</v>
      </c>
      <c r="AI9">
        <f>19.3295319608201*1</f>
        <v>19.329531960820098</v>
      </c>
      <c r="AJ9">
        <f>4.05102547109321*1</f>
        <v>4.0510254710932099</v>
      </c>
      <c r="AK9">
        <v>1</v>
      </c>
      <c r="AL9">
        <v>0</v>
      </c>
      <c r="AM9">
        <v>0</v>
      </c>
      <c r="AO9" t="s">
        <v>6</v>
      </c>
      <c r="AP9">
        <v>3</v>
      </c>
      <c r="AQ9">
        <f>SUMPRODUCT(Table1[Selected],Table1[FWD])</f>
        <v>3</v>
      </c>
      <c r="AR9">
        <v>3</v>
      </c>
    </row>
    <row r="10" spans="1:44" hidden="1" x14ac:dyDescent="0.2">
      <c r="A10" t="s">
        <v>64</v>
      </c>
      <c r="B10" t="s">
        <v>65</v>
      </c>
      <c r="C10" t="s">
        <v>64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</v>
      </c>
      <c r="AE10">
        <v>15</v>
      </c>
      <c r="AF10">
        <v>13.09967959486114</v>
      </c>
      <c r="AG10">
        <v>10.618683584914701</v>
      </c>
      <c r="AH10">
        <v>8.7882270889240779</v>
      </c>
      <c r="AI10">
        <f>14.7986950604396*1</f>
        <v>14.7986950604396</v>
      </c>
      <c r="AJ10">
        <f>3.30164263412816*1</f>
        <v>3.3016426341281599</v>
      </c>
      <c r="AK10">
        <v>1</v>
      </c>
      <c r="AL10">
        <v>0</v>
      </c>
      <c r="AM10">
        <v>0</v>
      </c>
      <c r="AO10" t="s">
        <v>7</v>
      </c>
      <c r="AP10">
        <v>15</v>
      </c>
      <c r="AQ10">
        <f>SUM(SUMPRODUCT(Table1[Selected],Table1[GKP]), SUMPRODUCT(Table1[Selected],Table1[DEF]), SUMPRODUCT(Table1[Selected],Table1[MID]), SUMPRODUCT(Table1[Selected],Table1[FWD]))</f>
        <v>15</v>
      </c>
      <c r="AR10">
        <v>15</v>
      </c>
    </row>
    <row r="11" spans="1:44" hidden="1" x14ac:dyDescent="0.2">
      <c r="A11" t="s">
        <v>66</v>
      </c>
      <c r="B11" t="s">
        <v>67</v>
      </c>
      <c r="C11" t="s">
        <v>67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12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6.8</v>
      </c>
      <c r="AE11">
        <v>18</v>
      </c>
      <c r="AF11">
        <v>19.175824175824161</v>
      </c>
      <c r="AG11">
        <v>20.857300999952539</v>
      </c>
      <c r="AH11">
        <v>11.287027002757039</v>
      </c>
      <c r="AI11">
        <f>13.7128055273874*1</f>
        <v>13.712805527387401</v>
      </c>
      <c r="AJ11">
        <f>2.50784013416151*1</f>
        <v>2.5078401341615102</v>
      </c>
      <c r="AK11">
        <v>1</v>
      </c>
      <c r="AL11">
        <v>0</v>
      </c>
      <c r="AM11">
        <v>0</v>
      </c>
    </row>
    <row r="12" spans="1:44" hidden="1" x14ac:dyDescent="0.2">
      <c r="A12" t="s">
        <v>68</v>
      </c>
      <c r="B12" t="s">
        <v>69</v>
      </c>
      <c r="C12" t="s">
        <v>69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13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5.2</v>
      </c>
      <c r="AE12">
        <v>34</v>
      </c>
      <c r="AF12">
        <v>14.46280991735536</v>
      </c>
      <c r="AG12">
        <v>16.1561729113022</v>
      </c>
      <c r="AH12">
        <v>6.8304354406698149</v>
      </c>
      <c r="AI12">
        <f>10.4472451773985*1</f>
        <v>10.4472451773985</v>
      </c>
      <c r="AJ12">
        <f>2.07267031406322*1</f>
        <v>2.0726703140632199</v>
      </c>
      <c r="AK12">
        <v>1</v>
      </c>
      <c r="AL12">
        <v>0</v>
      </c>
      <c r="AM12">
        <v>0</v>
      </c>
      <c r="AO12" t="s">
        <v>8</v>
      </c>
      <c r="AP12">
        <f>SUMPRODUCT(Table1[Selected], -- (Table1[PREV] = 0))</f>
        <v>1</v>
      </c>
    </row>
    <row r="13" spans="1:44" hidden="1" x14ac:dyDescent="0.2">
      <c r="A13" t="s">
        <v>70</v>
      </c>
      <c r="B13" t="s">
        <v>71</v>
      </c>
      <c r="C13" t="s">
        <v>72</v>
      </c>
      <c r="D13" t="s">
        <v>6</v>
      </c>
      <c r="E13">
        <v>0</v>
      </c>
      <c r="F13">
        <v>0</v>
      </c>
      <c r="G13">
        <v>0</v>
      </c>
      <c r="H13">
        <v>1</v>
      </c>
      <c r="I13" t="s">
        <v>13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5.8</v>
      </c>
      <c r="AE13">
        <v>43</v>
      </c>
      <c r="AF13">
        <v>10.96153846153846</v>
      </c>
      <c r="AG13">
        <v>11.270722493116709</v>
      </c>
      <c r="AH13">
        <v>24.428571428571431</v>
      </c>
      <c r="AI13">
        <f>8.58057465058829*1</f>
        <v>8.5805746505882894</v>
      </c>
      <c r="AJ13">
        <f>1.77637802927532*1</f>
        <v>1.77637802927532</v>
      </c>
      <c r="AK13">
        <v>1</v>
      </c>
      <c r="AL13">
        <v>0</v>
      </c>
      <c r="AM13">
        <v>0</v>
      </c>
      <c r="AO13" t="s">
        <v>9</v>
      </c>
      <c r="AP13">
        <v>1</v>
      </c>
    </row>
    <row r="14" spans="1:44" hidden="1" x14ac:dyDescent="0.2">
      <c r="A14" t="s">
        <v>73</v>
      </c>
      <c r="B14" t="s">
        <v>74</v>
      </c>
      <c r="C14" t="s">
        <v>75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13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4.4000000000000004</v>
      </c>
      <c r="AE14">
        <v>49</v>
      </c>
      <c r="AF14">
        <v>13.77906976744187</v>
      </c>
      <c r="AG14">
        <v>14.31263923208839</v>
      </c>
      <c r="AH14">
        <v>12.75850007252698</v>
      </c>
      <c r="AI14">
        <f>5.60955217614997*1</f>
        <v>5.60955217614997</v>
      </c>
      <c r="AJ14">
        <f>1.17339173380788*1</f>
        <v>1.1733917338078801</v>
      </c>
      <c r="AK14">
        <v>1</v>
      </c>
      <c r="AL14">
        <v>0</v>
      </c>
      <c r="AM14">
        <v>0</v>
      </c>
    </row>
    <row r="15" spans="1:44" hidden="1" x14ac:dyDescent="0.2">
      <c r="A15" t="s">
        <v>76</v>
      </c>
      <c r="B15" t="s">
        <v>77</v>
      </c>
      <c r="C15" t="s">
        <v>78</v>
      </c>
      <c r="D15" t="s">
        <v>3</v>
      </c>
      <c r="E15">
        <v>1</v>
      </c>
      <c r="F15">
        <v>0</v>
      </c>
      <c r="G15">
        <v>0</v>
      </c>
      <c r="H15">
        <v>0</v>
      </c>
      <c r="I15" t="s">
        <v>13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</v>
      </c>
      <c r="AE15">
        <v>52</v>
      </c>
      <c r="AF15">
        <v>21.66441198905213</v>
      </c>
      <c r="AG15">
        <v>18.09319446441258</v>
      </c>
      <c r="AH15">
        <v>11.75256819159808</v>
      </c>
      <c r="AI15">
        <f>9.68802015855197*1</f>
        <v>9.6880201585519696</v>
      </c>
      <c r="AJ15">
        <f>1.97224326187234*1</f>
        <v>1.97224326187234</v>
      </c>
      <c r="AK15">
        <v>1</v>
      </c>
      <c r="AL15">
        <v>0</v>
      </c>
      <c r="AM15">
        <v>0</v>
      </c>
      <c r="AO15" t="s">
        <v>10</v>
      </c>
      <c r="AP15">
        <f>((AP12-AP13)+ABS((AP12-AP13)))/2*4</f>
        <v>0</v>
      </c>
    </row>
    <row r="16" spans="1:44" hidden="1" x14ac:dyDescent="0.2">
      <c r="A16" t="s">
        <v>79</v>
      </c>
      <c r="B16" t="s">
        <v>80</v>
      </c>
      <c r="C16" t="s">
        <v>80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13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5.2</v>
      </c>
      <c r="AE16">
        <v>53</v>
      </c>
      <c r="AF16">
        <v>14.915254237288121</v>
      </c>
      <c r="AG16">
        <v>14.874039894437709</v>
      </c>
      <c r="AH16">
        <v>20.704715544308939</v>
      </c>
      <c r="AI16">
        <f>14.2361618796584*1</f>
        <v>14.2361618796584</v>
      </c>
      <c r="AJ16">
        <f>2.79574124792398*1</f>
        <v>2.79574124792398</v>
      </c>
      <c r="AK16">
        <v>1</v>
      </c>
      <c r="AL16">
        <v>0</v>
      </c>
      <c r="AM16">
        <v>0</v>
      </c>
    </row>
    <row r="17" spans="1:43" hidden="1" x14ac:dyDescent="0.2">
      <c r="A17" t="s">
        <v>81</v>
      </c>
      <c r="B17" t="s">
        <v>82</v>
      </c>
      <c r="C17" t="s">
        <v>82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5.3</v>
      </c>
      <c r="AE17">
        <v>59</v>
      </c>
      <c r="AF17">
        <v>21.89727187060689</v>
      </c>
      <c r="AG17">
        <v>19.842249984426662</v>
      </c>
      <c r="AH17">
        <v>32.361261952333393</v>
      </c>
      <c r="AI17">
        <f>15.8095815926579*1</f>
        <v>15.809581592657899</v>
      </c>
      <c r="AJ17">
        <f>3.38290289408676*1</f>
        <v>3.3829028940867598</v>
      </c>
      <c r="AK17">
        <v>1</v>
      </c>
      <c r="AL17">
        <v>0</v>
      </c>
      <c r="AM17">
        <v>0</v>
      </c>
      <c r="AO17" t="s">
        <v>11</v>
      </c>
      <c r="AP17">
        <f>AP3-AP15*5</f>
        <v>0</v>
      </c>
    </row>
    <row r="18" spans="1:43" hidden="1" x14ac:dyDescent="0.2">
      <c r="A18" t="s">
        <v>83</v>
      </c>
      <c r="B18" t="s">
        <v>84</v>
      </c>
      <c r="C18" t="s">
        <v>84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13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5.5</v>
      </c>
      <c r="AE18">
        <v>62</v>
      </c>
      <c r="AF18">
        <v>13.20936940183149</v>
      </c>
      <c r="AG18">
        <v>17.268155997511471</v>
      </c>
      <c r="AH18">
        <v>10.75845517500203</v>
      </c>
      <c r="AI18">
        <f>5.65281212776506*1</f>
        <v>5.6528121277650598</v>
      </c>
      <c r="AJ18">
        <f>1.11121909428461*1</f>
        <v>1.1112190942846101</v>
      </c>
      <c r="AK18">
        <v>1</v>
      </c>
      <c r="AL18">
        <v>0</v>
      </c>
      <c r="AM18">
        <v>0</v>
      </c>
    </row>
    <row r="19" spans="1:43" hidden="1" x14ac:dyDescent="0.2">
      <c r="A19" t="s">
        <v>85</v>
      </c>
      <c r="B19" t="s">
        <v>86</v>
      </c>
      <c r="C19" t="s">
        <v>86</v>
      </c>
      <c r="D19" t="s">
        <v>6</v>
      </c>
      <c r="E19">
        <v>0</v>
      </c>
      <c r="F19">
        <v>0</v>
      </c>
      <c r="G19">
        <v>0</v>
      </c>
      <c r="H19">
        <v>1</v>
      </c>
      <c r="I19" t="s">
        <v>13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8.9</v>
      </c>
      <c r="AE19">
        <v>63</v>
      </c>
      <c r="AF19">
        <v>23.821656050955401</v>
      </c>
      <c r="AG19">
        <v>22.100827571458861</v>
      </c>
      <c r="AH19">
        <v>12.329705160020341</v>
      </c>
      <c r="AI19">
        <f>9.89208386238858*1</f>
        <v>9.8920838623885796</v>
      </c>
      <c r="AJ19">
        <f>1.82511795577604*1</f>
        <v>1.82511795577604</v>
      </c>
      <c r="AK19">
        <v>1</v>
      </c>
      <c r="AL19">
        <v>0</v>
      </c>
      <c r="AM19">
        <v>0</v>
      </c>
      <c r="AO19" t="s">
        <v>12</v>
      </c>
      <c r="AP19">
        <f>SUMPRODUCT(Table1[Selected],Table1[ARS])</f>
        <v>0</v>
      </c>
      <c r="AQ19">
        <v>3</v>
      </c>
    </row>
    <row r="20" spans="1:43" hidden="1" x14ac:dyDescent="0.2">
      <c r="A20" t="s">
        <v>87</v>
      </c>
      <c r="B20" t="s">
        <v>88</v>
      </c>
      <c r="C20" t="s">
        <v>88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14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4.9000000000000004</v>
      </c>
      <c r="AE20">
        <v>75</v>
      </c>
      <c r="AF20">
        <v>11.036585365853661</v>
      </c>
      <c r="AG20">
        <v>8.6229191828992384</v>
      </c>
      <c r="AH20">
        <v>14.4</v>
      </c>
      <c r="AI20">
        <f>12.7365939596953*1</f>
        <v>12.7365939596953</v>
      </c>
      <c r="AJ20">
        <f>2.51863521061907*1</f>
        <v>2.5186352106190699</v>
      </c>
      <c r="AK20">
        <v>1</v>
      </c>
      <c r="AL20">
        <v>0</v>
      </c>
      <c r="AM20">
        <v>0</v>
      </c>
      <c r="AO20" t="s">
        <v>13</v>
      </c>
      <c r="AP20">
        <f>SUMPRODUCT(Table1[Selected],Table1[AVL])</f>
        <v>0</v>
      </c>
      <c r="AQ20">
        <v>3</v>
      </c>
    </row>
    <row r="21" spans="1:43" hidden="1" x14ac:dyDescent="0.2">
      <c r="A21" t="s">
        <v>89</v>
      </c>
      <c r="B21" t="s">
        <v>90</v>
      </c>
      <c r="C21" t="s">
        <v>91</v>
      </c>
      <c r="D21" t="s">
        <v>6</v>
      </c>
      <c r="E21">
        <v>0</v>
      </c>
      <c r="F21">
        <v>0</v>
      </c>
      <c r="G21">
        <v>0</v>
      </c>
      <c r="H21">
        <v>1</v>
      </c>
      <c r="I21" t="s">
        <v>14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5.4</v>
      </c>
      <c r="AE21">
        <v>77</v>
      </c>
      <c r="AF21">
        <v>11.25</v>
      </c>
      <c r="AG21">
        <v>9.671267708294387</v>
      </c>
      <c r="AH21">
        <v>28.549280958172261</v>
      </c>
      <c r="AI21">
        <f>16.7787598464939*1</f>
        <v>16.778759846493902</v>
      </c>
      <c r="AJ21">
        <f>3.19806145540389*1</f>
        <v>3.1980614554038902</v>
      </c>
      <c r="AK21">
        <v>1</v>
      </c>
      <c r="AL21">
        <v>0</v>
      </c>
      <c r="AM21">
        <v>0</v>
      </c>
      <c r="AO21" t="s">
        <v>14</v>
      </c>
      <c r="AP21">
        <f>SUMPRODUCT(Table1[Selected],Table1[BOU])</f>
        <v>1</v>
      </c>
      <c r="AQ21">
        <v>3</v>
      </c>
    </row>
    <row r="22" spans="1:43" x14ac:dyDescent="0.2">
      <c r="A22" t="s">
        <v>234</v>
      </c>
      <c r="B22" t="s">
        <v>235</v>
      </c>
      <c r="C22" t="s">
        <v>236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23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13.5</v>
      </c>
      <c r="AE22">
        <v>405</v>
      </c>
      <c r="AF22">
        <v>37.196828928770259</v>
      </c>
      <c r="AG22">
        <v>34.554217669005801</v>
      </c>
      <c r="AH22">
        <v>64.034860990346587</v>
      </c>
      <c r="AI22">
        <f>57.0591056047248*1</f>
        <v>57.059105604724799</v>
      </c>
      <c r="AJ22">
        <f>11.5794903353349*1</f>
        <v>11.579490335334899</v>
      </c>
      <c r="AK22">
        <v>1</v>
      </c>
      <c r="AL22">
        <v>1</v>
      </c>
      <c r="AM22">
        <v>1</v>
      </c>
      <c r="AO22" t="s">
        <v>15</v>
      </c>
      <c r="AP22">
        <f>SUMPRODUCT(Table1[Selected],Table1[BRE])</f>
        <v>1</v>
      </c>
      <c r="AQ22">
        <v>3</v>
      </c>
    </row>
    <row r="23" spans="1:43" hidden="1" x14ac:dyDescent="0.2">
      <c r="A23" t="s">
        <v>94</v>
      </c>
      <c r="B23" t="s">
        <v>95</v>
      </c>
      <c r="C23" t="s">
        <v>95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14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5.5</v>
      </c>
      <c r="AE23">
        <v>83</v>
      </c>
      <c r="AF23">
        <v>25.60887584301317</v>
      </c>
      <c r="AG23">
        <v>10.734228957482641</v>
      </c>
      <c r="AH23">
        <v>52.597265509111892</v>
      </c>
      <c r="AI23">
        <f>25.3683784605911*1</f>
        <v>25.368378460591099</v>
      </c>
      <c r="AJ23">
        <f>5.99697336474096*1</f>
        <v>5.9969733647409598</v>
      </c>
      <c r="AK23">
        <v>1</v>
      </c>
      <c r="AL23">
        <v>0</v>
      </c>
      <c r="AM23">
        <v>0</v>
      </c>
      <c r="AO23" t="s">
        <v>16</v>
      </c>
      <c r="AP23">
        <f>SUMPRODUCT(Table1[Selected],Table1[BHA])</f>
        <v>0</v>
      </c>
      <c r="AQ23">
        <v>3</v>
      </c>
    </row>
    <row r="24" spans="1:43" hidden="1" x14ac:dyDescent="0.2">
      <c r="A24" t="s">
        <v>96</v>
      </c>
      <c r="B24" t="s">
        <v>97</v>
      </c>
      <c r="C24" t="s">
        <v>98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14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</v>
      </c>
      <c r="AE24">
        <v>85</v>
      </c>
      <c r="AF24">
        <v>11.25</v>
      </c>
      <c r="AG24">
        <v>8.1804710364379627</v>
      </c>
      <c r="AH24">
        <v>28.3</v>
      </c>
      <c r="AI24">
        <f>13.4872434157355*1</f>
        <v>13.487243415735501</v>
      </c>
      <c r="AJ24">
        <f>2.61365891098112*1</f>
        <v>2.6136589109811199</v>
      </c>
      <c r="AK24">
        <v>1</v>
      </c>
      <c r="AL24">
        <v>0</v>
      </c>
      <c r="AM24">
        <v>0</v>
      </c>
      <c r="AO24" t="s">
        <v>17</v>
      </c>
      <c r="AP24">
        <f>SUMPRODUCT(Table1[Selected],Table1[CHE])</f>
        <v>0</v>
      </c>
      <c r="AQ24">
        <v>3</v>
      </c>
    </row>
    <row r="25" spans="1:43" hidden="1" x14ac:dyDescent="0.2">
      <c r="A25" t="s">
        <v>99</v>
      </c>
      <c r="B25" t="s">
        <v>100</v>
      </c>
      <c r="C25" t="s">
        <v>100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14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5.6</v>
      </c>
      <c r="AE25">
        <v>89</v>
      </c>
      <c r="AF25">
        <v>16.14035087719299</v>
      </c>
      <c r="AG25">
        <v>12.201794769012849</v>
      </c>
      <c r="AH25">
        <v>25.61127592274514</v>
      </c>
      <c r="AI25">
        <f>8.37255256389732*1</f>
        <v>8.3725525638973206</v>
      </c>
      <c r="AJ25">
        <f>1.70805520018357*1</f>
        <v>1.70805520018357</v>
      </c>
      <c r="AK25">
        <v>1</v>
      </c>
      <c r="AL25">
        <v>0</v>
      </c>
      <c r="AM25">
        <v>0</v>
      </c>
      <c r="AO25" t="s">
        <v>18</v>
      </c>
      <c r="AP25">
        <f>SUMPRODUCT(Table1[Selected],Table1[CRY])</f>
        <v>1</v>
      </c>
      <c r="AQ25">
        <v>3</v>
      </c>
    </row>
    <row r="26" spans="1:43" hidden="1" x14ac:dyDescent="0.2">
      <c r="A26" t="s">
        <v>101</v>
      </c>
      <c r="B26" t="s">
        <v>102</v>
      </c>
      <c r="C26" t="s">
        <v>102</v>
      </c>
      <c r="D26" t="s">
        <v>4</v>
      </c>
      <c r="E26">
        <v>0</v>
      </c>
      <c r="F26">
        <v>1</v>
      </c>
      <c r="G26">
        <v>0</v>
      </c>
      <c r="H26">
        <v>0</v>
      </c>
      <c r="I26" t="s">
        <v>14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4.5</v>
      </c>
      <c r="AE26">
        <v>92</v>
      </c>
      <c r="AF26">
        <v>11.9140625</v>
      </c>
      <c r="AG26">
        <v>11.193673428140061</v>
      </c>
      <c r="AH26">
        <v>15.90666666666667</v>
      </c>
      <c r="AI26">
        <f>9.30848796303617*1</f>
        <v>9.3084879630361694</v>
      </c>
      <c r="AJ26">
        <f>2.07133210514844*1</f>
        <v>2.0713321051484401</v>
      </c>
      <c r="AK26">
        <v>1</v>
      </c>
      <c r="AL26">
        <v>0</v>
      </c>
      <c r="AM26">
        <v>0</v>
      </c>
      <c r="AO26" t="s">
        <v>19</v>
      </c>
      <c r="AP26">
        <f>SUMPRODUCT(Table1[Selected],Table1[EVE])</f>
        <v>3</v>
      </c>
      <c r="AQ26">
        <v>3</v>
      </c>
    </row>
    <row r="27" spans="1:43" hidden="1" x14ac:dyDescent="0.2">
      <c r="A27" t="s">
        <v>103</v>
      </c>
      <c r="B27" t="s">
        <v>104</v>
      </c>
      <c r="C27" t="s">
        <v>104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14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5.5</v>
      </c>
      <c r="AE27">
        <v>93</v>
      </c>
      <c r="AF27">
        <v>16.81818181818182</v>
      </c>
      <c r="AG27">
        <v>19.9081264867655</v>
      </c>
      <c r="AH27">
        <v>22.24761904761905</v>
      </c>
      <c r="AI27">
        <f>12.6619683045512*1</f>
        <v>12.6619683045512</v>
      </c>
      <c r="AJ27">
        <f>2.3776094234184*1</f>
        <v>2.3776094234184</v>
      </c>
      <c r="AK27">
        <v>1</v>
      </c>
      <c r="AL27">
        <v>0</v>
      </c>
      <c r="AM27">
        <v>0</v>
      </c>
      <c r="AO27" t="s">
        <v>20</v>
      </c>
      <c r="AP27">
        <f>SUMPRODUCT(Table1[Selected],Table1[FUL])</f>
        <v>0</v>
      </c>
      <c r="AQ27">
        <v>3</v>
      </c>
    </row>
    <row r="28" spans="1:43" hidden="1" x14ac:dyDescent="0.2">
      <c r="A28" t="s">
        <v>105</v>
      </c>
      <c r="B28" t="s">
        <v>106</v>
      </c>
      <c r="C28" t="s">
        <v>106</v>
      </c>
      <c r="D28" t="s">
        <v>4</v>
      </c>
      <c r="E28">
        <v>0</v>
      </c>
      <c r="F28">
        <v>1</v>
      </c>
      <c r="G28">
        <v>0</v>
      </c>
      <c r="H28">
        <v>0</v>
      </c>
      <c r="I28" t="s">
        <v>14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4.4000000000000004</v>
      </c>
      <c r="AE28">
        <v>95</v>
      </c>
      <c r="AF28">
        <v>11.49122807017544</v>
      </c>
      <c r="AG28">
        <v>10.4352805110759</v>
      </c>
      <c r="AH28">
        <v>15.923060694694099</v>
      </c>
      <c r="AI28">
        <f>11.0842589414703*1</f>
        <v>11.084258941470299</v>
      </c>
      <c r="AJ28">
        <f>2.18388292884879*1</f>
        <v>2.18388292884879</v>
      </c>
      <c r="AK28">
        <v>1</v>
      </c>
      <c r="AL28">
        <v>0</v>
      </c>
      <c r="AM28">
        <v>0</v>
      </c>
      <c r="AO28" t="s">
        <v>21</v>
      </c>
      <c r="AP28">
        <f>SUMPRODUCT(Table1[Selected],Table1[IPS])</f>
        <v>0</v>
      </c>
      <c r="AQ28">
        <v>3</v>
      </c>
    </row>
    <row r="29" spans="1:43" hidden="1" x14ac:dyDescent="0.2">
      <c r="A29" t="s">
        <v>107</v>
      </c>
      <c r="B29" t="s">
        <v>108</v>
      </c>
      <c r="C29" t="s">
        <v>109</v>
      </c>
      <c r="D29" t="s">
        <v>6</v>
      </c>
      <c r="E29">
        <v>0</v>
      </c>
      <c r="F29">
        <v>0</v>
      </c>
      <c r="G29">
        <v>0</v>
      </c>
      <c r="H29">
        <v>1</v>
      </c>
      <c r="I29" t="s">
        <v>14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6.1</v>
      </c>
      <c r="AE29">
        <v>100</v>
      </c>
      <c r="AF29">
        <v>0</v>
      </c>
      <c r="AG29">
        <v>0</v>
      </c>
      <c r="AH29">
        <v>0</v>
      </c>
      <c r="AI29">
        <f>0*1</f>
        <v>0</v>
      </c>
      <c r="AJ29">
        <f>0*1</f>
        <v>0</v>
      </c>
      <c r="AK29">
        <v>1</v>
      </c>
      <c r="AL29">
        <v>0</v>
      </c>
      <c r="AM29">
        <v>0</v>
      </c>
      <c r="AO29" t="s">
        <v>22</v>
      </c>
      <c r="AP29">
        <f>SUMPRODUCT(Table1[Selected],Table1[LEI])</f>
        <v>0</v>
      </c>
      <c r="AQ29">
        <v>3</v>
      </c>
    </row>
    <row r="30" spans="1:43" hidden="1" x14ac:dyDescent="0.2">
      <c r="A30" t="s">
        <v>110</v>
      </c>
      <c r="B30" t="s">
        <v>111</v>
      </c>
      <c r="C30" t="s">
        <v>111</v>
      </c>
      <c r="D30" t="s">
        <v>4</v>
      </c>
      <c r="E30">
        <v>0</v>
      </c>
      <c r="F30">
        <v>1</v>
      </c>
      <c r="G30">
        <v>0</v>
      </c>
      <c r="H30">
        <v>0</v>
      </c>
      <c r="I30" t="s">
        <v>15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4.5999999999999996</v>
      </c>
      <c r="AE30">
        <v>105</v>
      </c>
      <c r="AF30">
        <v>12.66304347826088</v>
      </c>
      <c r="AG30">
        <v>10.921814649569789</v>
      </c>
      <c r="AH30">
        <v>9.629953941133806</v>
      </c>
      <c r="AI30">
        <f>4.68110766319675*1</f>
        <v>4.6811076631967499</v>
      </c>
      <c r="AJ30">
        <f>0.955226548013853*1</f>
        <v>0.95522654801385298</v>
      </c>
      <c r="AK30">
        <v>1</v>
      </c>
      <c r="AL30">
        <v>0</v>
      </c>
      <c r="AM30">
        <v>0</v>
      </c>
      <c r="AO30" t="s">
        <v>23</v>
      </c>
      <c r="AP30">
        <f>SUMPRODUCT(Table1[Selected],Table1[LIV])</f>
        <v>1</v>
      </c>
      <c r="AQ30">
        <v>3</v>
      </c>
    </row>
    <row r="31" spans="1:43" hidden="1" x14ac:dyDescent="0.2">
      <c r="A31" t="s">
        <v>112</v>
      </c>
      <c r="B31" t="s">
        <v>113</v>
      </c>
      <c r="C31" t="s">
        <v>113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15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</v>
      </c>
      <c r="AE31">
        <v>106</v>
      </c>
      <c r="AF31">
        <v>18.418263797433621</v>
      </c>
      <c r="AG31">
        <v>7.3278098052147627</v>
      </c>
      <c r="AH31">
        <v>11.50555349629731</v>
      </c>
      <c r="AI31">
        <f>6.39734507097449*1</f>
        <v>6.3973450709744899</v>
      </c>
      <c r="AJ31">
        <f>1.30418759071335*1</f>
        <v>1.30418759071335</v>
      </c>
      <c r="AK31">
        <v>1</v>
      </c>
      <c r="AL31">
        <v>0</v>
      </c>
      <c r="AM31">
        <v>0</v>
      </c>
      <c r="AO31" t="s">
        <v>24</v>
      </c>
      <c r="AP31">
        <f>SUMPRODUCT(Table1[Selected],Table1[MCI])</f>
        <v>0</v>
      </c>
      <c r="AQ31">
        <v>3</v>
      </c>
    </row>
    <row r="32" spans="1:43" hidden="1" x14ac:dyDescent="0.2">
      <c r="A32" t="s">
        <v>114</v>
      </c>
      <c r="B32" t="s">
        <v>115</v>
      </c>
      <c r="C32" t="s">
        <v>115</v>
      </c>
      <c r="D32" t="s">
        <v>3</v>
      </c>
      <c r="E32">
        <v>1</v>
      </c>
      <c r="F32">
        <v>0</v>
      </c>
      <c r="G32">
        <v>0</v>
      </c>
      <c r="H32">
        <v>0</v>
      </c>
      <c r="I32" t="s">
        <v>15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4.5</v>
      </c>
      <c r="AE32">
        <v>108</v>
      </c>
      <c r="AF32">
        <v>15.943396226415089</v>
      </c>
      <c r="AG32">
        <v>19.503048550373919</v>
      </c>
      <c r="AH32">
        <v>15.592164536292691</v>
      </c>
      <c r="AI32">
        <f>12.7734506250798*1</f>
        <v>12.7734506250798</v>
      </c>
      <c r="AJ32">
        <f>2.58939860754661*1</f>
        <v>2.58939860754661</v>
      </c>
      <c r="AK32">
        <v>1</v>
      </c>
      <c r="AL32">
        <v>0</v>
      </c>
      <c r="AM32">
        <v>0</v>
      </c>
      <c r="AO32" t="s">
        <v>25</v>
      </c>
      <c r="AP32">
        <f>SUMPRODUCT(Table1[Selected],Table1[MUN])</f>
        <v>1</v>
      </c>
      <c r="AQ32">
        <v>3</v>
      </c>
    </row>
    <row r="33" spans="1:43" hidden="1" x14ac:dyDescent="0.2">
      <c r="A33" t="s">
        <v>116</v>
      </c>
      <c r="B33" t="s">
        <v>117</v>
      </c>
      <c r="C33" t="s">
        <v>117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15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7.6</v>
      </c>
      <c r="AE33">
        <v>116</v>
      </c>
      <c r="AF33">
        <v>27.45718766664082</v>
      </c>
      <c r="AG33">
        <v>19.771891256830848</v>
      </c>
      <c r="AH33">
        <v>50.010301783587558</v>
      </c>
      <c r="AI33">
        <f>21.397563084272*1</f>
        <v>21.397563084272001</v>
      </c>
      <c r="AJ33">
        <f>4.18655474114082*1</f>
        <v>4.1865547411408199</v>
      </c>
      <c r="AK33">
        <v>1</v>
      </c>
      <c r="AL33">
        <v>0</v>
      </c>
      <c r="AM33">
        <v>0</v>
      </c>
      <c r="AO33" t="s">
        <v>26</v>
      </c>
      <c r="AP33">
        <f>SUMPRODUCT(Table1[Selected],Table1[NEW])</f>
        <v>3</v>
      </c>
      <c r="AQ33">
        <v>3</v>
      </c>
    </row>
    <row r="34" spans="1:43" hidden="1" x14ac:dyDescent="0.2">
      <c r="A34" t="s">
        <v>118</v>
      </c>
      <c r="B34" t="s">
        <v>119</v>
      </c>
      <c r="C34" t="s">
        <v>119</v>
      </c>
      <c r="D34" t="s">
        <v>4</v>
      </c>
      <c r="E34">
        <v>0</v>
      </c>
      <c r="F34">
        <v>1</v>
      </c>
      <c r="G34">
        <v>0</v>
      </c>
      <c r="H34">
        <v>0</v>
      </c>
      <c r="I34" t="s">
        <v>15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4.5</v>
      </c>
      <c r="AE34">
        <v>121</v>
      </c>
      <c r="AF34">
        <v>14.5631067961165</v>
      </c>
      <c r="AG34">
        <v>18.388146111170251</v>
      </c>
      <c r="AH34">
        <v>6.794244961468598</v>
      </c>
      <c r="AI34">
        <f>6.69008764481414*1</f>
        <v>6.69008764481414</v>
      </c>
      <c r="AJ34">
        <f>1.43477602029231*1</f>
        <v>1.4347760202923101</v>
      </c>
      <c r="AK34">
        <v>1</v>
      </c>
      <c r="AL34">
        <v>0</v>
      </c>
      <c r="AM34">
        <v>0</v>
      </c>
      <c r="AO34" t="s">
        <v>27</v>
      </c>
      <c r="AP34">
        <f>SUMPRODUCT(Table1[Selected],Table1[NFO])</f>
        <v>2</v>
      </c>
      <c r="AQ34">
        <v>3</v>
      </c>
    </row>
    <row r="35" spans="1:43" hidden="1" x14ac:dyDescent="0.2">
      <c r="A35" t="s">
        <v>120</v>
      </c>
      <c r="B35" t="s">
        <v>121</v>
      </c>
      <c r="C35" t="s">
        <v>121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15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5.0999999999999996</v>
      </c>
      <c r="AE35">
        <v>123</v>
      </c>
      <c r="AF35">
        <v>13.22222222222222</v>
      </c>
      <c r="AG35">
        <v>8.6978895864528258</v>
      </c>
      <c r="AH35">
        <v>40.857142857142847</v>
      </c>
      <c r="AI35">
        <f>21.8203919473828*1</f>
        <v>21.820391947382799</v>
      </c>
      <c r="AJ35">
        <f>4.18466260504113*1</f>
        <v>4.1846626050411304</v>
      </c>
      <c r="AK35">
        <v>1</v>
      </c>
      <c r="AL35">
        <v>0</v>
      </c>
      <c r="AM35">
        <v>0</v>
      </c>
      <c r="AO35" t="s">
        <v>28</v>
      </c>
      <c r="AP35">
        <f>SUMPRODUCT(Table1[Selected],Table1[SOU])</f>
        <v>0</v>
      </c>
      <c r="AQ35">
        <v>3</v>
      </c>
    </row>
    <row r="36" spans="1:43" x14ac:dyDescent="0.2">
      <c r="A36" t="s">
        <v>285</v>
      </c>
      <c r="B36" t="s">
        <v>286</v>
      </c>
      <c r="C36" t="s">
        <v>287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26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4.9000000000000004</v>
      </c>
      <c r="AE36">
        <v>497</v>
      </c>
      <c r="AF36">
        <v>22.01048191384562</v>
      </c>
      <c r="AG36">
        <v>9.6221336421699668</v>
      </c>
      <c r="AH36">
        <v>43.370833333333337</v>
      </c>
      <c r="AI36">
        <f>37.0904954924025*1</f>
        <v>37.090495492402503</v>
      </c>
      <c r="AJ36">
        <f>7.50258420032785*1</f>
        <v>7.50258420032785</v>
      </c>
      <c r="AK36">
        <v>1</v>
      </c>
      <c r="AL36">
        <v>1</v>
      </c>
      <c r="AM36">
        <v>1</v>
      </c>
      <c r="AO36" t="s">
        <v>29</v>
      </c>
      <c r="AP36">
        <f>SUMPRODUCT(Table1[Selected],Table1[TOT])</f>
        <v>1</v>
      </c>
      <c r="AQ36">
        <v>3</v>
      </c>
    </row>
    <row r="37" spans="1:43" hidden="1" x14ac:dyDescent="0.2">
      <c r="A37" t="s">
        <v>124</v>
      </c>
      <c r="B37" t="s">
        <v>125</v>
      </c>
      <c r="C37" t="s">
        <v>125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16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</v>
      </c>
      <c r="AE37">
        <v>139</v>
      </c>
      <c r="AF37">
        <v>9.0000000000000018</v>
      </c>
      <c r="AG37">
        <v>12.07094067898972</v>
      </c>
      <c r="AH37">
        <v>2.4750000000000001</v>
      </c>
      <c r="AI37">
        <f>8.90763886911915*1</f>
        <v>8.9076388691191504</v>
      </c>
      <c r="AJ37">
        <f>2.06847838394869*1</f>
        <v>2.06847838394869</v>
      </c>
      <c r="AK37">
        <v>1</v>
      </c>
      <c r="AL37">
        <v>0</v>
      </c>
      <c r="AM37">
        <v>0</v>
      </c>
      <c r="AO37" t="s">
        <v>30</v>
      </c>
      <c r="AP37">
        <f>SUMPRODUCT(Table1[Selected],Table1[WHU])</f>
        <v>0</v>
      </c>
      <c r="AQ37">
        <v>3</v>
      </c>
    </row>
    <row r="38" spans="1:43" hidden="1" x14ac:dyDescent="0.2">
      <c r="A38" t="s">
        <v>126</v>
      </c>
      <c r="B38" t="s">
        <v>127</v>
      </c>
      <c r="C38" t="s">
        <v>126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16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6.5</v>
      </c>
      <c r="AE38">
        <v>159</v>
      </c>
      <c r="AF38">
        <v>0</v>
      </c>
      <c r="AG38">
        <v>0</v>
      </c>
      <c r="AH38">
        <v>0</v>
      </c>
      <c r="AI38">
        <f>0*1</f>
        <v>0</v>
      </c>
      <c r="AJ38">
        <f>0*1</f>
        <v>0</v>
      </c>
      <c r="AK38">
        <v>1</v>
      </c>
      <c r="AL38">
        <v>0</v>
      </c>
      <c r="AM38">
        <v>0</v>
      </c>
      <c r="AO38" t="s">
        <v>31</v>
      </c>
      <c r="AP38">
        <f>SUMPRODUCT(Table1[Selected],Table1[WOL])</f>
        <v>1</v>
      </c>
      <c r="AQ38">
        <v>3</v>
      </c>
    </row>
    <row r="39" spans="1:43" hidden="1" x14ac:dyDescent="0.2">
      <c r="A39" t="s">
        <v>128</v>
      </c>
      <c r="B39" t="s">
        <v>129</v>
      </c>
      <c r="C39" t="s">
        <v>129</v>
      </c>
      <c r="D39" t="s">
        <v>6</v>
      </c>
      <c r="E39">
        <v>0</v>
      </c>
      <c r="F39">
        <v>0</v>
      </c>
      <c r="G39">
        <v>0</v>
      </c>
      <c r="H39">
        <v>1</v>
      </c>
      <c r="I39" t="s">
        <v>16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5.7</v>
      </c>
      <c r="AE39">
        <v>171</v>
      </c>
      <c r="AF39">
        <v>15.41979931434447</v>
      </c>
      <c r="AG39">
        <v>13.40303964134166</v>
      </c>
      <c r="AH39">
        <v>12.444760901521009</v>
      </c>
      <c r="AI39">
        <f>15.2446939994706*1</f>
        <v>15.2446939994706</v>
      </c>
      <c r="AJ39">
        <f>2.89659971630116*1</f>
        <v>2.8965997163011599</v>
      </c>
      <c r="AK39">
        <v>1</v>
      </c>
      <c r="AL39">
        <v>0</v>
      </c>
      <c r="AM39">
        <v>0</v>
      </c>
    </row>
    <row r="40" spans="1:43" hidden="1" x14ac:dyDescent="0.2">
      <c r="A40" t="s">
        <v>130</v>
      </c>
      <c r="B40" t="s">
        <v>131</v>
      </c>
      <c r="C40" t="s">
        <v>131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16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4.7</v>
      </c>
      <c r="AE40">
        <v>172</v>
      </c>
      <c r="AF40">
        <v>0</v>
      </c>
      <c r="AG40">
        <v>0</v>
      </c>
      <c r="AH40">
        <v>0</v>
      </c>
      <c r="AI40">
        <f>0*1</f>
        <v>0</v>
      </c>
      <c r="AJ40">
        <f>0*1</f>
        <v>0</v>
      </c>
      <c r="AK40">
        <v>1</v>
      </c>
      <c r="AL40">
        <v>0</v>
      </c>
      <c r="AM40">
        <v>0</v>
      </c>
    </row>
    <row r="41" spans="1:43" hidden="1" x14ac:dyDescent="0.2">
      <c r="A41" t="s">
        <v>132</v>
      </c>
      <c r="B41" t="s">
        <v>133</v>
      </c>
      <c r="C41" t="s">
        <v>134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17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4.9000000000000004</v>
      </c>
      <c r="AE41">
        <v>189</v>
      </c>
      <c r="AF41">
        <v>15.813800299230421</v>
      </c>
      <c r="AG41">
        <v>8.6905195645362312</v>
      </c>
      <c r="AH41">
        <v>15.434753851154539</v>
      </c>
      <c r="AI41">
        <f>15.4894800111954*1</f>
        <v>15.489480011195401</v>
      </c>
      <c r="AJ41">
        <f>3.0568596784364*1</f>
        <v>3.0568596784364002</v>
      </c>
      <c r="AK41">
        <v>1</v>
      </c>
      <c r="AL41">
        <v>0</v>
      </c>
      <c r="AM41">
        <v>0</v>
      </c>
    </row>
    <row r="42" spans="1:43" hidden="1" x14ac:dyDescent="0.2">
      <c r="A42" t="s">
        <v>135</v>
      </c>
      <c r="B42" t="s">
        <v>136</v>
      </c>
      <c r="C42" t="s">
        <v>136</v>
      </c>
      <c r="D42" t="s">
        <v>4</v>
      </c>
      <c r="E42">
        <v>0</v>
      </c>
      <c r="F42">
        <v>1</v>
      </c>
      <c r="G42">
        <v>0</v>
      </c>
      <c r="H42">
        <v>0</v>
      </c>
      <c r="I42" t="s">
        <v>17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4.5999999999999996</v>
      </c>
      <c r="AE42">
        <v>193</v>
      </c>
      <c r="AF42">
        <v>13.27272727272727</v>
      </c>
      <c r="AG42">
        <v>15.57132352233114</v>
      </c>
      <c r="AH42">
        <v>14.284599974363539</v>
      </c>
      <c r="AI42">
        <f>9.56714351735136*1</f>
        <v>9.5671435173513597</v>
      </c>
      <c r="AJ42">
        <f>1.94471779929237*1</f>
        <v>1.9447177992923701</v>
      </c>
      <c r="AK42">
        <v>1</v>
      </c>
      <c r="AL42">
        <v>0</v>
      </c>
      <c r="AM42">
        <v>0</v>
      </c>
    </row>
    <row r="43" spans="1:43" hidden="1" x14ac:dyDescent="0.2">
      <c r="A43" t="s">
        <v>137</v>
      </c>
      <c r="B43" t="s">
        <v>138</v>
      </c>
      <c r="C43" t="s">
        <v>139</v>
      </c>
      <c r="D43" t="s">
        <v>4</v>
      </c>
      <c r="E43">
        <v>0</v>
      </c>
      <c r="F43">
        <v>1</v>
      </c>
      <c r="G43">
        <v>0</v>
      </c>
      <c r="H43">
        <v>0</v>
      </c>
      <c r="I43" t="s">
        <v>17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5.2</v>
      </c>
      <c r="AE43">
        <v>194</v>
      </c>
      <c r="AF43">
        <v>13.214285714285721</v>
      </c>
      <c r="AG43">
        <v>12.414963879351131</v>
      </c>
      <c r="AH43">
        <v>21.80201012968956</v>
      </c>
      <c r="AI43">
        <f>13.3324651324417*1</f>
        <v>13.332465132441699</v>
      </c>
      <c r="AJ43">
        <f>2.51582845551129*1</f>
        <v>2.51582845551129</v>
      </c>
      <c r="AK43">
        <v>1</v>
      </c>
      <c r="AL43">
        <v>0</v>
      </c>
      <c r="AM43">
        <v>0</v>
      </c>
    </row>
    <row r="44" spans="1:43" hidden="1" x14ac:dyDescent="0.2">
      <c r="A44" t="s">
        <v>140</v>
      </c>
      <c r="B44" t="s">
        <v>141</v>
      </c>
      <c r="C44" t="s">
        <v>140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17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5.0999999999999996</v>
      </c>
      <c r="AE44">
        <v>199</v>
      </c>
      <c r="AF44">
        <v>14.92360925962716</v>
      </c>
      <c r="AG44">
        <v>10.411276463260849</v>
      </c>
      <c r="AH44">
        <v>33.466666666666669</v>
      </c>
      <c r="AI44">
        <f>25.6860103441646*1</f>
        <v>25.6860103441646</v>
      </c>
      <c r="AJ44">
        <f>5.14744146337383*1</f>
        <v>5.1474414633738297</v>
      </c>
      <c r="AK44">
        <v>1</v>
      </c>
      <c r="AL44">
        <v>0</v>
      </c>
      <c r="AM44">
        <v>0</v>
      </c>
    </row>
    <row r="45" spans="1:43" hidden="1" x14ac:dyDescent="0.2">
      <c r="A45" t="s">
        <v>142</v>
      </c>
      <c r="B45" t="s">
        <v>143</v>
      </c>
      <c r="C45" t="s">
        <v>143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17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6.3</v>
      </c>
      <c r="AE45">
        <v>208</v>
      </c>
      <c r="AF45">
        <v>17.083333333333339</v>
      </c>
      <c r="AG45">
        <v>23.776431186530701</v>
      </c>
      <c r="AH45">
        <v>13.08</v>
      </c>
      <c r="AI45">
        <f>4.24732097574654*1</f>
        <v>4.2473209757465398</v>
      </c>
      <c r="AJ45">
        <f>0.834040428250218*1</f>
        <v>0.83404042825021796</v>
      </c>
      <c r="AK45">
        <v>1</v>
      </c>
      <c r="AL45">
        <v>0</v>
      </c>
      <c r="AM45">
        <v>0</v>
      </c>
    </row>
    <row r="46" spans="1:43" hidden="1" x14ac:dyDescent="0.2">
      <c r="A46" t="s">
        <v>144</v>
      </c>
      <c r="B46" t="s">
        <v>145</v>
      </c>
      <c r="C46" t="s">
        <v>146</v>
      </c>
      <c r="D46" t="s">
        <v>6</v>
      </c>
      <c r="E46">
        <v>0</v>
      </c>
      <c r="F46">
        <v>0</v>
      </c>
      <c r="G46">
        <v>0</v>
      </c>
      <c r="H46">
        <v>1</v>
      </c>
      <c r="I46" t="s">
        <v>17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8.3000000000000007</v>
      </c>
      <c r="AE46">
        <v>211</v>
      </c>
      <c r="AF46">
        <v>23.65662850620113</v>
      </c>
      <c r="AG46">
        <v>21.782437241394781</v>
      </c>
      <c r="AH46">
        <v>32.166483246946491</v>
      </c>
      <c r="AI46">
        <f>14.2456015868398*1</f>
        <v>14.2456015868398</v>
      </c>
      <c r="AJ46">
        <f>2.2348088908729*1</f>
        <v>2.2348088908729</v>
      </c>
      <c r="AK46">
        <v>1</v>
      </c>
      <c r="AL46">
        <v>0</v>
      </c>
      <c r="AM46">
        <v>0</v>
      </c>
    </row>
    <row r="47" spans="1:43" hidden="1" x14ac:dyDescent="0.2">
      <c r="A47" t="s">
        <v>147</v>
      </c>
      <c r="B47" t="s">
        <v>148</v>
      </c>
      <c r="C47" t="s">
        <v>148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17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5.8</v>
      </c>
      <c r="AE47">
        <v>212</v>
      </c>
      <c r="AF47">
        <v>11.730769230769219</v>
      </c>
      <c r="AG47">
        <v>8.4976667417897183</v>
      </c>
      <c r="AH47">
        <v>4.5666666666666664</v>
      </c>
      <c r="AI47">
        <f>8.67548604701142*1</f>
        <v>8.6754860470114199</v>
      </c>
      <c r="AJ47">
        <f>1.67957658193186*1</f>
        <v>1.67957658193186</v>
      </c>
      <c r="AK47">
        <v>1</v>
      </c>
      <c r="AL47">
        <v>0</v>
      </c>
      <c r="AM47">
        <v>0</v>
      </c>
    </row>
    <row r="48" spans="1:43" hidden="1" x14ac:dyDescent="0.2">
      <c r="A48" t="s">
        <v>149</v>
      </c>
      <c r="B48" t="s">
        <v>150</v>
      </c>
      <c r="C48" t="s">
        <v>150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17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11.2</v>
      </c>
      <c r="AE48">
        <v>213</v>
      </c>
      <c r="AF48">
        <v>37.108590502470157</v>
      </c>
      <c r="AG48">
        <v>27.03423055123843</v>
      </c>
      <c r="AH48">
        <v>45.798214285714288</v>
      </c>
      <c r="AI48">
        <f>13.6030763545766*1</f>
        <v>13.603076354576601</v>
      </c>
      <c r="AJ48">
        <f>2.7440852852844*1</f>
        <v>2.7440852852844002</v>
      </c>
      <c r="AK48">
        <v>1</v>
      </c>
      <c r="AL48">
        <v>0</v>
      </c>
      <c r="AM48">
        <v>0</v>
      </c>
    </row>
    <row r="49" spans="1:39" hidden="1" x14ac:dyDescent="0.2">
      <c r="A49" t="s">
        <v>151</v>
      </c>
      <c r="B49" t="s">
        <v>152</v>
      </c>
      <c r="C49" t="s">
        <v>152</v>
      </c>
      <c r="D49" t="s">
        <v>3</v>
      </c>
      <c r="E49">
        <v>1</v>
      </c>
      <c r="F49">
        <v>0</v>
      </c>
      <c r="G49">
        <v>0</v>
      </c>
      <c r="H49">
        <v>0</v>
      </c>
      <c r="I49" t="s">
        <v>17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4.8</v>
      </c>
      <c r="AE49">
        <v>216</v>
      </c>
      <c r="AF49">
        <v>18.043478260869559</v>
      </c>
      <c r="AG49">
        <v>17.775222202876769</v>
      </c>
      <c r="AH49">
        <v>26.058390447311549</v>
      </c>
      <c r="AI49">
        <f>14.0620072765493*1</f>
        <v>14.0620072765493</v>
      </c>
      <c r="AJ49">
        <f>2.65983055371948*1</f>
        <v>2.65983055371948</v>
      </c>
      <c r="AK49">
        <v>1</v>
      </c>
      <c r="AL49">
        <v>0</v>
      </c>
      <c r="AM49">
        <v>0</v>
      </c>
    </row>
    <row r="50" spans="1:39" hidden="1" x14ac:dyDescent="0.2">
      <c r="A50" t="s">
        <v>153</v>
      </c>
      <c r="B50" t="s">
        <v>154</v>
      </c>
      <c r="C50" t="s">
        <v>155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17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6.2</v>
      </c>
      <c r="AE50">
        <v>220</v>
      </c>
      <c r="AF50">
        <v>14.463032861173099</v>
      </c>
      <c r="AG50">
        <v>15.963877251007681</v>
      </c>
      <c r="AH50">
        <v>11.685917262163761</v>
      </c>
      <c r="AI50">
        <f>16.6912041308462*1</f>
        <v>16.691204130846199</v>
      </c>
      <c r="AJ50">
        <f>3.37400330912782*1</f>
        <v>3.3740033091278199</v>
      </c>
      <c r="AK50">
        <v>1</v>
      </c>
      <c r="AL50">
        <v>0</v>
      </c>
      <c r="AM50">
        <v>0</v>
      </c>
    </row>
    <row r="51" spans="1:39" hidden="1" x14ac:dyDescent="0.2">
      <c r="A51" t="s">
        <v>156</v>
      </c>
      <c r="B51" t="s">
        <v>157</v>
      </c>
      <c r="C51" t="s">
        <v>157</v>
      </c>
      <c r="D51" t="s">
        <v>5</v>
      </c>
      <c r="E51">
        <v>0</v>
      </c>
      <c r="F51">
        <v>0</v>
      </c>
      <c r="G51">
        <v>1</v>
      </c>
      <c r="H51">
        <v>0</v>
      </c>
      <c r="I51" t="s">
        <v>18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6.6</v>
      </c>
      <c r="AE51">
        <v>235</v>
      </c>
      <c r="AF51">
        <v>19.369747899159659</v>
      </c>
      <c r="AG51">
        <v>16.55424712554619</v>
      </c>
      <c r="AH51">
        <v>13.28583166856772</v>
      </c>
      <c r="AI51">
        <f>3.48317855559705*1</f>
        <v>3.4831785555970498</v>
      </c>
      <c r="AJ51">
        <f>0.709870462585263*1</f>
        <v>0.70987046258526298</v>
      </c>
      <c r="AK51">
        <v>1</v>
      </c>
      <c r="AL51">
        <v>0</v>
      </c>
      <c r="AM51">
        <v>0</v>
      </c>
    </row>
    <row r="52" spans="1:39" hidden="1" x14ac:dyDescent="0.2">
      <c r="A52" t="s">
        <v>158</v>
      </c>
      <c r="B52" t="s">
        <v>159</v>
      </c>
      <c r="C52" t="s">
        <v>159</v>
      </c>
      <c r="D52" t="s">
        <v>3</v>
      </c>
      <c r="E52">
        <v>1</v>
      </c>
      <c r="F52">
        <v>0</v>
      </c>
      <c r="G52">
        <v>0</v>
      </c>
      <c r="H52">
        <v>0</v>
      </c>
      <c r="I52" t="s">
        <v>18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4.4000000000000004</v>
      </c>
      <c r="AE52">
        <v>237</v>
      </c>
      <c r="AF52">
        <v>20.44547735965266</v>
      </c>
      <c r="AG52">
        <v>22.058171878823359</v>
      </c>
      <c r="AH52">
        <v>9.1936707712288008</v>
      </c>
      <c r="AI52">
        <f>15.49356614594*1</f>
        <v>15.493566145939999</v>
      </c>
      <c r="AJ52">
        <f>3.18706485191357*1</f>
        <v>3.1870648519135698</v>
      </c>
      <c r="AK52">
        <v>1</v>
      </c>
      <c r="AL52">
        <v>0</v>
      </c>
      <c r="AM52">
        <v>0</v>
      </c>
    </row>
    <row r="53" spans="1:39" hidden="1" x14ac:dyDescent="0.2">
      <c r="A53" t="s">
        <v>160</v>
      </c>
      <c r="B53" t="s">
        <v>161</v>
      </c>
      <c r="C53" t="s">
        <v>161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4.9000000000000004</v>
      </c>
      <c r="AE53">
        <v>239</v>
      </c>
      <c r="AF53">
        <v>10.54794520547946</v>
      </c>
      <c r="AG53">
        <v>9.5983299273854712</v>
      </c>
      <c r="AH53">
        <v>15.877592432244549</v>
      </c>
      <c r="AI53">
        <f>13.8063982545291*1</f>
        <v>13.8063982545291</v>
      </c>
      <c r="AJ53">
        <f>2.48682642488181*1</f>
        <v>2.4868264248818099</v>
      </c>
      <c r="AK53">
        <v>1</v>
      </c>
      <c r="AL53">
        <v>0</v>
      </c>
      <c r="AM53">
        <v>0</v>
      </c>
    </row>
    <row r="54" spans="1:39" hidden="1" x14ac:dyDescent="0.2">
      <c r="A54" t="s">
        <v>162</v>
      </c>
      <c r="B54" t="s">
        <v>163</v>
      </c>
      <c r="C54" t="s">
        <v>163</v>
      </c>
      <c r="D54" t="s">
        <v>6</v>
      </c>
      <c r="E54">
        <v>0</v>
      </c>
      <c r="F54">
        <v>0</v>
      </c>
      <c r="G54">
        <v>0</v>
      </c>
      <c r="H54">
        <v>1</v>
      </c>
      <c r="I54" t="s">
        <v>18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7.2</v>
      </c>
      <c r="AE54">
        <v>242</v>
      </c>
      <c r="AF54">
        <v>18.717429814450799</v>
      </c>
      <c r="AG54">
        <v>11.726652890235</v>
      </c>
      <c r="AH54">
        <v>10.02857142857143</v>
      </c>
      <c r="AI54">
        <f>13.5770791854406*1</f>
        <v>13.577079185440599</v>
      </c>
      <c r="AJ54">
        <f>2.6939774203703*1</f>
        <v>2.6939774203703002</v>
      </c>
      <c r="AK54">
        <v>1</v>
      </c>
      <c r="AL54">
        <v>0</v>
      </c>
      <c r="AM54">
        <v>0</v>
      </c>
    </row>
    <row r="55" spans="1:39" hidden="1" x14ac:dyDescent="0.2">
      <c r="A55" t="s">
        <v>164</v>
      </c>
      <c r="B55" t="s">
        <v>165</v>
      </c>
      <c r="C55" t="s">
        <v>165</v>
      </c>
      <c r="D55" t="s">
        <v>4</v>
      </c>
      <c r="E55">
        <v>0</v>
      </c>
      <c r="F55">
        <v>1</v>
      </c>
      <c r="G55">
        <v>0</v>
      </c>
      <c r="H55">
        <v>0</v>
      </c>
      <c r="I55" t="s">
        <v>18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4.8</v>
      </c>
      <c r="AE55">
        <v>245</v>
      </c>
      <c r="AF55">
        <v>10.950853029974709</v>
      </c>
      <c r="AG55">
        <v>13.44200121860424</v>
      </c>
      <c r="AH55">
        <v>37.981343288347929</v>
      </c>
      <c r="AI55">
        <f>14.1959207133537*1</f>
        <v>14.195920713353701</v>
      </c>
      <c r="AJ55">
        <f>2.20516272412921*1</f>
        <v>2.20516272412921</v>
      </c>
      <c r="AK55">
        <v>1</v>
      </c>
      <c r="AL55">
        <v>0</v>
      </c>
      <c r="AM55">
        <v>0</v>
      </c>
    </row>
    <row r="56" spans="1:39" hidden="1" x14ac:dyDescent="0.2">
      <c r="A56" t="s">
        <v>166</v>
      </c>
      <c r="B56" t="s">
        <v>167</v>
      </c>
      <c r="C56" t="s">
        <v>167</v>
      </c>
      <c r="D56" t="s">
        <v>4</v>
      </c>
      <c r="E56">
        <v>0</v>
      </c>
      <c r="F56">
        <v>1</v>
      </c>
      <c r="G56">
        <v>0</v>
      </c>
      <c r="H56">
        <v>0</v>
      </c>
      <c r="I56" t="s">
        <v>18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4.7</v>
      </c>
      <c r="AE56">
        <v>246</v>
      </c>
      <c r="AF56">
        <v>17.096774193548381</v>
      </c>
      <c r="AG56">
        <v>16.534039730531351</v>
      </c>
      <c r="AH56">
        <v>23.680601539994161</v>
      </c>
      <c r="AI56">
        <f>19.2508684605848*1</f>
        <v>19.250868460584801</v>
      </c>
      <c r="AJ56">
        <f>3.89344583038159*1</f>
        <v>3.89344583038159</v>
      </c>
      <c r="AK56">
        <v>1</v>
      </c>
      <c r="AL56">
        <v>0</v>
      </c>
      <c r="AM56">
        <v>0</v>
      </c>
    </row>
    <row r="57" spans="1:39" x14ac:dyDescent="0.2">
      <c r="A57" t="s">
        <v>283</v>
      </c>
      <c r="B57" t="s">
        <v>284</v>
      </c>
      <c r="C57" t="s">
        <v>284</v>
      </c>
      <c r="D57" t="s">
        <v>6</v>
      </c>
      <c r="E57">
        <v>0</v>
      </c>
      <c r="F57">
        <v>0</v>
      </c>
      <c r="G57">
        <v>0</v>
      </c>
      <c r="H57">
        <v>1</v>
      </c>
      <c r="I57" t="s">
        <v>26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8.9</v>
      </c>
      <c r="AE57">
        <v>496</v>
      </c>
      <c r="AF57">
        <v>28.125</v>
      </c>
      <c r="AG57">
        <v>27.910599774317792</v>
      </c>
      <c r="AH57">
        <v>43.805545853388402</v>
      </c>
      <c r="AI57">
        <f>37.4700700137529*1</f>
        <v>37.470070013752903</v>
      </c>
      <c r="AJ57">
        <f>7.47742208671217*1</f>
        <v>7.4774220867121697</v>
      </c>
      <c r="AK57">
        <v>1</v>
      </c>
      <c r="AL57">
        <v>1</v>
      </c>
      <c r="AM57">
        <v>1</v>
      </c>
    </row>
    <row r="58" spans="1:39" hidden="1" x14ac:dyDescent="0.2">
      <c r="A58" t="s">
        <v>171</v>
      </c>
      <c r="B58" t="s">
        <v>172</v>
      </c>
      <c r="C58" t="s">
        <v>172</v>
      </c>
      <c r="D58" t="s">
        <v>4</v>
      </c>
      <c r="E58">
        <v>0</v>
      </c>
      <c r="F58">
        <v>1</v>
      </c>
      <c r="G58">
        <v>0</v>
      </c>
      <c r="H58">
        <v>0</v>
      </c>
      <c r="I58" t="s">
        <v>18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4.5</v>
      </c>
      <c r="AE58">
        <v>258</v>
      </c>
      <c r="AF58">
        <v>0</v>
      </c>
      <c r="AG58">
        <v>0</v>
      </c>
      <c r="AH58">
        <v>0</v>
      </c>
      <c r="AI58">
        <f>0*1</f>
        <v>0</v>
      </c>
      <c r="AJ58">
        <f>0*1</f>
        <v>0</v>
      </c>
      <c r="AK58">
        <v>1</v>
      </c>
      <c r="AL58">
        <v>0</v>
      </c>
      <c r="AM58">
        <v>0</v>
      </c>
    </row>
    <row r="59" spans="1:39" hidden="1" x14ac:dyDescent="0.2">
      <c r="A59" t="s">
        <v>173</v>
      </c>
      <c r="B59" t="s">
        <v>174</v>
      </c>
      <c r="C59" t="s">
        <v>175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5.0999999999999996</v>
      </c>
      <c r="AE59">
        <v>262</v>
      </c>
      <c r="AF59">
        <v>15.57291666666667</v>
      </c>
      <c r="AG59">
        <v>16.699652151915242</v>
      </c>
      <c r="AH59">
        <v>12.596270678626791</v>
      </c>
      <c r="AI59">
        <f>13.1358851423889*1</f>
        <v>13.135885142388901</v>
      </c>
      <c r="AJ59">
        <f>2.5722820084284*1</f>
        <v>2.5722820084284002</v>
      </c>
      <c r="AK59">
        <v>1</v>
      </c>
      <c r="AL59">
        <v>0</v>
      </c>
      <c r="AM59">
        <v>0</v>
      </c>
    </row>
    <row r="60" spans="1:39" hidden="1" x14ac:dyDescent="0.2">
      <c r="A60" t="s">
        <v>176</v>
      </c>
      <c r="B60" t="s">
        <v>177</v>
      </c>
      <c r="C60" t="s">
        <v>177</v>
      </c>
      <c r="D60" t="s">
        <v>6</v>
      </c>
      <c r="E60">
        <v>0</v>
      </c>
      <c r="F60">
        <v>0</v>
      </c>
      <c r="G60">
        <v>0</v>
      </c>
      <c r="H60">
        <v>1</v>
      </c>
      <c r="I60" t="s">
        <v>19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5.5</v>
      </c>
      <c r="AE60">
        <v>265</v>
      </c>
      <c r="AF60">
        <v>16.756966111635339</v>
      </c>
      <c r="AG60">
        <v>18.480332311519589</v>
      </c>
      <c r="AH60">
        <v>15.894579719555081</v>
      </c>
      <c r="AI60">
        <f>10.4813457737194*1</f>
        <v>10.481345773719401</v>
      </c>
      <c r="AJ60">
        <f>1.92498957190319*1</f>
        <v>1.92498957190319</v>
      </c>
      <c r="AK60">
        <v>1</v>
      </c>
      <c r="AL60">
        <v>0</v>
      </c>
      <c r="AM60">
        <v>0</v>
      </c>
    </row>
    <row r="61" spans="1:39" hidden="1" x14ac:dyDescent="0.2">
      <c r="A61" t="s">
        <v>178</v>
      </c>
      <c r="B61" t="s">
        <v>179</v>
      </c>
      <c r="C61" t="s">
        <v>180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4.8</v>
      </c>
      <c r="AE61">
        <v>267</v>
      </c>
      <c r="AF61">
        <v>11.768746884427539</v>
      </c>
      <c r="AG61">
        <v>8.7486807739470507</v>
      </c>
      <c r="AH61">
        <v>12.068023677298321</v>
      </c>
      <c r="AI61">
        <f>11.5786866665676*1</f>
        <v>11.5786866665676</v>
      </c>
      <c r="AJ61">
        <f>2.38585650965325*1</f>
        <v>2.3858565096532498</v>
      </c>
      <c r="AK61">
        <v>1</v>
      </c>
      <c r="AL61">
        <v>0</v>
      </c>
      <c r="AM61">
        <v>0</v>
      </c>
    </row>
    <row r="62" spans="1:39" hidden="1" x14ac:dyDescent="0.2">
      <c r="A62" t="s">
        <v>181</v>
      </c>
      <c r="B62" t="s">
        <v>182</v>
      </c>
      <c r="C62" t="s">
        <v>182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5.3</v>
      </c>
      <c r="AE62">
        <v>275</v>
      </c>
      <c r="AF62">
        <v>16.411886341614011</v>
      </c>
      <c r="AG62">
        <v>14.948495638452791</v>
      </c>
      <c r="AH62">
        <v>20.726038876540208</v>
      </c>
      <c r="AI62">
        <f>14.4779661433481*1</f>
        <v>14.4779661433481</v>
      </c>
      <c r="AJ62">
        <f>2.83223935707056*1</f>
        <v>2.8322393570705602</v>
      </c>
      <c r="AK62">
        <v>1</v>
      </c>
      <c r="AL62">
        <v>0</v>
      </c>
      <c r="AM62">
        <v>0</v>
      </c>
    </row>
    <row r="63" spans="1:39" x14ac:dyDescent="0.2">
      <c r="A63" t="s">
        <v>281</v>
      </c>
      <c r="B63" t="s">
        <v>282</v>
      </c>
      <c r="C63" t="s">
        <v>282</v>
      </c>
      <c r="D63" t="s">
        <v>4</v>
      </c>
      <c r="E63">
        <v>0</v>
      </c>
      <c r="F63">
        <v>1</v>
      </c>
      <c r="G63">
        <v>0</v>
      </c>
      <c r="H63">
        <v>0</v>
      </c>
      <c r="I63" t="s">
        <v>26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4.5999999999999996</v>
      </c>
      <c r="AE63">
        <v>494</v>
      </c>
      <c r="AF63">
        <v>13.65853658536586</v>
      </c>
      <c r="AG63">
        <v>12.427778782597221</v>
      </c>
      <c r="AH63">
        <v>55.857142857142847</v>
      </c>
      <c r="AI63">
        <f>31.1133124635435*1</f>
        <v>31.113312463543501</v>
      </c>
      <c r="AJ63">
        <f>6.06093749457892*1</f>
        <v>6.0609374945789201</v>
      </c>
      <c r="AK63">
        <v>1</v>
      </c>
      <c r="AL63">
        <v>1</v>
      </c>
      <c r="AM63">
        <v>1</v>
      </c>
    </row>
    <row r="64" spans="1:39" x14ac:dyDescent="0.2">
      <c r="A64" t="s">
        <v>258</v>
      </c>
      <c r="B64" t="s">
        <v>259</v>
      </c>
      <c r="C64" t="s">
        <v>258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25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5.3</v>
      </c>
      <c r="AE64">
        <v>452</v>
      </c>
      <c r="AF64">
        <v>18.46153846153846</v>
      </c>
      <c r="AG64">
        <v>17.266243043767719</v>
      </c>
      <c r="AH64">
        <v>39.788200072944527</v>
      </c>
      <c r="AI64">
        <f>28.5663006936788*1</f>
        <v>28.566300693678802</v>
      </c>
      <c r="AJ64">
        <f>5.97059780471512*1</f>
        <v>5.97059780471512</v>
      </c>
      <c r="AK64">
        <v>1</v>
      </c>
      <c r="AL64">
        <v>1</v>
      </c>
      <c r="AM64">
        <v>1</v>
      </c>
    </row>
    <row r="65" spans="1:39" x14ac:dyDescent="0.2">
      <c r="A65" t="s">
        <v>183</v>
      </c>
      <c r="B65" t="s">
        <v>184</v>
      </c>
      <c r="C65" t="s">
        <v>184</v>
      </c>
      <c r="D65" t="s">
        <v>4</v>
      </c>
      <c r="E65">
        <v>0</v>
      </c>
      <c r="F65">
        <v>1</v>
      </c>
      <c r="G65">
        <v>0</v>
      </c>
      <c r="H65">
        <v>0</v>
      </c>
      <c r="I65" t="s">
        <v>19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4.3</v>
      </c>
      <c r="AE65">
        <v>276</v>
      </c>
      <c r="AF65">
        <v>15.810545005225061</v>
      </c>
      <c r="AG65">
        <v>11.98159760891231</v>
      </c>
      <c r="AH65">
        <v>25.339714261505019</v>
      </c>
      <c r="AI65">
        <f>25.9607391712805*1</f>
        <v>25.960739171280501</v>
      </c>
      <c r="AJ65">
        <f>5.21316591103366*1</f>
        <v>5.2131659110336601</v>
      </c>
      <c r="AK65">
        <v>1</v>
      </c>
      <c r="AL65">
        <v>1</v>
      </c>
      <c r="AM65">
        <v>1</v>
      </c>
    </row>
    <row r="66" spans="1:39" hidden="1" x14ac:dyDescent="0.2">
      <c r="A66" t="s">
        <v>189</v>
      </c>
      <c r="B66" t="s">
        <v>190</v>
      </c>
      <c r="C66" t="s">
        <v>190</v>
      </c>
      <c r="D66" t="s">
        <v>4</v>
      </c>
      <c r="E66">
        <v>0</v>
      </c>
      <c r="F66">
        <v>1</v>
      </c>
      <c r="G66">
        <v>0</v>
      </c>
      <c r="H66">
        <v>0</v>
      </c>
      <c r="I66" t="s">
        <v>19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4.7</v>
      </c>
      <c r="AE66">
        <v>282</v>
      </c>
      <c r="AF66">
        <v>13.22222222222222</v>
      </c>
      <c r="AG66">
        <v>12.23235981747653</v>
      </c>
      <c r="AH66">
        <v>54.745342136854752</v>
      </c>
      <c r="AI66">
        <f>22.7550753034561*1</f>
        <v>22.755075303456099</v>
      </c>
      <c r="AJ66">
        <f>4.61251422345027*1</f>
        <v>4.6125142234502698</v>
      </c>
      <c r="AK66">
        <v>1</v>
      </c>
      <c r="AL66">
        <v>0</v>
      </c>
      <c r="AM66">
        <v>0</v>
      </c>
    </row>
    <row r="67" spans="1:39" hidden="1" x14ac:dyDescent="0.2">
      <c r="A67" t="s">
        <v>191</v>
      </c>
      <c r="B67" t="s">
        <v>192</v>
      </c>
      <c r="C67" t="s">
        <v>192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19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</v>
      </c>
      <c r="AE67">
        <v>289</v>
      </c>
      <c r="AF67">
        <v>9.8305084745762699</v>
      </c>
      <c r="AG67">
        <v>8.6638935393351844</v>
      </c>
      <c r="AH67">
        <v>17.355320597644429</v>
      </c>
      <c r="AI67">
        <f>9.94718051237779*1</f>
        <v>9.9471805123777894</v>
      </c>
      <c r="AJ67">
        <f>1.98331438404083*1</f>
        <v>1.98331438404083</v>
      </c>
      <c r="AK67">
        <v>1</v>
      </c>
      <c r="AL67">
        <v>0</v>
      </c>
      <c r="AM67">
        <v>0</v>
      </c>
    </row>
    <row r="68" spans="1:39" hidden="1" x14ac:dyDescent="0.2">
      <c r="A68" t="s">
        <v>193</v>
      </c>
      <c r="B68" t="s">
        <v>194</v>
      </c>
      <c r="C68" t="s">
        <v>193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20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</v>
      </c>
      <c r="AE68">
        <v>295</v>
      </c>
      <c r="AF68">
        <v>17.261904761904759</v>
      </c>
      <c r="AG68">
        <v>17.553805377099341</v>
      </c>
      <c r="AH68">
        <v>16.164444828617189</v>
      </c>
      <c r="AI68">
        <f>13.1293144617125*1</f>
        <v>13.1293144617125</v>
      </c>
      <c r="AJ68">
        <f>2.56349113372458*1</f>
        <v>2.5634911337245798</v>
      </c>
      <c r="AK68">
        <v>1</v>
      </c>
      <c r="AL68">
        <v>0</v>
      </c>
      <c r="AM68">
        <v>0</v>
      </c>
    </row>
    <row r="69" spans="1:39" hidden="1" x14ac:dyDescent="0.2">
      <c r="A69" t="s">
        <v>195</v>
      </c>
      <c r="B69" t="s">
        <v>196</v>
      </c>
      <c r="C69" t="s">
        <v>196</v>
      </c>
      <c r="D69" t="s">
        <v>4</v>
      </c>
      <c r="E69">
        <v>0</v>
      </c>
      <c r="F69">
        <v>1</v>
      </c>
      <c r="G69">
        <v>0</v>
      </c>
      <c r="H69">
        <v>0</v>
      </c>
      <c r="I69" t="s">
        <v>20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4.5</v>
      </c>
      <c r="AE69">
        <v>296</v>
      </c>
      <c r="AF69">
        <v>11.22222222222222</v>
      </c>
      <c r="AG69">
        <v>12.834534669706411</v>
      </c>
      <c r="AH69">
        <v>5.978100941861225</v>
      </c>
      <c r="AI69">
        <f>8.77602290762467*1</f>
        <v>8.7760229076246699</v>
      </c>
      <c r="AJ69">
        <f>1.91098271692955*1</f>
        <v>1.9109827169295499</v>
      </c>
      <c r="AK69">
        <v>1</v>
      </c>
      <c r="AL69">
        <v>0</v>
      </c>
      <c r="AM69">
        <v>0</v>
      </c>
    </row>
    <row r="70" spans="1:39" hidden="1" x14ac:dyDescent="0.2">
      <c r="A70" t="s">
        <v>197</v>
      </c>
      <c r="B70" t="s">
        <v>198</v>
      </c>
      <c r="C70" t="s">
        <v>198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20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5.8</v>
      </c>
      <c r="AE70">
        <v>302</v>
      </c>
      <c r="AF70">
        <v>19.936030480973528</v>
      </c>
      <c r="AG70">
        <v>11.962595213809321</v>
      </c>
      <c r="AH70">
        <v>10.886974604669181</v>
      </c>
      <c r="AI70">
        <f>24.1978466039175*1</f>
        <v>24.197846603917501</v>
      </c>
      <c r="AJ70">
        <f>4.88421576482396*1</f>
        <v>4.8842157648239599</v>
      </c>
      <c r="AK70">
        <v>1</v>
      </c>
      <c r="AL70">
        <v>0</v>
      </c>
      <c r="AM70">
        <v>0</v>
      </c>
    </row>
    <row r="71" spans="1:39" hidden="1" x14ac:dyDescent="0.2">
      <c r="A71" t="s">
        <v>199</v>
      </c>
      <c r="B71" t="s">
        <v>200</v>
      </c>
      <c r="C71" t="s">
        <v>200</v>
      </c>
      <c r="D71" t="s">
        <v>3</v>
      </c>
      <c r="E71">
        <v>1</v>
      </c>
      <c r="F71">
        <v>0</v>
      </c>
      <c r="G71">
        <v>0</v>
      </c>
      <c r="H71">
        <v>0</v>
      </c>
      <c r="I71" t="s">
        <v>20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</v>
      </c>
      <c r="AE71">
        <v>303</v>
      </c>
      <c r="AF71">
        <v>17.51474233553499</v>
      </c>
      <c r="AG71">
        <v>18.781405187643362</v>
      </c>
      <c r="AH71">
        <v>12.96105157652622</v>
      </c>
      <c r="AI71">
        <f>10.7787211455648*1</f>
        <v>10.7787211455648</v>
      </c>
      <c r="AJ71">
        <f>1.9200360316226*1</f>
        <v>1.9200360316225999</v>
      </c>
      <c r="AK71">
        <v>1</v>
      </c>
      <c r="AL71">
        <v>0</v>
      </c>
      <c r="AM71">
        <v>0</v>
      </c>
    </row>
    <row r="72" spans="1:39" hidden="1" x14ac:dyDescent="0.2">
      <c r="A72" t="s">
        <v>201</v>
      </c>
      <c r="B72" t="s">
        <v>202</v>
      </c>
      <c r="C72" t="s">
        <v>203</v>
      </c>
      <c r="D72" t="s">
        <v>6</v>
      </c>
      <c r="E72">
        <v>0</v>
      </c>
      <c r="F72">
        <v>0</v>
      </c>
      <c r="G72">
        <v>0</v>
      </c>
      <c r="H72">
        <v>1</v>
      </c>
      <c r="I72" t="s">
        <v>20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5.5</v>
      </c>
      <c r="AE72">
        <v>306</v>
      </c>
      <c r="AF72">
        <v>16.207757954818991</v>
      </c>
      <c r="AG72">
        <v>14.88858621530448</v>
      </c>
      <c r="AH72">
        <v>20.714285714285719</v>
      </c>
      <c r="AI72">
        <f>5.78558598290683*1</f>
        <v>5.7855859829068299</v>
      </c>
      <c r="AJ72">
        <f>1.21962914507568*1</f>
        <v>1.21962914507568</v>
      </c>
      <c r="AK72">
        <v>1</v>
      </c>
      <c r="AL72">
        <v>0</v>
      </c>
      <c r="AM72">
        <v>0</v>
      </c>
    </row>
    <row r="73" spans="1:39" hidden="1" x14ac:dyDescent="0.2">
      <c r="A73" t="s">
        <v>204</v>
      </c>
      <c r="B73" t="s">
        <v>205</v>
      </c>
      <c r="C73" t="s">
        <v>204</v>
      </c>
      <c r="D73" t="s">
        <v>6</v>
      </c>
      <c r="E73">
        <v>0</v>
      </c>
      <c r="F73">
        <v>0</v>
      </c>
      <c r="G73">
        <v>0</v>
      </c>
      <c r="H73">
        <v>1</v>
      </c>
      <c r="I73" t="s">
        <v>20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5.6</v>
      </c>
      <c r="AE73">
        <v>307</v>
      </c>
      <c r="AF73">
        <v>18.018742932391991</v>
      </c>
      <c r="AG73">
        <v>20.43990531881235</v>
      </c>
      <c r="AH73">
        <v>10.68753984581001</v>
      </c>
      <c r="AI73">
        <f>6.73863261736923*1</f>
        <v>6.7386326173692304</v>
      </c>
      <c r="AJ73">
        <f>1.42449462664396*1</f>
        <v>1.42449462664396</v>
      </c>
      <c r="AK73">
        <v>1</v>
      </c>
      <c r="AL73">
        <v>0</v>
      </c>
      <c r="AM73">
        <v>0</v>
      </c>
    </row>
    <row r="74" spans="1:39" hidden="1" x14ac:dyDescent="0.2">
      <c r="A74" t="s">
        <v>206</v>
      </c>
      <c r="B74" t="s">
        <v>207</v>
      </c>
      <c r="C74" t="s">
        <v>207</v>
      </c>
      <c r="D74" t="s">
        <v>4</v>
      </c>
      <c r="E74">
        <v>0</v>
      </c>
      <c r="F74">
        <v>1</v>
      </c>
      <c r="G74">
        <v>0</v>
      </c>
      <c r="H74">
        <v>0</v>
      </c>
      <c r="I74" t="s">
        <v>20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4.9000000000000004</v>
      </c>
      <c r="AE74">
        <v>310</v>
      </c>
      <c r="AF74">
        <v>15.421403933130851</v>
      </c>
      <c r="AG74">
        <v>9.4385786202462469</v>
      </c>
      <c r="AH74">
        <v>30.7797374194433</v>
      </c>
      <c r="AI74">
        <f>10.7888792662515*1</f>
        <v>10.788879266251501</v>
      </c>
      <c r="AJ74">
        <f>1.81326176505027*1</f>
        <v>1.81326176505027</v>
      </c>
      <c r="AK74">
        <v>1</v>
      </c>
      <c r="AL74">
        <v>0</v>
      </c>
      <c r="AM74">
        <v>0</v>
      </c>
    </row>
    <row r="75" spans="1:39" hidden="1" x14ac:dyDescent="0.2">
      <c r="A75" t="s">
        <v>208</v>
      </c>
      <c r="B75" t="s">
        <v>209</v>
      </c>
      <c r="C75" t="s">
        <v>209</v>
      </c>
      <c r="D75" t="s">
        <v>4</v>
      </c>
      <c r="E75">
        <v>0</v>
      </c>
      <c r="F75">
        <v>1</v>
      </c>
      <c r="G75">
        <v>0</v>
      </c>
      <c r="H75">
        <v>0</v>
      </c>
      <c r="I75" t="s">
        <v>20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4.5</v>
      </c>
      <c r="AE75">
        <v>312</v>
      </c>
      <c r="AF75">
        <v>11.53737424753761</v>
      </c>
      <c r="AG75">
        <v>12.35445113494673</v>
      </c>
      <c r="AH75">
        <v>17.868661854785039</v>
      </c>
      <c r="AI75">
        <f>7.98046038378602*1</f>
        <v>7.9804603837860197</v>
      </c>
      <c r="AJ75">
        <f>1.31075820882875*1</f>
        <v>1.3107582088287499</v>
      </c>
      <c r="AK75">
        <v>1</v>
      </c>
      <c r="AL75">
        <v>0</v>
      </c>
      <c r="AM75">
        <v>0</v>
      </c>
    </row>
    <row r="76" spans="1:39" hidden="1" x14ac:dyDescent="0.2">
      <c r="A76" t="s">
        <v>210</v>
      </c>
      <c r="B76" t="s">
        <v>211</v>
      </c>
      <c r="C76" t="s">
        <v>211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21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5.0999999999999996</v>
      </c>
      <c r="AE76">
        <v>326</v>
      </c>
      <c r="AF76">
        <v>0</v>
      </c>
      <c r="AG76">
        <v>0</v>
      </c>
      <c r="AH76">
        <v>0</v>
      </c>
      <c r="AI76">
        <f>0*1</f>
        <v>0</v>
      </c>
      <c r="AJ76">
        <f>0*1</f>
        <v>0</v>
      </c>
      <c r="AK76">
        <v>1</v>
      </c>
      <c r="AL76">
        <v>0</v>
      </c>
      <c r="AM76">
        <v>0</v>
      </c>
    </row>
    <row r="77" spans="1:39" hidden="1" x14ac:dyDescent="0.2">
      <c r="A77" t="s">
        <v>212</v>
      </c>
      <c r="B77" t="s">
        <v>213</v>
      </c>
      <c r="C77" t="s">
        <v>213</v>
      </c>
      <c r="D77" t="s">
        <v>3</v>
      </c>
      <c r="E77">
        <v>1</v>
      </c>
      <c r="F77">
        <v>0</v>
      </c>
      <c r="G77">
        <v>0</v>
      </c>
      <c r="H77">
        <v>0</v>
      </c>
      <c r="I77" t="s">
        <v>21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4.4000000000000004</v>
      </c>
      <c r="AE77">
        <v>347</v>
      </c>
      <c r="AF77">
        <v>16.20245211513496</v>
      </c>
      <c r="AG77">
        <v>34.355483544464903</v>
      </c>
      <c r="AH77">
        <v>13.44922345749894</v>
      </c>
      <c r="AI77">
        <f>12.543149708344*1</f>
        <v>12.543149708344</v>
      </c>
      <c r="AJ77">
        <f>1.9045748780009*1</f>
        <v>1.9045748780009</v>
      </c>
      <c r="AK77">
        <v>1</v>
      </c>
      <c r="AL77">
        <v>0</v>
      </c>
      <c r="AM77">
        <v>0</v>
      </c>
    </row>
    <row r="78" spans="1:39" hidden="1" x14ac:dyDescent="0.2">
      <c r="A78" t="s">
        <v>214</v>
      </c>
      <c r="B78" t="s">
        <v>215</v>
      </c>
      <c r="C78" t="s">
        <v>215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21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5.8</v>
      </c>
      <c r="AE78">
        <v>349</v>
      </c>
      <c r="AF78">
        <v>0</v>
      </c>
      <c r="AG78">
        <v>0</v>
      </c>
      <c r="AH78">
        <v>0</v>
      </c>
      <c r="AI78">
        <f>0*1</f>
        <v>0</v>
      </c>
      <c r="AJ78">
        <f>0*1</f>
        <v>0</v>
      </c>
      <c r="AK78">
        <v>1</v>
      </c>
      <c r="AL78">
        <v>0</v>
      </c>
      <c r="AM78">
        <v>0</v>
      </c>
    </row>
    <row r="79" spans="1:39" hidden="1" x14ac:dyDescent="0.2">
      <c r="A79" t="s">
        <v>216</v>
      </c>
      <c r="B79" t="s">
        <v>217</v>
      </c>
      <c r="C79" t="s">
        <v>217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22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4.9000000000000004</v>
      </c>
      <c r="AE79">
        <v>354</v>
      </c>
      <c r="AF79">
        <v>13</v>
      </c>
      <c r="AG79">
        <v>11.5898580808562</v>
      </c>
      <c r="AH79">
        <v>6.5714285714285712</v>
      </c>
      <c r="AI79">
        <f>14.3198002166731*1</f>
        <v>14.3198002166731</v>
      </c>
      <c r="AJ79">
        <f>2.96965508465651*1</f>
        <v>2.9696550846565102</v>
      </c>
      <c r="AK79">
        <v>1</v>
      </c>
      <c r="AL79">
        <v>0</v>
      </c>
      <c r="AM79">
        <v>0</v>
      </c>
    </row>
    <row r="80" spans="1:39" hidden="1" x14ac:dyDescent="0.2">
      <c r="A80" t="s">
        <v>185</v>
      </c>
      <c r="B80" t="s">
        <v>218</v>
      </c>
      <c r="C80" t="s">
        <v>219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5.2</v>
      </c>
      <c r="AE80">
        <v>355</v>
      </c>
      <c r="AF80">
        <v>13.872549019607829</v>
      </c>
      <c r="AG80">
        <v>12.49420153936955</v>
      </c>
      <c r="AH80">
        <v>9.6630518080142807</v>
      </c>
      <c r="AI80">
        <f>13.0419858135597*1</f>
        <v>13.0419858135597</v>
      </c>
      <c r="AJ80">
        <f>2.63930296305819*1</f>
        <v>2.6393029630581899</v>
      </c>
      <c r="AK80">
        <v>1</v>
      </c>
      <c r="AL80">
        <v>0</v>
      </c>
      <c r="AM80">
        <v>0</v>
      </c>
    </row>
    <row r="81" spans="1:39" hidden="1" x14ac:dyDescent="0.2">
      <c r="A81" t="s">
        <v>220</v>
      </c>
      <c r="B81" t="s">
        <v>221</v>
      </c>
      <c r="C81" t="s">
        <v>221</v>
      </c>
      <c r="D81" t="s">
        <v>3</v>
      </c>
      <c r="E81">
        <v>1</v>
      </c>
      <c r="F81">
        <v>0</v>
      </c>
      <c r="G81">
        <v>0</v>
      </c>
      <c r="H81">
        <v>0</v>
      </c>
      <c r="I81" t="s">
        <v>22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4.5</v>
      </c>
      <c r="AE81">
        <v>365</v>
      </c>
      <c r="AF81">
        <v>0</v>
      </c>
      <c r="AG81">
        <v>0</v>
      </c>
      <c r="AH81">
        <v>0</v>
      </c>
      <c r="AI81">
        <f>0*1</f>
        <v>0</v>
      </c>
      <c r="AJ81">
        <f>0*1</f>
        <v>0</v>
      </c>
      <c r="AK81">
        <v>1</v>
      </c>
      <c r="AL81">
        <v>0</v>
      </c>
      <c r="AM81">
        <v>0</v>
      </c>
    </row>
    <row r="82" spans="1:39" hidden="1" x14ac:dyDescent="0.2">
      <c r="A82" t="s">
        <v>222</v>
      </c>
      <c r="B82" t="s">
        <v>223</v>
      </c>
      <c r="C82" t="s">
        <v>223</v>
      </c>
      <c r="D82" t="s">
        <v>6</v>
      </c>
      <c r="E82">
        <v>0</v>
      </c>
      <c r="F82">
        <v>0</v>
      </c>
      <c r="G82">
        <v>0</v>
      </c>
      <c r="H82">
        <v>1</v>
      </c>
      <c r="I82" t="s">
        <v>22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5.6</v>
      </c>
      <c r="AE82">
        <v>378</v>
      </c>
      <c r="AF82">
        <v>18.2387402753684</v>
      </c>
      <c r="AG82">
        <v>24.497514006584801</v>
      </c>
      <c r="AH82">
        <v>16.487915740822551</v>
      </c>
      <c r="AI82">
        <f>24.0858603937318*1</f>
        <v>24.085860393731799</v>
      </c>
      <c r="AJ82">
        <f>4.51257721044882*1</f>
        <v>4.5125772104488204</v>
      </c>
      <c r="AK82">
        <v>1</v>
      </c>
      <c r="AL82">
        <v>0</v>
      </c>
      <c r="AM82">
        <v>0</v>
      </c>
    </row>
    <row r="83" spans="1:39" hidden="1" x14ac:dyDescent="0.2">
      <c r="A83" t="s">
        <v>224</v>
      </c>
      <c r="B83" t="s">
        <v>225</v>
      </c>
      <c r="C83" t="s">
        <v>225</v>
      </c>
      <c r="D83" t="s">
        <v>4</v>
      </c>
      <c r="E83">
        <v>0</v>
      </c>
      <c r="F83">
        <v>1</v>
      </c>
      <c r="G83">
        <v>0</v>
      </c>
      <c r="H83">
        <v>0</v>
      </c>
      <c r="I83" t="s">
        <v>23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7</v>
      </c>
      <c r="AE83">
        <v>389</v>
      </c>
      <c r="AF83">
        <v>25.482252212858839</v>
      </c>
      <c r="AG83">
        <v>28.955840039086851</v>
      </c>
      <c r="AH83">
        <v>17.72353695465463</v>
      </c>
      <c r="AI83">
        <f>14.5195278193467*1</f>
        <v>14.519527819346701</v>
      </c>
      <c r="AJ83">
        <f>2.69552137444792*1</f>
        <v>2.6955213744479201</v>
      </c>
      <c r="AK83">
        <v>1</v>
      </c>
      <c r="AL83">
        <v>0</v>
      </c>
      <c r="AM83">
        <v>0</v>
      </c>
    </row>
    <row r="84" spans="1:39" hidden="1" x14ac:dyDescent="0.2">
      <c r="A84" t="s">
        <v>226</v>
      </c>
      <c r="B84" t="s">
        <v>227</v>
      </c>
      <c r="C84" t="s">
        <v>227</v>
      </c>
      <c r="D84" t="s">
        <v>6</v>
      </c>
      <c r="E84">
        <v>0</v>
      </c>
      <c r="F84">
        <v>0</v>
      </c>
      <c r="G84">
        <v>0</v>
      </c>
      <c r="H84">
        <v>1</v>
      </c>
      <c r="I84" t="s">
        <v>23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7.1</v>
      </c>
      <c r="AE84">
        <v>398</v>
      </c>
      <c r="AF84">
        <v>16.2385911141326</v>
      </c>
      <c r="AG84">
        <v>17.012533285471608</v>
      </c>
      <c r="AH84">
        <v>25.015504479022301</v>
      </c>
      <c r="AI84">
        <f>18.1782024686542*1</f>
        <v>18.178202468654199</v>
      </c>
      <c r="AJ84">
        <f>3.75224395442316*1</f>
        <v>3.7522439544231601</v>
      </c>
      <c r="AK84">
        <v>1</v>
      </c>
      <c r="AL84">
        <v>0</v>
      </c>
      <c r="AM84">
        <v>0</v>
      </c>
    </row>
    <row r="85" spans="1:39" hidden="1" x14ac:dyDescent="0.2">
      <c r="A85" t="s">
        <v>87</v>
      </c>
      <c r="B85" t="s">
        <v>228</v>
      </c>
      <c r="C85" t="s">
        <v>228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23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</v>
      </c>
      <c r="AE85">
        <v>400</v>
      </c>
      <c r="AF85">
        <v>10.1219512195122</v>
      </c>
      <c r="AG85">
        <v>12.81723458803399</v>
      </c>
      <c r="AH85">
        <v>9.3966773966773971</v>
      </c>
      <c r="AI85">
        <f>5.66693394268546*1</f>
        <v>5.6669339426854597</v>
      </c>
      <c r="AJ85">
        <f>1.11769972685438*1</f>
        <v>1.11769972685438</v>
      </c>
      <c r="AK85">
        <v>1</v>
      </c>
      <c r="AL85">
        <v>0</v>
      </c>
      <c r="AM85">
        <v>0</v>
      </c>
    </row>
    <row r="86" spans="1:39" hidden="1" x14ac:dyDescent="0.2">
      <c r="A86" t="s">
        <v>229</v>
      </c>
      <c r="B86" t="s">
        <v>230</v>
      </c>
      <c r="C86" t="s">
        <v>230</v>
      </c>
      <c r="D86" t="s">
        <v>5</v>
      </c>
      <c r="E86">
        <v>0</v>
      </c>
      <c r="F86">
        <v>0</v>
      </c>
      <c r="G86">
        <v>1</v>
      </c>
      <c r="H86">
        <v>0</v>
      </c>
      <c r="I86" t="s">
        <v>23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5.3</v>
      </c>
      <c r="AE86">
        <v>401</v>
      </c>
      <c r="AF86">
        <v>11.35416666666667</v>
      </c>
      <c r="AG86">
        <v>10.825121798352271</v>
      </c>
      <c r="AH86">
        <v>10.28</v>
      </c>
      <c r="AI86">
        <f>14.8181022577241*1</f>
        <v>14.8181022577241</v>
      </c>
      <c r="AJ86">
        <f>2.88714181327496*1</f>
        <v>2.88714181327496</v>
      </c>
      <c r="AK86">
        <v>1</v>
      </c>
      <c r="AL86">
        <v>0</v>
      </c>
      <c r="AM86">
        <v>0</v>
      </c>
    </row>
    <row r="87" spans="1:39" hidden="1" x14ac:dyDescent="0.2">
      <c r="A87" t="s">
        <v>231</v>
      </c>
      <c r="B87" t="s">
        <v>232</v>
      </c>
      <c r="C87" t="s">
        <v>233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23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7.4</v>
      </c>
      <c r="AE87">
        <v>404</v>
      </c>
      <c r="AF87">
        <v>20.12987012987012</v>
      </c>
      <c r="AG87">
        <v>13.89245471766797</v>
      </c>
      <c r="AH87">
        <v>24.399846785469009</v>
      </c>
      <c r="AI87">
        <f>9.56051398484974*1</f>
        <v>9.5605139848497398</v>
      </c>
      <c r="AJ87">
        <f>1.90265661274903*1</f>
        <v>1.9026566127490301</v>
      </c>
      <c r="AK87">
        <v>1</v>
      </c>
      <c r="AL87">
        <v>0</v>
      </c>
      <c r="AM87">
        <v>0</v>
      </c>
    </row>
    <row r="88" spans="1:39" x14ac:dyDescent="0.2">
      <c r="A88" t="s">
        <v>334</v>
      </c>
      <c r="B88" t="s">
        <v>335</v>
      </c>
      <c r="C88" t="s">
        <v>334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  <c r="AD88">
        <v>9.8000000000000007</v>
      </c>
      <c r="AE88">
        <v>615</v>
      </c>
      <c r="AF88">
        <v>26.969493364586011</v>
      </c>
      <c r="AG88">
        <v>27.288528911834419</v>
      </c>
      <c r="AH88">
        <v>60.233333333333327</v>
      </c>
      <c r="AI88">
        <f>25.079972116509*1</f>
        <v>25.079972116509001</v>
      </c>
      <c r="AJ88">
        <f>4.77927761246737*1</f>
        <v>4.7792776124673697</v>
      </c>
      <c r="AK88">
        <v>1</v>
      </c>
      <c r="AL88">
        <v>1</v>
      </c>
      <c r="AM88">
        <v>1</v>
      </c>
    </row>
    <row r="89" spans="1:39" hidden="1" x14ac:dyDescent="0.2">
      <c r="A89" t="s">
        <v>237</v>
      </c>
      <c r="B89" t="s">
        <v>238</v>
      </c>
      <c r="C89" t="s">
        <v>238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23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6.2</v>
      </c>
      <c r="AE89">
        <v>406</v>
      </c>
      <c r="AF89">
        <v>15.267044814598419</v>
      </c>
      <c r="AG89">
        <v>13.53400584113988</v>
      </c>
      <c r="AH89">
        <v>24.64149441592015</v>
      </c>
      <c r="AI89">
        <f>9.61555451174084*1</f>
        <v>9.6155545117408394</v>
      </c>
      <c r="AJ89">
        <f>1.8366466871071*1</f>
        <v>1.8366466871071001</v>
      </c>
      <c r="AK89">
        <v>1</v>
      </c>
      <c r="AL89">
        <v>0</v>
      </c>
      <c r="AM89">
        <v>0</v>
      </c>
    </row>
    <row r="90" spans="1:39" hidden="1" x14ac:dyDescent="0.2">
      <c r="A90" t="s">
        <v>239</v>
      </c>
      <c r="B90" t="s">
        <v>240</v>
      </c>
      <c r="C90" t="s">
        <v>240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23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6.3</v>
      </c>
      <c r="AE90">
        <v>413</v>
      </c>
      <c r="AF90">
        <v>16.458333333333339</v>
      </c>
      <c r="AG90">
        <v>14.43238493783776</v>
      </c>
      <c r="AH90">
        <v>21.240966138302952</v>
      </c>
      <c r="AI90">
        <f>15.8914837394101*1</f>
        <v>15.8914837394101</v>
      </c>
      <c r="AJ90">
        <f>3.10266594638356*1</f>
        <v>3.10266594638356</v>
      </c>
      <c r="AK90">
        <v>1</v>
      </c>
      <c r="AL90">
        <v>0</v>
      </c>
      <c r="AM90">
        <v>0</v>
      </c>
    </row>
    <row r="91" spans="1:39" hidden="1" x14ac:dyDescent="0.2">
      <c r="A91" t="s">
        <v>241</v>
      </c>
      <c r="B91" t="s">
        <v>242</v>
      </c>
      <c r="C91" t="s">
        <v>241</v>
      </c>
      <c r="D91" t="s">
        <v>4</v>
      </c>
      <c r="E91">
        <v>0</v>
      </c>
      <c r="F91">
        <v>1</v>
      </c>
      <c r="G91">
        <v>0</v>
      </c>
      <c r="H91">
        <v>0</v>
      </c>
      <c r="I91" t="s">
        <v>23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6.5</v>
      </c>
      <c r="AE91">
        <v>415</v>
      </c>
      <c r="AF91">
        <v>20.324520724090188</v>
      </c>
      <c r="AG91">
        <v>23.367880662876651</v>
      </c>
      <c r="AH91">
        <v>10.43141163156373</v>
      </c>
      <c r="AI91">
        <f>11.527054866867*1</f>
        <v>11.527054866866999</v>
      </c>
      <c r="AJ91">
        <f>1.97600275086777*1</f>
        <v>1.97600275086777</v>
      </c>
      <c r="AK91">
        <v>1</v>
      </c>
      <c r="AL91">
        <v>0</v>
      </c>
      <c r="AM91">
        <v>0</v>
      </c>
    </row>
    <row r="92" spans="1:39" hidden="1" x14ac:dyDescent="0.2">
      <c r="A92" t="s">
        <v>243</v>
      </c>
      <c r="B92" t="s">
        <v>244</v>
      </c>
      <c r="C92" t="s">
        <v>243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24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6.3</v>
      </c>
      <c r="AE92">
        <v>423</v>
      </c>
      <c r="AF92">
        <v>17.97468354430379</v>
      </c>
      <c r="AG92">
        <v>24.273750654227278</v>
      </c>
      <c r="AH92">
        <v>14.68211086736695</v>
      </c>
      <c r="AI92">
        <f>14.109638296038*1</f>
        <v>14.109638296038</v>
      </c>
      <c r="AJ92">
        <f>3.14155342969079*1</f>
        <v>3.1415534296907901</v>
      </c>
      <c r="AK92">
        <v>1</v>
      </c>
      <c r="AL92">
        <v>0</v>
      </c>
      <c r="AM92">
        <v>0</v>
      </c>
    </row>
    <row r="93" spans="1:39" hidden="1" x14ac:dyDescent="0.2">
      <c r="A93" t="s">
        <v>245</v>
      </c>
      <c r="B93" t="s">
        <v>246</v>
      </c>
      <c r="C93" t="s">
        <v>246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24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6.2</v>
      </c>
      <c r="AE93">
        <v>427</v>
      </c>
      <c r="AF93">
        <v>17</v>
      </c>
      <c r="AG93">
        <v>17.79683487239414</v>
      </c>
      <c r="AH93">
        <v>13.15487300698898</v>
      </c>
      <c r="AI93">
        <f>13.4716771432921*1</f>
        <v>13.4716771432921</v>
      </c>
      <c r="AJ93">
        <f>2.63806031639341*1</f>
        <v>2.63806031639341</v>
      </c>
      <c r="AK93">
        <v>1</v>
      </c>
      <c r="AL93">
        <v>0</v>
      </c>
      <c r="AM93">
        <v>0</v>
      </c>
    </row>
    <row r="94" spans="1:39" hidden="1" x14ac:dyDescent="0.2">
      <c r="A94" t="s">
        <v>247</v>
      </c>
      <c r="B94" t="s">
        <v>248</v>
      </c>
      <c r="C94" t="s">
        <v>249</v>
      </c>
      <c r="D94" t="s">
        <v>3</v>
      </c>
      <c r="E94">
        <v>1</v>
      </c>
      <c r="F94">
        <v>0</v>
      </c>
      <c r="G94">
        <v>0</v>
      </c>
      <c r="H94">
        <v>0</v>
      </c>
      <c r="I94" t="s">
        <v>24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5.4</v>
      </c>
      <c r="AE94">
        <v>428</v>
      </c>
      <c r="AF94">
        <v>16.045089625927481</v>
      </c>
      <c r="AG94">
        <v>20.051675039438781</v>
      </c>
      <c r="AH94">
        <v>4.8428000707280638</v>
      </c>
      <c r="AI94">
        <f>5.66779030414037*1</f>
        <v>5.6677903041403699</v>
      </c>
      <c r="AJ94">
        <f>1.07036919289234*1</f>
        <v>1.07036919289234</v>
      </c>
      <c r="AK94">
        <v>1</v>
      </c>
      <c r="AL94">
        <v>0</v>
      </c>
      <c r="AM94">
        <v>0</v>
      </c>
    </row>
    <row r="95" spans="1:39" hidden="1" x14ac:dyDescent="0.2">
      <c r="A95" t="s">
        <v>250</v>
      </c>
      <c r="B95" t="s">
        <v>251</v>
      </c>
      <c r="C95" t="s">
        <v>251</v>
      </c>
      <c r="D95" t="s">
        <v>4</v>
      </c>
      <c r="E95">
        <v>0</v>
      </c>
      <c r="F95">
        <v>1</v>
      </c>
      <c r="G95">
        <v>0</v>
      </c>
      <c r="H95">
        <v>0</v>
      </c>
      <c r="I95" t="s">
        <v>24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6.1</v>
      </c>
      <c r="AE95">
        <v>431</v>
      </c>
      <c r="AF95">
        <v>19.302325581395351</v>
      </c>
      <c r="AG95">
        <v>22.128345809509199</v>
      </c>
      <c r="AH95">
        <v>22.744385706667249</v>
      </c>
      <c r="AI95">
        <f>15.0508706281066*1</f>
        <v>15.050870628106599</v>
      </c>
      <c r="AJ95">
        <f>3.09653836649726*1</f>
        <v>3.0965383664972599</v>
      </c>
      <c r="AK95">
        <v>1</v>
      </c>
      <c r="AL95">
        <v>0</v>
      </c>
      <c r="AM95">
        <v>0</v>
      </c>
    </row>
    <row r="96" spans="1:39" hidden="1" x14ac:dyDescent="0.2">
      <c r="A96" t="s">
        <v>252</v>
      </c>
      <c r="B96" t="s">
        <v>253</v>
      </c>
      <c r="C96" t="s">
        <v>253</v>
      </c>
      <c r="D96" t="s">
        <v>6</v>
      </c>
      <c r="E96">
        <v>0</v>
      </c>
      <c r="F96">
        <v>0</v>
      </c>
      <c r="G96">
        <v>0</v>
      </c>
      <c r="H96">
        <v>1</v>
      </c>
      <c r="I96" t="s">
        <v>24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14.8</v>
      </c>
      <c r="AE96">
        <v>432</v>
      </c>
      <c r="AF96">
        <v>37.142857142857132</v>
      </c>
      <c r="AG96">
        <v>44.203528720045327</v>
      </c>
      <c r="AH96">
        <v>21.878470010252911</v>
      </c>
      <c r="AI96">
        <f>17.3840633448128*1</f>
        <v>17.384063344812802</v>
      </c>
      <c r="AJ96">
        <f>2.81131562730535*1</f>
        <v>2.8113156273053499</v>
      </c>
      <c r="AK96">
        <v>1</v>
      </c>
      <c r="AL96">
        <v>0</v>
      </c>
      <c r="AM96">
        <v>0</v>
      </c>
    </row>
    <row r="97" spans="1:39" hidden="1" x14ac:dyDescent="0.2">
      <c r="A97" t="s">
        <v>254</v>
      </c>
      <c r="B97" t="s">
        <v>255</v>
      </c>
      <c r="C97" t="s">
        <v>255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24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5.4</v>
      </c>
      <c r="AE97">
        <v>435</v>
      </c>
      <c r="AF97">
        <v>12.38095238095238</v>
      </c>
      <c r="AG97">
        <v>9.9387976833410558</v>
      </c>
      <c r="AH97">
        <v>13.2303388231679</v>
      </c>
      <c r="AI97">
        <f>15.4832875632915*1</f>
        <v>15.483287563291499</v>
      </c>
      <c r="AJ97">
        <f>2.96222059320616*1</f>
        <v>2.96222059320616</v>
      </c>
      <c r="AK97">
        <v>1</v>
      </c>
      <c r="AL97">
        <v>0</v>
      </c>
      <c r="AM97">
        <v>0</v>
      </c>
    </row>
    <row r="98" spans="1:39" hidden="1" x14ac:dyDescent="0.2">
      <c r="A98" t="s">
        <v>256</v>
      </c>
      <c r="B98" t="s">
        <v>257</v>
      </c>
      <c r="C98" t="s">
        <v>256</v>
      </c>
      <c r="D98" t="s">
        <v>4</v>
      </c>
      <c r="E98">
        <v>0</v>
      </c>
      <c r="F98">
        <v>1</v>
      </c>
      <c r="G98">
        <v>0</v>
      </c>
      <c r="H98">
        <v>0</v>
      </c>
      <c r="I98" t="s">
        <v>24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5.4</v>
      </c>
      <c r="AE98">
        <v>441</v>
      </c>
      <c r="AF98">
        <v>14.30769230769231</v>
      </c>
      <c r="AG98">
        <v>18.789340406175121</v>
      </c>
      <c r="AH98">
        <v>8.6731886534518114</v>
      </c>
      <c r="AI98">
        <f>9.49721145720964*1</f>
        <v>9.4972114572096409</v>
      </c>
      <c r="AJ98">
        <f>2.11197169801703*1</f>
        <v>2.11197169801703</v>
      </c>
      <c r="AK98">
        <v>1</v>
      </c>
      <c r="AL98">
        <v>0</v>
      </c>
      <c r="AM98">
        <v>0</v>
      </c>
    </row>
    <row r="99" spans="1:39" x14ac:dyDescent="0.2">
      <c r="A99" t="s">
        <v>168</v>
      </c>
      <c r="B99" t="s">
        <v>169</v>
      </c>
      <c r="C99" t="s">
        <v>170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18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5.7</v>
      </c>
      <c r="AE99">
        <v>253</v>
      </c>
      <c r="AF99">
        <v>22.093204892616001</v>
      </c>
      <c r="AG99">
        <v>13.02031919031811</v>
      </c>
      <c r="AH99">
        <v>30.137054975634111</v>
      </c>
      <c r="AI99">
        <f>27.2464419731048*1</f>
        <v>27.246441973104801</v>
      </c>
      <c r="AJ99">
        <f>4.10133503661194*1</f>
        <v>4.1013350366119399</v>
      </c>
      <c r="AK99">
        <v>1</v>
      </c>
      <c r="AL99">
        <v>0</v>
      </c>
      <c r="AM99">
        <v>1</v>
      </c>
    </row>
    <row r="100" spans="1:39" hidden="1" x14ac:dyDescent="0.2">
      <c r="A100" t="s">
        <v>260</v>
      </c>
      <c r="B100" t="s">
        <v>261</v>
      </c>
      <c r="C100" t="s">
        <v>262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25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8.4</v>
      </c>
      <c r="AE100">
        <v>454</v>
      </c>
      <c r="AF100">
        <v>23.214285714285712</v>
      </c>
      <c r="AG100">
        <v>0</v>
      </c>
      <c r="AH100">
        <v>40.845333333333329</v>
      </c>
      <c r="AI100">
        <f>23.0174001715308*0</f>
        <v>0</v>
      </c>
      <c r="AJ100">
        <f>4.53922350080392*0</f>
        <v>0</v>
      </c>
      <c r="AK100">
        <v>0</v>
      </c>
      <c r="AL100">
        <v>1</v>
      </c>
      <c r="AM100">
        <v>0</v>
      </c>
    </row>
    <row r="101" spans="1:39" hidden="1" x14ac:dyDescent="0.2">
      <c r="A101" t="s">
        <v>263</v>
      </c>
      <c r="B101" t="s">
        <v>264</v>
      </c>
      <c r="C101" t="s">
        <v>265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25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5.2</v>
      </c>
      <c r="AE101">
        <v>457</v>
      </c>
      <c r="AF101">
        <v>16.64473684210526</v>
      </c>
      <c r="AG101">
        <v>22.0155093298997</v>
      </c>
      <c r="AH101">
        <v>10.47224943640534</v>
      </c>
      <c r="AI101">
        <f>5.60434703951661*1</f>
        <v>5.6043470395166102</v>
      </c>
      <c r="AJ101">
        <f>1.18712352828187*1</f>
        <v>1.18712352828187</v>
      </c>
      <c r="AK101">
        <v>1</v>
      </c>
      <c r="AL101">
        <v>0</v>
      </c>
      <c r="AM101">
        <v>0</v>
      </c>
    </row>
    <row r="102" spans="1:39" hidden="1" x14ac:dyDescent="0.2">
      <c r="A102" t="s">
        <v>266</v>
      </c>
      <c r="B102" t="s">
        <v>267</v>
      </c>
      <c r="C102" t="s">
        <v>78</v>
      </c>
      <c r="D102" t="s">
        <v>4</v>
      </c>
      <c r="E102">
        <v>0</v>
      </c>
      <c r="F102">
        <v>1</v>
      </c>
      <c r="G102">
        <v>0</v>
      </c>
      <c r="H102">
        <v>0</v>
      </c>
      <c r="I102" t="s">
        <v>25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4.4000000000000004</v>
      </c>
      <c r="AE102">
        <v>468</v>
      </c>
      <c r="AF102">
        <v>13.571428571428569</v>
      </c>
      <c r="AG102">
        <v>10.886247218942829</v>
      </c>
      <c r="AH102">
        <v>17.829781995699751</v>
      </c>
      <c r="AI102">
        <f>7.21161914667186*1</f>
        <v>7.2116191466718602</v>
      </c>
      <c r="AJ102">
        <f>1.371057317656*1</f>
        <v>1.3710573176559999</v>
      </c>
      <c r="AK102">
        <v>1</v>
      </c>
      <c r="AL102">
        <v>0</v>
      </c>
      <c r="AM102">
        <v>0</v>
      </c>
    </row>
    <row r="103" spans="1:39" hidden="1" x14ac:dyDescent="0.2">
      <c r="A103" t="s">
        <v>268</v>
      </c>
      <c r="B103" t="s">
        <v>269</v>
      </c>
      <c r="C103" t="s">
        <v>269</v>
      </c>
      <c r="D103" t="s">
        <v>3</v>
      </c>
      <c r="E103">
        <v>1</v>
      </c>
      <c r="F103">
        <v>0</v>
      </c>
      <c r="G103">
        <v>0</v>
      </c>
      <c r="H103">
        <v>0</v>
      </c>
      <c r="I103" t="s">
        <v>25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5.2</v>
      </c>
      <c r="AE103">
        <v>471</v>
      </c>
      <c r="AF103">
        <v>18.333333333333339</v>
      </c>
      <c r="AG103">
        <v>23.831324803909641</v>
      </c>
      <c r="AH103">
        <v>12.79132467241719</v>
      </c>
      <c r="AI103">
        <f>10.4968346264584*1</f>
        <v>10.4968346264584</v>
      </c>
      <c r="AJ103">
        <f>2.21474532682811*1</f>
        <v>2.2147453268281101</v>
      </c>
      <c r="AK103">
        <v>1</v>
      </c>
      <c r="AL103">
        <v>0</v>
      </c>
      <c r="AM103">
        <v>0</v>
      </c>
    </row>
    <row r="104" spans="1:39" hidden="1" x14ac:dyDescent="0.2">
      <c r="A104" t="s">
        <v>103</v>
      </c>
      <c r="B104" t="s">
        <v>270</v>
      </c>
      <c r="C104" t="s">
        <v>270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25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6.7</v>
      </c>
      <c r="AE104">
        <v>473</v>
      </c>
      <c r="AF104">
        <v>21.827411167512679</v>
      </c>
      <c r="AG104">
        <v>24.548773726259089</v>
      </c>
      <c r="AH104">
        <v>16.197070312476981</v>
      </c>
      <c r="AI104">
        <f>18.7710518261062*1</f>
        <v>18.771051826106198</v>
      </c>
      <c r="AJ104">
        <f>3.76698903645265*1</f>
        <v>3.7669890364526499</v>
      </c>
      <c r="AK104">
        <v>1</v>
      </c>
      <c r="AL104">
        <v>0</v>
      </c>
      <c r="AM104">
        <v>0</v>
      </c>
    </row>
    <row r="105" spans="1:39" hidden="1" x14ac:dyDescent="0.2">
      <c r="A105" t="s">
        <v>271</v>
      </c>
      <c r="B105" t="s">
        <v>272</v>
      </c>
      <c r="C105" t="s">
        <v>272</v>
      </c>
      <c r="D105" t="s">
        <v>6</v>
      </c>
      <c r="E105">
        <v>0</v>
      </c>
      <c r="F105">
        <v>0</v>
      </c>
      <c r="G105">
        <v>0</v>
      </c>
      <c r="H105">
        <v>1</v>
      </c>
      <c r="I105" t="s">
        <v>25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6.6</v>
      </c>
      <c r="AE105">
        <v>475</v>
      </c>
      <c r="AF105">
        <v>0</v>
      </c>
      <c r="AG105">
        <v>0</v>
      </c>
      <c r="AH105">
        <v>0</v>
      </c>
      <c r="AI105">
        <f>0*1</f>
        <v>0</v>
      </c>
      <c r="AJ105">
        <f>0*1</f>
        <v>0</v>
      </c>
      <c r="AK105">
        <v>1</v>
      </c>
      <c r="AL105">
        <v>0</v>
      </c>
      <c r="AM105">
        <v>0</v>
      </c>
    </row>
    <row r="106" spans="1:39" hidden="1" x14ac:dyDescent="0.2">
      <c r="A106" t="s">
        <v>273</v>
      </c>
      <c r="B106" t="s">
        <v>274</v>
      </c>
      <c r="C106" t="s">
        <v>274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26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6.1</v>
      </c>
      <c r="AE106">
        <v>488</v>
      </c>
      <c r="AF106">
        <v>19.851826612247329</v>
      </c>
      <c r="AG106">
        <v>19.897737384225799</v>
      </c>
      <c r="AH106">
        <v>10.394598829829871</v>
      </c>
      <c r="AI106">
        <f>11.4888340927362*1</f>
        <v>11.4888340927362</v>
      </c>
      <c r="AJ106">
        <f>2.47967997459434*1</f>
        <v>2.4796799745943399</v>
      </c>
      <c r="AK106">
        <v>1</v>
      </c>
      <c r="AL106">
        <v>0</v>
      </c>
      <c r="AM106">
        <v>0</v>
      </c>
    </row>
    <row r="107" spans="1:39" hidden="1" x14ac:dyDescent="0.2">
      <c r="A107" t="s">
        <v>260</v>
      </c>
      <c r="B107" t="s">
        <v>275</v>
      </c>
      <c r="C107" t="s">
        <v>276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26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6.1</v>
      </c>
      <c r="AE107">
        <v>490</v>
      </c>
      <c r="AF107">
        <v>18.60824742268041</v>
      </c>
      <c r="AG107">
        <v>17.232431037009821</v>
      </c>
      <c r="AH107">
        <v>22.775242297769221</v>
      </c>
      <c r="AI107">
        <f>14.9375334516217*1</f>
        <v>14.9375334516217</v>
      </c>
      <c r="AJ107">
        <f>2.95435603884274*1</f>
        <v>2.9543560388427399</v>
      </c>
      <c r="AK107">
        <v>1</v>
      </c>
      <c r="AL107">
        <v>0</v>
      </c>
      <c r="AM107">
        <v>0</v>
      </c>
    </row>
    <row r="108" spans="1:39" hidden="1" x14ac:dyDescent="0.2">
      <c r="A108" t="s">
        <v>277</v>
      </c>
      <c r="B108" t="s">
        <v>278</v>
      </c>
      <c r="C108" t="s">
        <v>278</v>
      </c>
      <c r="D108" t="s">
        <v>4</v>
      </c>
      <c r="E108">
        <v>0</v>
      </c>
      <c r="F108">
        <v>1</v>
      </c>
      <c r="G108">
        <v>0</v>
      </c>
      <c r="H108">
        <v>0</v>
      </c>
      <c r="I108" t="s">
        <v>26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4.4000000000000004</v>
      </c>
      <c r="AE108">
        <v>491</v>
      </c>
      <c r="AF108">
        <v>14.5958696042263</v>
      </c>
      <c r="AG108">
        <v>14.276900026161391</v>
      </c>
      <c r="AH108">
        <v>25.787206954908829</v>
      </c>
      <c r="AI108">
        <f>12.1458673016167*1</f>
        <v>12.1458673016167</v>
      </c>
      <c r="AJ108">
        <f>2.30996892158217*1</f>
        <v>2.3099689215821702</v>
      </c>
      <c r="AK108">
        <v>1</v>
      </c>
      <c r="AL108">
        <v>0</v>
      </c>
      <c r="AM108">
        <v>0</v>
      </c>
    </row>
    <row r="109" spans="1:39" hidden="1" x14ac:dyDescent="0.2">
      <c r="A109" t="s">
        <v>279</v>
      </c>
      <c r="B109" t="s">
        <v>280</v>
      </c>
      <c r="C109" t="s">
        <v>280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26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7.2</v>
      </c>
      <c r="AE109">
        <v>493</v>
      </c>
      <c r="AF109">
        <v>23.597754321865999</v>
      </c>
      <c r="AG109">
        <v>14.60234818391238</v>
      </c>
      <c r="AH109">
        <v>32.421571132245838</v>
      </c>
      <c r="AI109">
        <f>11.8686665383126*1</f>
        <v>11.868666538312601</v>
      </c>
      <c r="AJ109">
        <f>2.23712709880349*1</f>
        <v>2.2371270988034899</v>
      </c>
      <c r="AK109">
        <v>1</v>
      </c>
      <c r="AL109">
        <v>0</v>
      </c>
      <c r="AM109">
        <v>0</v>
      </c>
    </row>
    <row r="110" spans="1:39" x14ac:dyDescent="0.2">
      <c r="A110" t="s">
        <v>122</v>
      </c>
      <c r="B110" t="s">
        <v>123</v>
      </c>
      <c r="C110" t="s">
        <v>123</v>
      </c>
      <c r="D110" t="s">
        <v>6</v>
      </c>
      <c r="E110">
        <v>0</v>
      </c>
      <c r="F110">
        <v>0</v>
      </c>
      <c r="G110">
        <v>0</v>
      </c>
      <c r="H110">
        <v>1</v>
      </c>
      <c r="I110" t="s">
        <v>15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6.3</v>
      </c>
      <c r="AE110">
        <v>127</v>
      </c>
      <c r="AF110">
        <v>23.437826369354791</v>
      </c>
      <c r="AG110">
        <v>14.23049562734592</v>
      </c>
      <c r="AH110">
        <v>14.07106290176146</v>
      </c>
      <c r="AI110">
        <f>16.2637034056088*1</f>
        <v>16.263703405608801</v>
      </c>
      <c r="AJ110">
        <f>3.24119238140591*1</f>
        <v>3.2411923814059098</v>
      </c>
      <c r="AK110">
        <v>1</v>
      </c>
      <c r="AL110">
        <v>1</v>
      </c>
      <c r="AM110">
        <v>1</v>
      </c>
    </row>
    <row r="111" spans="1:39" x14ac:dyDescent="0.2">
      <c r="A111" t="s">
        <v>187</v>
      </c>
      <c r="B111" t="s">
        <v>188</v>
      </c>
      <c r="C111" t="s">
        <v>188</v>
      </c>
      <c r="D111" t="s">
        <v>4</v>
      </c>
      <c r="E111">
        <v>0</v>
      </c>
      <c r="F111">
        <v>1</v>
      </c>
      <c r="G111">
        <v>0</v>
      </c>
      <c r="H111">
        <v>0</v>
      </c>
      <c r="I111" t="s">
        <v>19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4.8</v>
      </c>
      <c r="AE111">
        <v>280</v>
      </c>
      <c r="AF111">
        <v>13.513544905960959</v>
      </c>
      <c r="AG111">
        <v>14.54805276387736</v>
      </c>
      <c r="AH111">
        <v>26.687639795968771</v>
      </c>
      <c r="AI111">
        <f>16.9215673508606*1</f>
        <v>16.921567350860599</v>
      </c>
      <c r="AJ111">
        <f>3.1913705439775*1</f>
        <v>3.1913705439775</v>
      </c>
      <c r="AK111">
        <v>1</v>
      </c>
      <c r="AL111">
        <v>1</v>
      </c>
      <c r="AM111">
        <v>1</v>
      </c>
    </row>
    <row r="112" spans="1:39" x14ac:dyDescent="0.2">
      <c r="A112" t="s">
        <v>185</v>
      </c>
      <c r="B112" t="s">
        <v>186</v>
      </c>
      <c r="C112" t="s">
        <v>186</v>
      </c>
      <c r="D112" t="s">
        <v>3</v>
      </c>
      <c r="E112">
        <v>1</v>
      </c>
      <c r="F112">
        <v>0</v>
      </c>
      <c r="G112">
        <v>0</v>
      </c>
      <c r="H112">
        <v>0</v>
      </c>
      <c r="I112" t="s">
        <v>19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4.9000000000000004</v>
      </c>
      <c r="AE112">
        <v>279</v>
      </c>
      <c r="AF112">
        <v>18.333333333333339</v>
      </c>
      <c r="AG112">
        <v>17.905652328495719</v>
      </c>
      <c r="AH112">
        <v>34.059226189070053</v>
      </c>
      <c r="AI112">
        <f>16.4719194901756*1</f>
        <v>16.471919490175601</v>
      </c>
      <c r="AJ112">
        <f>3.15293443286281*1</f>
        <v>3.1529344328628102</v>
      </c>
      <c r="AK112">
        <v>1</v>
      </c>
      <c r="AL112">
        <v>1</v>
      </c>
      <c r="AM112">
        <v>1</v>
      </c>
    </row>
    <row r="113" spans="1:39" hidden="1" x14ac:dyDescent="0.2">
      <c r="A113" t="s">
        <v>288</v>
      </c>
      <c r="B113" t="s">
        <v>289</v>
      </c>
      <c r="C113" t="s">
        <v>289</v>
      </c>
      <c r="D113" t="s">
        <v>4</v>
      </c>
      <c r="E113">
        <v>0</v>
      </c>
      <c r="F113">
        <v>1</v>
      </c>
      <c r="G113">
        <v>0</v>
      </c>
      <c r="H113">
        <v>0</v>
      </c>
      <c r="I113" t="s">
        <v>26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4.5</v>
      </c>
      <c r="AE113">
        <v>504</v>
      </c>
      <c r="AF113">
        <v>11.33723437703452</v>
      </c>
      <c r="AG113">
        <v>13.568975344978121</v>
      </c>
      <c r="AH113">
        <v>16.393172026661031</v>
      </c>
      <c r="AI113">
        <f>13.661323125118*1</f>
        <v>13.661323125118001</v>
      </c>
      <c r="AJ113">
        <f>2.50675682814401*1</f>
        <v>2.50675682814401</v>
      </c>
      <c r="AK113">
        <v>1</v>
      </c>
      <c r="AL113">
        <v>0</v>
      </c>
      <c r="AM113">
        <v>0</v>
      </c>
    </row>
    <row r="114" spans="1:39" hidden="1" x14ac:dyDescent="0.2">
      <c r="A114" t="s">
        <v>290</v>
      </c>
      <c r="B114" t="s">
        <v>291</v>
      </c>
      <c r="C114" t="s">
        <v>291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26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5.4</v>
      </c>
      <c r="AE114">
        <v>510</v>
      </c>
      <c r="AF114">
        <v>17.42418137908702</v>
      </c>
      <c r="AG114">
        <v>14.91595792063195</v>
      </c>
      <c r="AH114">
        <v>26.046113546418411</v>
      </c>
      <c r="AI114">
        <f>13.4131444951788*1</f>
        <v>13.4131444951788</v>
      </c>
      <c r="AJ114">
        <f>2.26139900388623*1</f>
        <v>2.2613990038862299</v>
      </c>
      <c r="AK114">
        <v>1</v>
      </c>
      <c r="AL114">
        <v>0</v>
      </c>
      <c r="AM114">
        <v>0</v>
      </c>
    </row>
    <row r="115" spans="1:39" x14ac:dyDescent="0.2">
      <c r="A115" t="s">
        <v>92</v>
      </c>
      <c r="B115" t="s">
        <v>93</v>
      </c>
      <c r="C115" t="s">
        <v>93</v>
      </c>
      <c r="D115" t="s">
        <v>4</v>
      </c>
      <c r="E115">
        <v>0</v>
      </c>
      <c r="F115">
        <v>1</v>
      </c>
      <c r="G115">
        <v>0</v>
      </c>
      <c r="H115">
        <v>0</v>
      </c>
      <c r="I115" t="s">
        <v>14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4.7</v>
      </c>
      <c r="AE115">
        <v>82</v>
      </c>
      <c r="AF115">
        <v>12.61363636363636</v>
      </c>
      <c r="AG115">
        <v>10.667554652801339</v>
      </c>
      <c r="AH115">
        <v>22.2203501425975</v>
      </c>
      <c r="AI115">
        <f>14.9116780669659*1</f>
        <v>14.9116780669659</v>
      </c>
      <c r="AJ115">
        <f>2.91734885248511*1</f>
        <v>2.9173488524851101</v>
      </c>
      <c r="AK115">
        <v>1</v>
      </c>
      <c r="AL115">
        <v>1</v>
      </c>
      <c r="AM115">
        <v>1</v>
      </c>
    </row>
    <row r="116" spans="1:39" hidden="1" x14ac:dyDescent="0.2">
      <c r="A116" t="s">
        <v>294</v>
      </c>
      <c r="B116" t="s">
        <v>295</v>
      </c>
      <c r="C116" t="s">
        <v>295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27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5</v>
      </c>
      <c r="AE116">
        <v>521</v>
      </c>
      <c r="AF116">
        <v>13.563463589501589</v>
      </c>
      <c r="AG116">
        <v>8.3255498207100231</v>
      </c>
      <c r="AH116">
        <v>27.74444444444444</v>
      </c>
      <c r="AI116">
        <f>22.6723567696294*1</f>
        <v>22.672356769629399</v>
      </c>
      <c r="AJ116">
        <f>4.61671954245539*1</f>
        <v>4.6167195424553897</v>
      </c>
      <c r="AK116">
        <v>1</v>
      </c>
      <c r="AL116">
        <v>0</v>
      </c>
      <c r="AM116">
        <v>0</v>
      </c>
    </row>
    <row r="117" spans="1:39" hidden="1" x14ac:dyDescent="0.2">
      <c r="A117" t="s">
        <v>279</v>
      </c>
      <c r="B117" t="s">
        <v>296</v>
      </c>
      <c r="C117" t="s">
        <v>296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27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5.0999999999999996</v>
      </c>
      <c r="AE117">
        <v>530</v>
      </c>
      <c r="AF117">
        <v>14.943699166087621</v>
      </c>
      <c r="AG117">
        <v>10.575458696134451</v>
      </c>
      <c r="AH117">
        <v>31.229163473781121</v>
      </c>
      <c r="AI117">
        <f>14.7634521547937*1</f>
        <v>14.763452154793701</v>
      </c>
      <c r="AJ117">
        <f>2.55042910285138*1</f>
        <v>2.5504291028513801</v>
      </c>
      <c r="AK117">
        <v>1</v>
      </c>
      <c r="AL117">
        <v>0</v>
      </c>
      <c r="AM117">
        <v>0</v>
      </c>
    </row>
    <row r="118" spans="1:39" hidden="1" x14ac:dyDescent="0.2">
      <c r="A118" t="s">
        <v>81</v>
      </c>
      <c r="B118" t="s">
        <v>297</v>
      </c>
      <c r="C118" t="s">
        <v>297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27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6.3</v>
      </c>
      <c r="AE118">
        <v>531</v>
      </c>
      <c r="AF118">
        <v>20.330747747749999</v>
      </c>
      <c r="AG118">
        <v>14.052410333304371</v>
      </c>
      <c r="AH118">
        <v>41</v>
      </c>
      <c r="AI118">
        <f>11.0573056601577*1</f>
        <v>11.0573056601577</v>
      </c>
      <c r="AJ118">
        <f>2.26716463043501*1</f>
        <v>2.2671646304350102</v>
      </c>
      <c r="AK118">
        <v>1</v>
      </c>
      <c r="AL118">
        <v>0</v>
      </c>
      <c r="AM118">
        <v>0</v>
      </c>
    </row>
    <row r="119" spans="1:39" hidden="1" x14ac:dyDescent="0.2">
      <c r="A119" t="s">
        <v>298</v>
      </c>
      <c r="B119" t="s">
        <v>299</v>
      </c>
      <c r="C119" t="s">
        <v>299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27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5.3</v>
      </c>
      <c r="AE119">
        <v>532</v>
      </c>
      <c r="AF119">
        <v>17.145166417059428</v>
      </c>
      <c r="AG119">
        <v>13.52563630434679</v>
      </c>
      <c r="AH119">
        <v>16.45522397450712</v>
      </c>
      <c r="AI119">
        <f>15.2498824153086*1</f>
        <v>15.249882415308599</v>
      </c>
      <c r="AJ119">
        <f>2.99756409969702*1</f>
        <v>2.9975640996970201</v>
      </c>
      <c r="AK119">
        <v>1</v>
      </c>
      <c r="AL119">
        <v>0</v>
      </c>
      <c r="AM119">
        <v>0</v>
      </c>
    </row>
    <row r="120" spans="1:39" hidden="1" x14ac:dyDescent="0.2">
      <c r="A120" t="s">
        <v>300</v>
      </c>
      <c r="B120" t="s">
        <v>301</v>
      </c>
      <c r="C120" t="s">
        <v>300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27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4.5999999999999996</v>
      </c>
      <c r="AE120">
        <v>534</v>
      </c>
      <c r="AF120">
        <v>12.04081632653061</v>
      </c>
      <c r="AG120">
        <v>10.37087667379091</v>
      </c>
      <c r="AH120">
        <v>7.9351190476190494</v>
      </c>
      <c r="AI120">
        <f>7.4905718629586*1</f>
        <v>7.4905718629585998</v>
      </c>
      <c r="AJ120">
        <f>1.25461041651403*1</f>
        <v>1.2546104165140299</v>
      </c>
      <c r="AK120">
        <v>1</v>
      </c>
      <c r="AL120">
        <v>0</v>
      </c>
      <c r="AM120">
        <v>0</v>
      </c>
    </row>
    <row r="121" spans="1:39" hidden="1" x14ac:dyDescent="0.2">
      <c r="A121" t="s">
        <v>302</v>
      </c>
      <c r="B121" t="s">
        <v>303</v>
      </c>
      <c r="C121" t="s">
        <v>304</v>
      </c>
      <c r="D121" t="s">
        <v>4</v>
      </c>
      <c r="E121">
        <v>0</v>
      </c>
      <c r="F121">
        <v>1</v>
      </c>
      <c r="G121">
        <v>0</v>
      </c>
      <c r="H121">
        <v>0</v>
      </c>
      <c r="I121" t="s">
        <v>27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4.3</v>
      </c>
      <c r="AE121">
        <v>535</v>
      </c>
      <c r="AF121">
        <v>4.7393555147638438</v>
      </c>
      <c r="AG121">
        <v>7.9890797756248313</v>
      </c>
      <c r="AH121">
        <v>12.49411764705882</v>
      </c>
      <c r="AI121">
        <f>9.15464269265735*1</f>
        <v>9.1546426926573492</v>
      </c>
      <c r="AJ121">
        <f>1.35324900369757*1</f>
        <v>1.35324900369757</v>
      </c>
      <c r="AK121">
        <v>1</v>
      </c>
      <c r="AL121">
        <v>0</v>
      </c>
      <c r="AM121">
        <v>0</v>
      </c>
    </row>
    <row r="122" spans="1:39" x14ac:dyDescent="0.2">
      <c r="A122" t="s">
        <v>292</v>
      </c>
      <c r="B122" t="s">
        <v>293</v>
      </c>
      <c r="C122" t="s">
        <v>293</v>
      </c>
      <c r="D122" t="s">
        <v>4</v>
      </c>
      <c r="E122">
        <v>0</v>
      </c>
      <c r="F122">
        <v>1</v>
      </c>
      <c r="G122">
        <v>0</v>
      </c>
      <c r="H122">
        <v>0</v>
      </c>
      <c r="I122" t="s">
        <v>27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5</v>
      </c>
      <c r="AE122">
        <v>520</v>
      </c>
      <c r="AF122">
        <v>11.580497617556841</v>
      </c>
      <c r="AG122">
        <v>14.59354802728123</v>
      </c>
      <c r="AH122">
        <v>27.008113491386279</v>
      </c>
      <c r="AI122">
        <f>21.8102290482263*1</f>
        <v>21.810229048226301</v>
      </c>
      <c r="AJ122">
        <f>2.54642604704794*1</f>
        <v>2.5464260470479401</v>
      </c>
      <c r="AK122">
        <v>1</v>
      </c>
      <c r="AL122">
        <v>1</v>
      </c>
      <c r="AM122">
        <v>1</v>
      </c>
    </row>
    <row r="123" spans="1:39" hidden="1" x14ac:dyDescent="0.2">
      <c r="A123" t="s">
        <v>307</v>
      </c>
      <c r="B123" t="s">
        <v>308</v>
      </c>
      <c r="C123" t="s">
        <v>308</v>
      </c>
      <c r="D123" t="s">
        <v>6</v>
      </c>
      <c r="E123">
        <v>0</v>
      </c>
      <c r="F123">
        <v>0</v>
      </c>
      <c r="G123">
        <v>0</v>
      </c>
      <c r="H123">
        <v>1</v>
      </c>
      <c r="I123" t="s">
        <v>27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6.6</v>
      </c>
      <c r="AE123">
        <v>544</v>
      </c>
      <c r="AF123">
        <v>18.215065484519009</v>
      </c>
      <c r="AG123">
        <v>15.45360899749136</v>
      </c>
      <c r="AH123">
        <v>13.23552588251504</v>
      </c>
      <c r="AI123">
        <f>11.5004259200811*1</f>
        <v>11.500425920081099</v>
      </c>
      <c r="AJ123">
        <f>2.24978573346378*1</f>
        <v>2.2497857334637801</v>
      </c>
      <c r="AK123">
        <v>1</v>
      </c>
      <c r="AL123">
        <v>0</v>
      </c>
      <c r="AM123">
        <v>0</v>
      </c>
    </row>
    <row r="124" spans="1:39" hidden="1" x14ac:dyDescent="0.2">
      <c r="A124" t="s">
        <v>309</v>
      </c>
      <c r="B124" t="s">
        <v>310</v>
      </c>
      <c r="C124" t="s">
        <v>310</v>
      </c>
      <c r="D124" t="s">
        <v>4</v>
      </c>
      <c r="E124">
        <v>0</v>
      </c>
      <c r="F124">
        <v>1</v>
      </c>
      <c r="G124">
        <v>0</v>
      </c>
      <c r="H124">
        <v>0</v>
      </c>
      <c r="I124" t="s">
        <v>27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4.5999999999999996</v>
      </c>
      <c r="AE124">
        <v>548</v>
      </c>
      <c r="AF124">
        <v>0</v>
      </c>
      <c r="AG124">
        <v>0</v>
      </c>
      <c r="AH124">
        <v>0</v>
      </c>
      <c r="AI124">
        <f>0*1</f>
        <v>0</v>
      </c>
      <c r="AJ124">
        <f>0*1</f>
        <v>0</v>
      </c>
      <c r="AK124">
        <v>1</v>
      </c>
      <c r="AL124">
        <v>0</v>
      </c>
      <c r="AM124">
        <v>0</v>
      </c>
    </row>
    <row r="125" spans="1:39" hidden="1" x14ac:dyDescent="0.2">
      <c r="A125" t="s">
        <v>311</v>
      </c>
      <c r="B125" t="s">
        <v>312</v>
      </c>
      <c r="C125" t="s">
        <v>312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28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4.9000000000000004</v>
      </c>
      <c r="AE125">
        <v>558</v>
      </c>
      <c r="AF125">
        <v>0</v>
      </c>
      <c r="AG125">
        <v>0</v>
      </c>
      <c r="AH125">
        <v>0</v>
      </c>
      <c r="AI125">
        <f>0*1</f>
        <v>0</v>
      </c>
      <c r="AJ125">
        <f>0*1</f>
        <v>0</v>
      </c>
      <c r="AK125">
        <v>1</v>
      </c>
      <c r="AL125">
        <v>0</v>
      </c>
      <c r="AM125">
        <v>0</v>
      </c>
    </row>
    <row r="126" spans="1:39" hidden="1" x14ac:dyDescent="0.2">
      <c r="A126" t="s">
        <v>101</v>
      </c>
      <c r="B126" t="s">
        <v>313</v>
      </c>
      <c r="C126" t="s">
        <v>313</v>
      </c>
      <c r="D126" t="s">
        <v>6</v>
      </c>
      <c r="E126">
        <v>0</v>
      </c>
      <c r="F126">
        <v>0</v>
      </c>
      <c r="G126">
        <v>0</v>
      </c>
      <c r="H126">
        <v>1</v>
      </c>
      <c r="I126" t="s">
        <v>28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5.0999999999999996</v>
      </c>
      <c r="AE126">
        <v>559</v>
      </c>
      <c r="AF126">
        <v>10.851305806698839</v>
      </c>
      <c r="AG126">
        <v>8.4221445557334373</v>
      </c>
      <c r="AH126">
        <v>10.133333333333329</v>
      </c>
      <c r="AI126">
        <f>12.5452498025428*1</f>
        <v>12.5452498025428</v>
      </c>
      <c r="AJ126">
        <f>2.4441135005481*1</f>
        <v>2.4441135005481001</v>
      </c>
      <c r="AK126">
        <v>1</v>
      </c>
      <c r="AL126">
        <v>0</v>
      </c>
      <c r="AM126">
        <v>0</v>
      </c>
    </row>
    <row r="127" spans="1:39" hidden="1" x14ac:dyDescent="0.2">
      <c r="A127" t="s">
        <v>314</v>
      </c>
      <c r="B127" t="s">
        <v>315</v>
      </c>
      <c r="C127" t="s">
        <v>315</v>
      </c>
      <c r="D127" t="s">
        <v>4</v>
      </c>
      <c r="E127">
        <v>0</v>
      </c>
      <c r="F127">
        <v>1</v>
      </c>
      <c r="G127">
        <v>0</v>
      </c>
      <c r="H127">
        <v>0</v>
      </c>
      <c r="I127" t="s">
        <v>28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4.0999999999999996</v>
      </c>
      <c r="AE127">
        <v>567</v>
      </c>
      <c r="AF127">
        <v>0</v>
      </c>
      <c r="AG127">
        <v>0</v>
      </c>
      <c r="AH127">
        <v>0</v>
      </c>
      <c r="AI127">
        <f>0*1</f>
        <v>0</v>
      </c>
      <c r="AJ127">
        <f>0*1</f>
        <v>0</v>
      </c>
      <c r="AK127">
        <v>1</v>
      </c>
      <c r="AL127">
        <v>0</v>
      </c>
      <c r="AM127">
        <v>0</v>
      </c>
    </row>
    <row r="128" spans="1:39" hidden="1" x14ac:dyDescent="0.2">
      <c r="A128" t="s">
        <v>316</v>
      </c>
      <c r="B128" t="s">
        <v>317</v>
      </c>
      <c r="C128" t="s">
        <v>317</v>
      </c>
      <c r="D128" t="s">
        <v>4</v>
      </c>
      <c r="E128">
        <v>0</v>
      </c>
      <c r="F128">
        <v>1</v>
      </c>
      <c r="G128">
        <v>0</v>
      </c>
      <c r="H128">
        <v>0</v>
      </c>
      <c r="I128" t="s">
        <v>28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4.4000000000000004</v>
      </c>
      <c r="AE128">
        <v>582</v>
      </c>
      <c r="AF128">
        <v>8.7415903362762055</v>
      </c>
      <c r="AG128">
        <v>11.503617242646101</v>
      </c>
      <c r="AH128">
        <v>8.9537729105560828</v>
      </c>
      <c r="AI128">
        <f>10.3225009656452*1</f>
        <v>10.322500965645199</v>
      </c>
      <c r="AJ128">
        <f>1.63175731286008*1</f>
        <v>1.63175731286008</v>
      </c>
      <c r="AK128">
        <v>1</v>
      </c>
      <c r="AL128">
        <v>0</v>
      </c>
      <c r="AM128">
        <v>0</v>
      </c>
    </row>
    <row r="129" spans="1:39" hidden="1" x14ac:dyDescent="0.2">
      <c r="A129" t="s">
        <v>318</v>
      </c>
      <c r="B129" t="s">
        <v>319</v>
      </c>
      <c r="C129" t="s">
        <v>319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4.8</v>
      </c>
      <c r="AE129">
        <v>585</v>
      </c>
      <c r="AF129">
        <v>7.9999999767716394</v>
      </c>
      <c r="AG129">
        <v>6.8966669411831276</v>
      </c>
      <c r="AH129">
        <v>10.733046441874301</v>
      </c>
      <c r="AI129">
        <f>8.93420874083694*1</f>
        <v>8.9342087408369402</v>
      </c>
      <c r="AJ129">
        <f>1.82558442294044*1</f>
        <v>1.8255844229404401</v>
      </c>
      <c r="AK129">
        <v>1</v>
      </c>
      <c r="AL129">
        <v>0</v>
      </c>
      <c r="AM129">
        <v>0</v>
      </c>
    </row>
    <row r="130" spans="1:39" hidden="1" x14ac:dyDescent="0.2">
      <c r="A130" t="s">
        <v>320</v>
      </c>
      <c r="B130" t="s">
        <v>321</v>
      </c>
      <c r="C130" t="s">
        <v>322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28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5</v>
      </c>
      <c r="AE130">
        <v>588</v>
      </c>
      <c r="AF130">
        <v>0</v>
      </c>
      <c r="AG130">
        <v>0</v>
      </c>
      <c r="AH130">
        <v>0</v>
      </c>
      <c r="AI130">
        <f>0*1</f>
        <v>0</v>
      </c>
      <c r="AJ130">
        <f>0*1</f>
        <v>0</v>
      </c>
      <c r="AK130">
        <v>1</v>
      </c>
      <c r="AL130">
        <v>0</v>
      </c>
      <c r="AM130">
        <v>0</v>
      </c>
    </row>
    <row r="131" spans="1:39" hidden="1" x14ac:dyDescent="0.2">
      <c r="A131" t="s">
        <v>176</v>
      </c>
      <c r="B131" t="s">
        <v>323</v>
      </c>
      <c r="C131" t="s">
        <v>324</v>
      </c>
      <c r="D131" t="s">
        <v>6</v>
      </c>
      <c r="E131">
        <v>0</v>
      </c>
      <c r="F131">
        <v>0</v>
      </c>
      <c r="G131">
        <v>0</v>
      </c>
      <c r="H131">
        <v>1</v>
      </c>
      <c r="I131" t="s">
        <v>29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7.5</v>
      </c>
      <c r="AE131">
        <v>590</v>
      </c>
      <c r="AF131">
        <v>0</v>
      </c>
      <c r="AG131">
        <v>0</v>
      </c>
      <c r="AH131">
        <v>0</v>
      </c>
      <c r="AI131">
        <f>0*1</f>
        <v>0</v>
      </c>
      <c r="AJ131">
        <f>0*1</f>
        <v>0</v>
      </c>
      <c r="AK131">
        <v>1</v>
      </c>
      <c r="AL131">
        <v>0</v>
      </c>
      <c r="AM131">
        <v>0</v>
      </c>
    </row>
    <row r="132" spans="1:39" hidden="1" x14ac:dyDescent="0.2">
      <c r="A132" t="s">
        <v>325</v>
      </c>
      <c r="B132" t="s">
        <v>326</v>
      </c>
      <c r="C132" t="s">
        <v>326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29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6.6</v>
      </c>
      <c r="AE132">
        <v>604</v>
      </c>
      <c r="AF132">
        <v>18.103448275862061</v>
      </c>
      <c r="AG132">
        <v>12.48161721008684</v>
      </c>
      <c r="AH132">
        <v>25.584223405980779</v>
      </c>
      <c r="AI132">
        <f>7.31117964939721*1</f>
        <v>7.3111796493972099</v>
      </c>
      <c r="AJ132">
        <f>1.3279766486297*1</f>
        <v>1.3279766486297</v>
      </c>
      <c r="AK132">
        <v>1</v>
      </c>
      <c r="AL132">
        <v>0</v>
      </c>
      <c r="AM132">
        <v>0</v>
      </c>
    </row>
    <row r="133" spans="1:39" hidden="1" x14ac:dyDescent="0.2">
      <c r="A133" t="s">
        <v>327</v>
      </c>
      <c r="B133" t="s">
        <v>328</v>
      </c>
      <c r="C133" t="s">
        <v>328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29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6.3</v>
      </c>
      <c r="AE133">
        <v>605</v>
      </c>
      <c r="AF133">
        <v>19.684210526315791</v>
      </c>
      <c r="AG133">
        <v>17.507188125517299</v>
      </c>
      <c r="AH133">
        <v>37.51776836243296</v>
      </c>
      <c r="AI133">
        <f>11.1130510889771*1</f>
        <v>11.1130510889771</v>
      </c>
      <c r="AJ133">
        <f>2.13537743151826*1</f>
        <v>2.1353774315182599</v>
      </c>
      <c r="AK133">
        <v>1</v>
      </c>
      <c r="AL133">
        <v>0</v>
      </c>
      <c r="AM133">
        <v>0</v>
      </c>
    </row>
    <row r="134" spans="1:39" hidden="1" x14ac:dyDescent="0.2">
      <c r="A134" t="s">
        <v>187</v>
      </c>
      <c r="B134" t="s">
        <v>329</v>
      </c>
      <c r="C134" t="s">
        <v>329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29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7.6</v>
      </c>
      <c r="AE134">
        <v>607</v>
      </c>
      <c r="AF134">
        <v>22.139303482587071</v>
      </c>
      <c r="AG134">
        <v>22.57854865604352</v>
      </c>
      <c r="AH134">
        <v>47.743293396096341</v>
      </c>
      <c r="AI134">
        <f>22.2616134880502*1</f>
        <v>22.261613488050202</v>
      </c>
      <c r="AJ134">
        <f>4.45495057826276*1</f>
        <v>4.4549505782627596</v>
      </c>
      <c r="AK134">
        <v>1</v>
      </c>
      <c r="AL134">
        <v>0</v>
      </c>
      <c r="AM134">
        <v>0</v>
      </c>
    </row>
    <row r="135" spans="1:39" hidden="1" x14ac:dyDescent="0.2">
      <c r="A135" t="s">
        <v>153</v>
      </c>
      <c r="B135" t="s">
        <v>330</v>
      </c>
      <c r="C135" t="s">
        <v>331</v>
      </c>
      <c r="D135" t="s">
        <v>4</v>
      </c>
      <c r="E135">
        <v>0</v>
      </c>
      <c r="F135">
        <v>1</v>
      </c>
      <c r="G135">
        <v>0</v>
      </c>
      <c r="H135">
        <v>0</v>
      </c>
      <c r="I135" t="s">
        <v>29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5.5</v>
      </c>
      <c r="AE135">
        <v>608</v>
      </c>
      <c r="AF135">
        <v>18.84615384615385</v>
      </c>
      <c r="AG135">
        <v>19.150624381565098</v>
      </c>
      <c r="AH135">
        <v>11.946013480696861</v>
      </c>
      <c r="AI135">
        <f>17.0918732418453*1</f>
        <v>17.091873241845299</v>
      </c>
      <c r="AJ135">
        <f>2.83739031304018*1</f>
        <v>2.8373903130401801</v>
      </c>
      <c r="AK135">
        <v>1</v>
      </c>
      <c r="AL135">
        <v>0</v>
      </c>
      <c r="AM135">
        <v>0</v>
      </c>
    </row>
    <row r="136" spans="1:39" hidden="1" x14ac:dyDescent="0.2">
      <c r="A136" t="s">
        <v>332</v>
      </c>
      <c r="B136" t="s">
        <v>169</v>
      </c>
      <c r="C136" t="s">
        <v>333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4.8</v>
      </c>
      <c r="AE136">
        <v>612</v>
      </c>
      <c r="AF136">
        <v>11.083333333333339</v>
      </c>
      <c r="AG136">
        <v>10.12684481351347</v>
      </c>
      <c r="AH136">
        <v>25.65</v>
      </c>
      <c r="AI136">
        <f>9.88164649500872*1</f>
        <v>9.8816464950087202</v>
      </c>
      <c r="AJ136">
        <f>2.17292392266029*1</f>
        <v>2.1729239226602899</v>
      </c>
      <c r="AK136">
        <v>1</v>
      </c>
      <c r="AL136">
        <v>0</v>
      </c>
      <c r="AM136">
        <v>0</v>
      </c>
    </row>
    <row r="137" spans="1:39" x14ac:dyDescent="0.2">
      <c r="A137" t="s">
        <v>353</v>
      </c>
      <c r="B137" t="s">
        <v>354</v>
      </c>
      <c r="C137" t="s">
        <v>355</v>
      </c>
      <c r="D137" t="s">
        <v>6</v>
      </c>
      <c r="E137">
        <v>0</v>
      </c>
      <c r="F137">
        <v>0</v>
      </c>
      <c r="G137">
        <v>0</v>
      </c>
      <c r="H137">
        <v>1</v>
      </c>
      <c r="I137" t="s">
        <v>31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7.1</v>
      </c>
      <c r="AE137">
        <v>670</v>
      </c>
      <c r="AF137">
        <v>29.030514625795039</v>
      </c>
      <c r="AG137">
        <v>18.486719896692019</v>
      </c>
      <c r="AH137">
        <v>42.847557397336672</v>
      </c>
      <c r="AI137">
        <f>13.3163064446266*1</f>
        <v>13.3163064446266</v>
      </c>
      <c r="AJ137">
        <f>2.48684481903644*1</f>
        <v>2.4868448190364401</v>
      </c>
      <c r="AK137">
        <v>1</v>
      </c>
      <c r="AL137">
        <v>1</v>
      </c>
      <c r="AM137">
        <v>1</v>
      </c>
    </row>
    <row r="138" spans="1:39" hidden="1" x14ac:dyDescent="0.2">
      <c r="A138" t="s">
        <v>336</v>
      </c>
      <c r="B138" t="s">
        <v>337</v>
      </c>
      <c r="C138" t="s">
        <v>337</v>
      </c>
      <c r="D138" t="s">
        <v>4</v>
      </c>
      <c r="E138">
        <v>0</v>
      </c>
      <c r="F138">
        <v>1</v>
      </c>
      <c r="G138">
        <v>0</v>
      </c>
      <c r="H138">
        <v>0</v>
      </c>
      <c r="I138" t="s">
        <v>29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4.9000000000000004</v>
      </c>
      <c r="AE138">
        <v>617</v>
      </c>
      <c r="AF138">
        <v>12.84090909090909</v>
      </c>
      <c r="AG138">
        <v>11.404976640454819</v>
      </c>
      <c r="AH138">
        <v>7.4584137756787614</v>
      </c>
      <c r="AI138">
        <f>10.4388560217945*1</f>
        <v>10.4388560217945</v>
      </c>
      <c r="AJ138">
        <f>1.87854304919855*1</f>
        <v>1.87854304919855</v>
      </c>
      <c r="AK138">
        <v>1</v>
      </c>
      <c r="AL138">
        <v>0</v>
      </c>
      <c r="AM138">
        <v>0</v>
      </c>
    </row>
    <row r="139" spans="1:39" hidden="1" x14ac:dyDescent="0.2">
      <c r="A139" t="s">
        <v>338</v>
      </c>
      <c r="B139" t="s">
        <v>339</v>
      </c>
      <c r="C139" t="s">
        <v>339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29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6.2</v>
      </c>
      <c r="AE139">
        <v>621</v>
      </c>
      <c r="AF139">
        <v>16.602564102564099</v>
      </c>
      <c r="AG139">
        <v>22.720278351746199</v>
      </c>
      <c r="AH139">
        <v>12.160074191051571</v>
      </c>
      <c r="AI139">
        <f>10.0807672351869*1</f>
        <v>10.080767235186901</v>
      </c>
      <c r="AJ139">
        <f>2.09401723981107*1</f>
        <v>2.0940172398110701</v>
      </c>
      <c r="AK139">
        <v>1</v>
      </c>
      <c r="AL139">
        <v>0</v>
      </c>
      <c r="AM139">
        <v>0</v>
      </c>
    </row>
    <row r="140" spans="1:39" hidden="1" x14ac:dyDescent="0.2">
      <c r="A140" t="s">
        <v>340</v>
      </c>
      <c r="B140" t="s">
        <v>341</v>
      </c>
      <c r="C140" t="s">
        <v>341</v>
      </c>
      <c r="D140" t="s">
        <v>4</v>
      </c>
      <c r="E140">
        <v>0</v>
      </c>
      <c r="F140">
        <v>1</v>
      </c>
      <c r="G140">
        <v>0</v>
      </c>
      <c r="H140">
        <v>0</v>
      </c>
      <c r="I140" t="s">
        <v>30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4.5999999999999996</v>
      </c>
      <c r="AE140">
        <v>631</v>
      </c>
      <c r="AF140">
        <v>16.14942528735634</v>
      </c>
      <c r="AG140">
        <v>19.030893379887122</v>
      </c>
      <c r="AH140">
        <v>10.57094769874192</v>
      </c>
      <c r="AI140">
        <f>21.2770988491385*1</f>
        <v>21.2770988491385</v>
      </c>
      <c r="AJ140">
        <f>4.76138582613783*1</f>
        <v>4.7613858261378299</v>
      </c>
      <c r="AK140">
        <v>1</v>
      </c>
      <c r="AL140">
        <v>0</v>
      </c>
      <c r="AM140">
        <v>0</v>
      </c>
    </row>
    <row r="141" spans="1:39" hidden="1" x14ac:dyDescent="0.2">
      <c r="A141" t="s">
        <v>342</v>
      </c>
      <c r="B141" t="s">
        <v>343</v>
      </c>
      <c r="C141" t="s">
        <v>343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30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7.5</v>
      </c>
      <c r="AE141">
        <v>635</v>
      </c>
      <c r="AF141">
        <v>22.12765085792979</v>
      </c>
      <c r="AG141">
        <v>22.23118938924085</v>
      </c>
      <c r="AH141">
        <v>52.719208877640007</v>
      </c>
      <c r="AI141">
        <f>14.3822252821854*1</f>
        <v>14.3822252821854</v>
      </c>
      <c r="AJ141">
        <f>2.43861403566849*1</f>
        <v>2.4386140356684902</v>
      </c>
      <c r="AK141">
        <v>1</v>
      </c>
      <c r="AL141">
        <v>0</v>
      </c>
      <c r="AM141">
        <v>0</v>
      </c>
    </row>
    <row r="142" spans="1:39" hidden="1" x14ac:dyDescent="0.2">
      <c r="A142" t="s">
        <v>344</v>
      </c>
      <c r="B142" t="s">
        <v>345</v>
      </c>
      <c r="C142" t="s">
        <v>344</v>
      </c>
      <c r="D142" t="s">
        <v>4</v>
      </c>
      <c r="E142">
        <v>0</v>
      </c>
      <c r="F142">
        <v>1</v>
      </c>
      <c r="G142">
        <v>0</v>
      </c>
      <c r="H142">
        <v>0</v>
      </c>
      <c r="I142" t="s">
        <v>30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4.4000000000000004</v>
      </c>
      <c r="AE142">
        <v>639</v>
      </c>
      <c r="AF142">
        <v>10.07924753916169</v>
      </c>
      <c r="AG142">
        <v>10.026157127877269</v>
      </c>
      <c r="AH142">
        <v>6.2062845566768408</v>
      </c>
      <c r="AI142">
        <f>11.5483882013251*1</f>
        <v>11.5483882013251</v>
      </c>
      <c r="AJ142">
        <f>2.17055424346771*1</f>
        <v>2.1705542434677101</v>
      </c>
      <c r="AK142">
        <v>1</v>
      </c>
      <c r="AL142">
        <v>0</v>
      </c>
      <c r="AM142">
        <v>0</v>
      </c>
    </row>
    <row r="143" spans="1:39" hidden="1" x14ac:dyDescent="0.2">
      <c r="A143" t="s">
        <v>346</v>
      </c>
      <c r="B143" t="s">
        <v>347</v>
      </c>
      <c r="C143" t="s">
        <v>348</v>
      </c>
      <c r="D143" t="s">
        <v>5</v>
      </c>
      <c r="E143">
        <v>0</v>
      </c>
      <c r="F143">
        <v>0</v>
      </c>
      <c r="G143">
        <v>1</v>
      </c>
      <c r="H143">
        <v>0</v>
      </c>
      <c r="I143" t="s">
        <v>30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5.7</v>
      </c>
      <c r="AE143">
        <v>646</v>
      </c>
      <c r="AF143">
        <v>16.192778948581189</v>
      </c>
      <c r="AG143">
        <v>21.33545267794895</v>
      </c>
      <c r="AH143">
        <v>15.81938231134899</v>
      </c>
      <c r="AI143">
        <f>12.5631427018427*1</f>
        <v>12.5631427018427</v>
      </c>
      <c r="AJ143">
        <f>2.89700855095742*1</f>
        <v>2.8970085509574202</v>
      </c>
      <c r="AK143">
        <v>1</v>
      </c>
      <c r="AL143">
        <v>0</v>
      </c>
      <c r="AM143">
        <v>0</v>
      </c>
    </row>
    <row r="144" spans="1:39" hidden="1" x14ac:dyDescent="0.2">
      <c r="A144" t="s">
        <v>349</v>
      </c>
      <c r="B144" t="s">
        <v>350</v>
      </c>
      <c r="C144" t="s">
        <v>350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30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4.9000000000000004</v>
      </c>
      <c r="AE144">
        <v>649</v>
      </c>
      <c r="AF144">
        <v>16.415094339622641</v>
      </c>
      <c r="AG144">
        <v>14.198937780447791</v>
      </c>
      <c r="AH144">
        <v>16.399999999999999</v>
      </c>
      <c r="AI144">
        <f>9.75139279428777*1</f>
        <v>9.7513927942877707</v>
      </c>
      <c r="AJ144">
        <f>2.14433469003178*1</f>
        <v>2.1443346900317799</v>
      </c>
      <c r="AK144">
        <v>1</v>
      </c>
      <c r="AL144">
        <v>0</v>
      </c>
      <c r="AM144">
        <v>0</v>
      </c>
    </row>
    <row r="145" spans="1:39" hidden="1" x14ac:dyDescent="0.2">
      <c r="A145" t="s">
        <v>351</v>
      </c>
      <c r="B145" t="s">
        <v>352</v>
      </c>
      <c r="C145" t="s">
        <v>352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31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5</v>
      </c>
      <c r="AE145">
        <v>664</v>
      </c>
      <c r="AF145">
        <v>10.540540540540549</v>
      </c>
      <c r="AG145">
        <v>15.76834499899433</v>
      </c>
      <c r="AH145">
        <v>7.6595081781244936</v>
      </c>
      <c r="AI145">
        <f>7.55171983441516*1</f>
        <v>7.5517198344151604</v>
      </c>
      <c r="AJ145">
        <f>1.46545544926572*1</f>
        <v>1.4654554492657199</v>
      </c>
      <c r="AK145">
        <v>1</v>
      </c>
      <c r="AL145">
        <v>0</v>
      </c>
      <c r="AM145">
        <v>0</v>
      </c>
    </row>
    <row r="146" spans="1:39" x14ac:dyDescent="0.2">
      <c r="A146" t="s">
        <v>305</v>
      </c>
      <c r="B146" t="s">
        <v>306</v>
      </c>
      <c r="C146" t="s">
        <v>306</v>
      </c>
      <c r="D146" t="s">
        <v>3</v>
      </c>
      <c r="E146">
        <v>1</v>
      </c>
      <c r="F146">
        <v>0</v>
      </c>
      <c r="G146">
        <v>0</v>
      </c>
      <c r="H146">
        <v>0</v>
      </c>
      <c r="I146" t="s">
        <v>27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4.7</v>
      </c>
      <c r="AE146">
        <v>541</v>
      </c>
      <c r="AF146">
        <v>15.909090909090899</v>
      </c>
      <c r="AG146">
        <v>25.02758397075868</v>
      </c>
      <c r="AH146">
        <v>31.33073593073593</v>
      </c>
      <c r="AI146">
        <f>12.4086076509735*1</f>
        <v>12.408607650973501</v>
      </c>
      <c r="AJ146">
        <f>2.37163296862212*1</f>
        <v>2.3716329686221198</v>
      </c>
      <c r="AK146">
        <v>1</v>
      </c>
      <c r="AL146">
        <v>1</v>
      </c>
      <c r="AM146">
        <v>1</v>
      </c>
    </row>
    <row r="147" spans="1:39" hidden="1" x14ac:dyDescent="0.2">
      <c r="A147" t="s">
        <v>356</v>
      </c>
      <c r="B147" t="s">
        <v>357</v>
      </c>
      <c r="C147" t="s">
        <v>358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31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</v>
      </c>
      <c r="AD147">
        <v>5.3</v>
      </c>
      <c r="AE147">
        <v>677</v>
      </c>
      <c r="AF147">
        <v>12.592592592592601</v>
      </c>
      <c r="AG147">
        <v>11.37568807561393</v>
      </c>
      <c r="AH147">
        <v>14.93333333333333</v>
      </c>
      <c r="AI147">
        <f>22.9288555308681*1</f>
        <v>22.928855530868098</v>
      </c>
      <c r="AJ147">
        <f>4.73618631479458*1</f>
        <v>4.7361863147945797</v>
      </c>
      <c r="AK147">
        <v>1</v>
      </c>
      <c r="AL147">
        <v>0</v>
      </c>
      <c r="AM147">
        <v>0</v>
      </c>
    </row>
    <row r="148" spans="1:39" hidden="1" x14ac:dyDescent="0.2">
      <c r="A148" t="s">
        <v>359</v>
      </c>
      <c r="B148" t="s">
        <v>360</v>
      </c>
      <c r="C148" t="s">
        <v>361</v>
      </c>
      <c r="D148" t="s">
        <v>5</v>
      </c>
      <c r="E148">
        <v>0</v>
      </c>
      <c r="F148">
        <v>0</v>
      </c>
      <c r="G148">
        <v>1</v>
      </c>
      <c r="H148">
        <v>0</v>
      </c>
      <c r="I148" t="s">
        <v>31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4.9000000000000004</v>
      </c>
      <c r="AE148">
        <v>682</v>
      </c>
      <c r="AF148">
        <v>11.482829636328409</v>
      </c>
      <c r="AG148">
        <v>10.13949713272889</v>
      </c>
      <c r="AH148">
        <v>8</v>
      </c>
      <c r="AI148">
        <f>15.0771314358753*1</f>
        <v>15.0771314358753</v>
      </c>
      <c r="AJ148">
        <f>2.75250838405184*1</f>
        <v>2.7525083840518398</v>
      </c>
      <c r="AK148">
        <v>1</v>
      </c>
      <c r="AL148">
        <v>0</v>
      </c>
      <c r="AM148">
        <v>0</v>
      </c>
    </row>
    <row r="149" spans="1:39" hidden="1" x14ac:dyDescent="0.2">
      <c r="A149" t="s">
        <v>362</v>
      </c>
      <c r="B149" t="s">
        <v>363</v>
      </c>
      <c r="C149" t="s">
        <v>364</v>
      </c>
      <c r="D149" t="s">
        <v>5</v>
      </c>
      <c r="E149">
        <v>0</v>
      </c>
      <c r="F149">
        <v>0</v>
      </c>
      <c r="G149">
        <v>1</v>
      </c>
      <c r="H149">
        <v>0</v>
      </c>
      <c r="I149" t="s">
        <v>31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5</v>
      </c>
      <c r="AE149">
        <v>686</v>
      </c>
      <c r="AF149">
        <v>11.65217391304347</v>
      </c>
      <c r="AG149">
        <v>11.267970213811131</v>
      </c>
      <c r="AH149">
        <v>12.83846491505393</v>
      </c>
      <c r="AI149">
        <f>10.2777861984176*1</f>
        <v>10.2777861984176</v>
      </c>
      <c r="AJ149">
        <f>2.00709425016398*1</f>
        <v>2.0070942501639801</v>
      </c>
      <c r="AK149">
        <v>1</v>
      </c>
      <c r="AL149">
        <v>0</v>
      </c>
      <c r="AM149">
        <v>0</v>
      </c>
    </row>
    <row r="150" spans="1:39" hidden="1" x14ac:dyDescent="0.2">
      <c r="A150" t="s">
        <v>365</v>
      </c>
      <c r="B150" t="s">
        <v>366</v>
      </c>
      <c r="C150" t="s">
        <v>367</v>
      </c>
      <c r="D150" t="s">
        <v>4</v>
      </c>
      <c r="E150">
        <v>0</v>
      </c>
      <c r="F150">
        <v>1</v>
      </c>
      <c r="G150">
        <v>0</v>
      </c>
      <c r="H150">
        <v>0</v>
      </c>
      <c r="I150" t="s">
        <v>31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4.5</v>
      </c>
      <c r="AE150">
        <v>688</v>
      </c>
      <c r="AF150">
        <v>14.18099356331607</v>
      </c>
      <c r="AG150">
        <v>17.636960920979011</v>
      </c>
      <c r="AH150">
        <v>21.790063102758761</v>
      </c>
      <c r="AI150">
        <f>15.2417234880232*1</f>
        <v>15.241723488023201</v>
      </c>
      <c r="AJ150">
        <f>3.37485473512864*1</f>
        <v>3.3748547351286402</v>
      </c>
      <c r="AK150">
        <v>1</v>
      </c>
      <c r="AL150">
        <v>0</v>
      </c>
      <c r="AM150">
        <v>0</v>
      </c>
    </row>
    <row r="151" spans="1:39" hidden="1" x14ac:dyDescent="0.2">
      <c r="A151" t="s">
        <v>368</v>
      </c>
      <c r="B151" t="s">
        <v>369</v>
      </c>
      <c r="C151" t="s">
        <v>369</v>
      </c>
      <c r="D151" t="s">
        <v>6</v>
      </c>
      <c r="E151">
        <v>0</v>
      </c>
      <c r="F151">
        <v>0</v>
      </c>
      <c r="G151">
        <v>0</v>
      </c>
      <c r="H151">
        <v>1</v>
      </c>
      <c r="I151" t="s">
        <v>31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5.6</v>
      </c>
      <c r="AE151">
        <v>694</v>
      </c>
      <c r="AF151">
        <v>0</v>
      </c>
      <c r="AG151">
        <v>0</v>
      </c>
      <c r="AH151">
        <v>0</v>
      </c>
      <c r="AI151">
        <f>0*1</f>
        <v>0</v>
      </c>
      <c r="AJ151">
        <f>0*1</f>
        <v>0</v>
      </c>
      <c r="AK151">
        <v>1</v>
      </c>
      <c r="AL151">
        <v>0</v>
      </c>
      <c r="AM151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2024-12-28T16:42:00Z</dcterms:created>
  <dcterms:modified xsi:type="dcterms:W3CDTF">2024-12-28T16:43:37Z</dcterms:modified>
</cp:coreProperties>
</file>