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Calibrations/2023-24/"/>
    </mc:Choice>
  </mc:AlternateContent>
  <xr:revisionPtr revIDLastSave="0" documentId="13_ncr:1_{4144BA8C-980B-BE49-A4F7-E250ADEB63DE}" xr6:coauthVersionLast="47" xr6:coauthVersionMax="47" xr10:uidLastSave="{00000000-0000-0000-0000-000000000000}"/>
  <bookViews>
    <workbookView xWindow="240" yWindow="760" windowWidth="16100" windowHeight="9660" firstSheet="12" activeTab="19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0" l="1"/>
  <c r="F10" i="20" s="1"/>
  <c r="D9" i="20"/>
  <c r="F9" i="20" s="1"/>
  <c r="F8" i="20"/>
  <c r="D8" i="20"/>
  <c r="D7" i="20"/>
  <c r="F7" i="20" s="1"/>
  <c r="D6" i="20"/>
  <c r="F6" i="20" s="1"/>
  <c r="D5" i="20"/>
  <c r="I5" i="20" s="1"/>
  <c r="F4" i="20"/>
  <c r="D4" i="20"/>
  <c r="D3" i="20"/>
  <c r="F3" i="20" s="1"/>
  <c r="F2" i="20"/>
  <c r="D2" i="20"/>
  <c r="F7" i="19"/>
  <c r="D7" i="19"/>
  <c r="D6" i="19"/>
  <c r="F6" i="19" s="1"/>
  <c r="I5" i="19"/>
  <c r="D5" i="19"/>
  <c r="F5" i="19" s="1"/>
  <c r="F4" i="19"/>
  <c r="D4" i="19"/>
  <c r="D3" i="19"/>
  <c r="F3" i="19" s="1"/>
  <c r="D2" i="19"/>
  <c r="F2" i="19" s="1"/>
  <c r="F9" i="18"/>
  <c r="D9" i="18"/>
  <c r="D8" i="18"/>
  <c r="F8" i="18" s="1"/>
  <c r="D7" i="18"/>
  <c r="F7" i="18" s="1"/>
  <c r="F6" i="18"/>
  <c r="D6" i="18"/>
  <c r="I5" i="18"/>
  <c r="F5" i="18"/>
  <c r="D5" i="18"/>
  <c r="D4" i="18"/>
  <c r="F4" i="18" s="1"/>
  <c r="F3" i="18"/>
  <c r="D3" i="18"/>
  <c r="D2" i="18"/>
  <c r="F2" i="18" s="1"/>
  <c r="I5" i="17"/>
  <c r="F3" i="17"/>
  <c r="D3" i="17"/>
  <c r="D2" i="17"/>
  <c r="F2" i="17" s="1"/>
  <c r="I7" i="17" s="1"/>
  <c r="F6" i="16"/>
  <c r="D6" i="16"/>
  <c r="D5" i="16"/>
  <c r="I5" i="16" s="1"/>
  <c r="F4" i="16"/>
  <c r="D4" i="16"/>
  <c r="D3" i="16"/>
  <c r="F3" i="16" s="1"/>
  <c r="D2" i="16"/>
  <c r="F2" i="16" s="1"/>
  <c r="D11" i="15"/>
  <c r="F11" i="15" s="1"/>
  <c r="D10" i="15"/>
  <c r="F10" i="15" s="1"/>
  <c r="F9" i="15"/>
  <c r="D9" i="15"/>
  <c r="D8" i="15"/>
  <c r="F8" i="15" s="1"/>
  <c r="F7" i="15"/>
  <c r="D7" i="15"/>
  <c r="F6" i="15"/>
  <c r="D6" i="15"/>
  <c r="I5" i="15"/>
  <c r="F5" i="15"/>
  <c r="D5" i="15"/>
  <c r="D4" i="15"/>
  <c r="F4" i="15" s="1"/>
  <c r="D3" i="15"/>
  <c r="F3" i="15" s="1"/>
  <c r="D2" i="15"/>
  <c r="F2" i="15" s="1"/>
  <c r="I7" i="15" s="1"/>
  <c r="D9" i="14"/>
  <c r="F9" i="14" s="1"/>
  <c r="F8" i="14"/>
  <c r="D8" i="14"/>
  <c r="D7" i="14"/>
  <c r="F7" i="14" s="1"/>
  <c r="F6" i="14"/>
  <c r="D6" i="14"/>
  <c r="D5" i="14"/>
  <c r="I5" i="14" s="1"/>
  <c r="F4" i="14"/>
  <c r="D4" i="14"/>
  <c r="D3" i="14"/>
  <c r="F3" i="14" s="1"/>
  <c r="D2" i="14"/>
  <c r="F2" i="14" s="1"/>
  <c r="D10" i="13"/>
  <c r="F10" i="13" s="1"/>
  <c r="F9" i="13"/>
  <c r="D9" i="13"/>
  <c r="F8" i="13"/>
  <c r="D8" i="13"/>
  <c r="D7" i="13"/>
  <c r="F7" i="13" s="1"/>
  <c r="F6" i="13"/>
  <c r="D6" i="13"/>
  <c r="F5" i="13"/>
  <c r="D5" i="13"/>
  <c r="I5" i="13" s="1"/>
  <c r="F4" i="13"/>
  <c r="D4" i="13"/>
  <c r="D3" i="13"/>
  <c r="F3" i="13" s="1"/>
  <c r="D2" i="13"/>
  <c r="F2" i="13" s="1"/>
  <c r="I5" i="12"/>
  <c r="F2" i="12"/>
  <c r="I7" i="12" s="1"/>
  <c r="D2" i="12"/>
  <c r="F12" i="11"/>
  <c r="D12" i="11"/>
  <c r="D11" i="11"/>
  <c r="F11" i="11" s="1"/>
  <c r="D10" i="11"/>
  <c r="F10" i="11" s="1"/>
  <c r="D9" i="11"/>
  <c r="F9" i="11" s="1"/>
  <c r="D8" i="11"/>
  <c r="F8" i="11" s="1"/>
  <c r="F7" i="11"/>
  <c r="D7" i="11"/>
  <c r="D6" i="11"/>
  <c r="F6" i="11" s="1"/>
  <c r="D5" i="11"/>
  <c r="F5" i="11" s="1"/>
  <c r="D4" i="11"/>
  <c r="F4" i="11" s="1"/>
  <c r="F3" i="11"/>
  <c r="D3" i="11"/>
  <c r="D2" i="11"/>
  <c r="F2" i="11" s="1"/>
  <c r="F12" i="10"/>
  <c r="D12" i="10"/>
  <c r="D11" i="10"/>
  <c r="F11" i="10" s="1"/>
  <c r="D10" i="10"/>
  <c r="F10" i="10" s="1"/>
  <c r="F9" i="10"/>
  <c r="D9" i="10"/>
  <c r="D8" i="10"/>
  <c r="F8" i="10" s="1"/>
  <c r="F7" i="10"/>
  <c r="D7" i="10"/>
  <c r="F6" i="10"/>
  <c r="D6" i="10"/>
  <c r="I5" i="10"/>
  <c r="F5" i="10"/>
  <c r="D5" i="10"/>
  <c r="D4" i="10"/>
  <c r="F4" i="10" s="1"/>
  <c r="D3" i="10"/>
  <c r="F3" i="10" s="1"/>
  <c r="D2" i="10"/>
  <c r="F2" i="10" s="1"/>
  <c r="I7" i="10" s="1"/>
  <c r="D11" i="9"/>
  <c r="F11" i="9" s="1"/>
  <c r="F10" i="9"/>
  <c r="D10" i="9"/>
  <c r="D9" i="9"/>
  <c r="F9" i="9" s="1"/>
  <c r="D8" i="9"/>
  <c r="F8" i="9" s="1"/>
  <c r="D7" i="9"/>
  <c r="F7" i="9" s="1"/>
  <c r="F6" i="9"/>
  <c r="D6" i="9"/>
  <c r="I5" i="9"/>
  <c r="D5" i="9"/>
  <c r="F5" i="9" s="1"/>
  <c r="D4" i="9"/>
  <c r="F4" i="9" s="1"/>
  <c r="D3" i="9"/>
  <c r="F3" i="9" s="1"/>
  <c r="D2" i="9"/>
  <c r="F2" i="9" s="1"/>
  <c r="F10" i="8"/>
  <c r="D10" i="8"/>
  <c r="D9" i="8"/>
  <c r="F9" i="8" s="1"/>
  <c r="D8" i="8"/>
  <c r="F8" i="8" s="1"/>
  <c r="D7" i="8"/>
  <c r="F7" i="8" s="1"/>
  <c r="F6" i="8"/>
  <c r="D6" i="8"/>
  <c r="I5" i="8"/>
  <c r="D5" i="8"/>
  <c r="F5" i="8" s="1"/>
  <c r="D4" i="8"/>
  <c r="F4" i="8" s="1"/>
  <c r="D3" i="8"/>
  <c r="F3" i="8" s="1"/>
  <c r="F2" i="8"/>
  <c r="D2" i="8"/>
  <c r="D9" i="7"/>
  <c r="F9" i="7" s="1"/>
  <c r="D8" i="7"/>
  <c r="F8" i="7" s="1"/>
  <c r="F7" i="7"/>
  <c r="D7" i="7"/>
  <c r="D6" i="7"/>
  <c r="F6" i="7" s="1"/>
  <c r="I5" i="7"/>
  <c r="D5" i="7"/>
  <c r="F5" i="7" s="1"/>
  <c r="D4" i="7"/>
  <c r="F4" i="7" s="1"/>
  <c r="D3" i="7"/>
  <c r="F3" i="7" s="1"/>
  <c r="D2" i="7"/>
  <c r="F2" i="7" s="1"/>
  <c r="I5" i="6"/>
  <c r="D4" i="6"/>
  <c r="F4" i="6" s="1"/>
  <c r="D3" i="6"/>
  <c r="F3" i="6" s="1"/>
  <c r="D2" i="6"/>
  <c r="F2" i="6" s="1"/>
  <c r="D8" i="5"/>
  <c r="F8" i="5" s="1"/>
  <c r="F7" i="5"/>
  <c r="D7" i="5"/>
  <c r="F6" i="5"/>
  <c r="D6" i="5"/>
  <c r="D5" i="5"/>
  <c r="I5" i="5" s="1"/>
  <c r="D4" i="5"/>
  <c r="F4" i="5" s="1"/>
  <c r="D3" i="5"/>
  <c r="F3" i="5" s="1"/>
  <c r="F2" i="5"/>
  <c r="D2" i="5"/>
  <c r="D7" i="4"/>
  <c r="F7" i="4" s="1"/>
  <c r="F6" i="4"/>
  <c r="D6" i="4"/>
  <c r="D5" i="4"/>
  <c r="F5" i="4" s="1"/>
  <c r="F4" i="4"/>
  <c r="D4" i="4"/>
  <c r="D3" i="4"/>
  <c r="F3" i="4" s="1"/>
  <c r="D2" i="4"/>
  <c r="F2" i="4" s="1"/>
  <c r="D9" i="3"/>
  <c r="F9" i="3" s="1"/>
  <c r="D8" i="3"/>
  <c r="F8" i="3" s="1"/>
  <c r="F7" i="3"/>
  <c r="D7" i="3"/>
  <c r="D6" i="3"/>
  <c r="F6" i="3" s="1"/>
  <c r="D5" i="3"/>
  <c r="F5" i="3" s="1"/>
  <c r="D4" i="3"/>
  <c r="F4" i="3" s="1"/>
  <c r="F3" i="3"/>
  <c r="D3" i="3"/>
  <c r="D2" i="3"/>
  <c r="F2" i="3" s="1"/>
  <c r="D10" i="2"/>
  <c r="F10" i="2" s="1"/>
  <c r="D9" i="2"/>
  <c r="F9" i="2" s="1"/>
  <c r="D8" i="2"/>
  <c r="F8" i="2" s="1"/>
  <c r="F7" i="2"/>
  <c r="D7" i="2"/>
  <c r="D6" i="2"/>
  <c r="F6" i="2" s="1"/>
  <c r="D5" i="2"/>
  <c r="F5" i="2" s="1"/>
  <c r="D4" i="2"/>
  <c r="F4" i="2" s="1"/>
  <c r="F3" i="2"/>
  <c r="D3" i="2"/>
  <c r="D2" i="2"/>
  <c r="F2" i="2" s="1"/>
  <c r="D13" i="1"/>
  <c r="F13" i="1" s="1"/>
  <c r="D12" i="1"/>
  <c r="F12" i="1" s="1"/>
  <c r="D11" i="1"/>
  <c r="F11" i="1" s="1"/>
  <c r="F10" i="1"/>
  <c r="D10" i="1"/>
  <c r="D9" i="1"/>
  <c r="F9" i="1" s="1"/>
  <c r="D8" i="1"/>
  <c r="F8" i="1" s="1"/>
  <c r="D7" i="1"/>
  <c r="F7" i="1" s="1"/>
  <c r="F6" i="1"/>
  <c r="D6" i="1"/>
  <c r="I5" i="1"/>
  <c r="D5" i="1"/>
  <c r="F5" i="1" s="1"/>
  <c r="D4" i="1"/>
  <c r="F4" i="1" s="1"/>
  <c r="D3" i="1"/>
  <c r="F3" i="1" s="1"/>
  <c r="D2" i="1"/>
  <c r="F2" i="1" s="1"/>
  <c r="I7" i="7" l="1"/>
  <c r="I7" i="13"/>
  <c r="I7" i="8"/>
  <c r="I7" i="18"/>
  <c r="I7" i="2"/>
  <c r="I7" i="3"/>
  <c r="I7" i="4"/>
  <c r="I7" i="5"/>
  <c r="I7" i="16"/>
  <c r="I7" i="1"/>
  <c r="I7" i="9"/>
  <c r="I7" i="11"/>
  <c r="I7" i="6"/>
  <c r="I7" i="14"/>
  <c r="I7" i="19"/>
  <c r="I7" i="20"/>
  <c r="I5" i="11"/>
  <c r="I5" i="4"/>
  <c r="I5" i="2"/>
  <c r="I5" i="3"/>
  <c r="F5" i="5"/>
  <c r="F5" i="14"/>
  <c r="F5" i="16"/>
  <c r="F5" i="20"/>
</calcChain>
</file>

<file path=xl/sharedStrings.xml><?xml version="1.0" encoding="utf-8"?>
<sst xmlns="http://schemas.openxmlformats.org/spreadsheetml/2006/main" count="352" uniqueCount="160">
  <si>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</si>
  <si>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</si>
  <si>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</si>
  <si>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</si>
  <si>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</si>
  <si>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</si>
  <si>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</si>
  <si>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</si>
  <si>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</si>
  <si>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</si>
  <si>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</si>
  <si>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</si>
  <si>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</si>
  <si>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</si>
  <si>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</si>
  <si>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</si>
  <si>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</si>
  <si>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</si>
  <si>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</si>
  <si>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</si>
  <si>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</si>
  <si>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</si>
  <si>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Digne</t>
  </si>
  <si>
    <t>Tielemans</t>
  </si>
  <si>
    <t>Douglas Luiz</t>
  </si>
  <si>
    <t>McGinn</t>
  </si>
  <si>
    <t>Konsa</t>
  </si>
  <si>
    <t>Watkins</t>
  </si>
  <si>
    <t>Bailey</t>
  </si>
  <si>
    <t>Martinez</t>
  </si>
  <si>
    <t>Diaby</t>
  </si>
  <si>
    <t>Billing</t>
  </si>
  <si>
    <t>Solanke</t>
  </si>
  <si>
    <t>Christie</t>
  </si>
  <si>
    <t>Tavernier</t>
  </si>
  <si>
    <t>Senesi</t>
  </si>
  <si>
    <t>Neto</t>
  </si>
  <si>
    <t>Semenyo</t>
  </si>
  <si>
    <t>Zabarnyi</t>
  </si>
  <si>
    <t>Maupay</t>
  </si>
  <si>
    <t>Janelt</t>
  </si>
  <si>
    <t>Mbeumo</t>
  </si>
  <si>
    <t>Wissa</t>
  </si>
  <si>
    <t>Jensen</t>
  </si>
  <si>
    <t>Collins</t>
  </si>
  <si>
    <t>Gross</t>
  </si>
  <si>
    <t>Welbeck</t>
  </si>
  <si>
    <t>Gilmour</t>
  </si>
  <si>
    <t>João Pedro</t>
  </si>
  <si>
    <t>Steele</t>
  </si>
  <si>
    <t>Ferguson</t>
  </si>
  <si>
    <t>Mitoma</t>
  </si>
  <si>
    <t>Taylor</t>
  </si>
  <si>
    <t>Berge</t>
  </si>
  <si>
    <t>Brownhill</t>
  </si>
  <si>
    <t>Sterling</t>
  </si>
  <si>
    <t>Gallagher</t>
  </si>
  <si>
    <t>Sanchez</t>
  </si>
  <si>
    <t>Palmer</t>
  </si>
  <si>
    <t>T.Silva</t>
  </si>
  <si>
    <t>Colwill</t>
  </si>
  <si>
    <t>Mudryk</t>
  </si>
  <si>
    <t>Enzo</t>
  </si>
  <si>
    <t>Schlupp</t>
  </si>
  <si>
    <t>Ward</t>
  </si>
  <si>
    <t>J.Ayew</t>
  </si>
  <si>
    <t>Mitchell</t>
  </si>
  <si>
    <t>Eze</t>
  </si>
  <si>
    <t>Johnstone</t>
  </si>
  <si>
    <t>Mateta</t>
  </si>
  <si>
    <t>Edouard</t>
  </si>
  <si>
    <t>Lerma</t>
  </si>
  <si>
    <t>A.Doucoure</t>
  </si>
  <si>
    <t>Tarkowski</t>
  </si>
  <si>
    <t>Pickford</t>
  </si>
  <si>
    <t>Calvert-Lewin</t>
  </si>
  <si>
    <t>McNeil</t>
  </si>
  <si>
    <t>Garner</t>
  </si>
  <si>
    <t>Branthwaite</t>
  </si>
  <si>
    <t>Harrison</t>
  </si>
  <si>
    <t>Mykolenko</t>
  </si>
  <si>
    <t>Onana</t>
  </si>
  <si>
    <t>Raúl</t>
  </si>
  <si>
    <t>Cairney</t>
  </si>
  <si>
    <t>Iwobi</t>
  </si>
  <si>
    <t>Leno</t>
  </si>
  <si>
    <t>Wilson</t>
  </si>
  <si>
    <t>Castagne</t>
  </si>
  <si>
    <t>Robinson</t>
  </si>
  <si>
    <t>J.Palhinha</t>
  </si>
  <si>
    <t>Andreas</t>
  </si>
  <si>
    <t>De Cordova-Reid</t>
  </si>
  <si>
    <t>Willian</t>
  </si>
  <si>
    <t>A.Becker</t>
  </si>
  <si>
    <t>Salah</t>
  </si>
  <si>
    <t>Alexander-Arnold</t>
  </si>
  <si>
    <t>Virgil</t>
  </si>
  <si>
    <t>Jones</t>
  </si>
  <si>
    <t>Mac Allister</t>
  </si>
  <si>
    <t>Konaté</t>
  </si>
  <si>
    <t>Luis Díaz</t>
  </si>
  <si>
    <t>Darwin</t>
  </si>
  <si>
    <t>Diogo J.</t>
  </si>
  <si>
    <t>Gakpo</t>
  </si>
  <si>
    <t>Barkley</t>
  </si>
  <si>
    <t>Ederson M.</t>
  </si>
  <si>
    <t>Walker</t>
  </si>
  <si>
    <t>Aké</t>
  </si>
  <si>
    <t>Foden</t>
  </si>
  <si>
    <t>Rodrigo</t>
  </si>
  <si>
    <t>Haaland</t>
  </si>
  <si>
    <t>Bernardo</t>
  </si>
  <si>
    <t>J.Alvarez</t>
  </si>
  <si>
    <t>Akanji</t>
  </si>
  <si>
    <t>Rashford</t>
  </si>
  <si>
    <t>McTominay</t>
  </si>
  <si>
    <t>Lindelof</t>
  </si>
  <si>
    <t>Martial</t>
  </si>
  <si>
    <t>B.Fernandes</t>
  </si>
  <si>
    <t>Dalot</t>
  </si>
  <si>
    <t>Garnacho</t>
  </si>
  <si>
    <t>Trippier</t>
  </si>
  <si>
    <t>Longstaff</t>
  </si>
  <si>
    <t>Burn</t>
  </si>
  <si>
    <t>Joelinton</t>
  </si>
  <si>
    <t>Pope</t>
  </si>
  <si>
    <t>Gordon</t>
  </si>
  <si>
    <t>Bruno G.</t>
  </si>
  <si>
    <t>Almirón</t>
  </si>
  <si>
    <t>Isak</t>
  </si>
  <si>
    <t>Wood</t>
  </si>
  <si>
    <t>Gibbs-White</t>
  </si>
  <si>
    <t>Elanga</t>
  </si>
  <si>
    <t>Mangala</t>
  </si>
  <si>
    <t>Toffolo</t>
  </si>
  <si>
    <t>Archer</t>
  </si>
  <si>
    <t>Foderingham</t>
  </si>
  <si>
    <t>Richarlison</t>
  </si>
  <si>
    <t>Romero</t>
  </si>
  <si>
    <t>Kulusevski</t>
  </si>
  <si>
    <t>Johnson</t>
  </si>
  <si>
    <t>Son</t>
  </si>
  <si>
    <t>Sarr</t>
  </si>
  <si>
    <t>Pedro Porro</t>
  </si>
  <si>
    <t>Vicario</t>
  </si>
  <si>
    <t>Ward-Prowse</t>
  </si>
  <si>
    <t>Zouma</t>
  </si>
  <si>
    <t>Emerson</t>
  </si>
  <si>
    <t>Bowen</t>
  </si>
  <si>
    <t>Areola</t>
  </si>
  <si>
    <t>L.Paquetá</t>
  </si>
  <si>
    <t>Lemina</t>
  </si>
  <si>
    <t>Kilman</t>
  </si>
  <si>
    <t>Dawson</t>
  </si>
  <si>
    <t>N.Semedo</t>
  </si>
  <si>
    <t>José Sá</t>
  </si>
  <si>
    <t>Toti</t>
  </si>
  <si>
    <t>Hee Chan</t>
  </si>
  <si>
    <t>Cunha</t>
  </si>
  <si>
    <t>Sarabia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</si>
</sst>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F13" totalsRowShown="0">
  <autoFilter ref="A1:F13" xr:uid="{00000000-0009-0000-0100-000001000000}"/>
  <tableColumns count="6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PP">
      <calculatedColumnFormula>TableARS[[#This Row],[ARIMAPP]]*$I$2+TableARS[[#This Row],[LSTMPP]]*$I$3</calculatedColumnFormula>
    </tableColumn>
    <tableColumn id="5" xr3:uid="{00000000-0010-0000-0000-000005000000}" name="AP"/>
    <tableColumn id="6" xr3:uid="{00000000-0010-0000-0000-000006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FUL" displayName="TableFUL" ref="A1:F12" totalsRowShown="0">
  <autoFilter ref="A1:F12" xr:uid="{00000000-0009-0000-0100-00000A000000}"/>
  <tableColumns count="6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PP">
      <calculatedColumnFormula>TableFUL[[#This Row],[ARIMAPP]]*$I$2+TableFUL[[#This Row],[LSTMPP]]*$I$3</calculatedColumnFormula>
    </tableColumn>
    <tableColumn id="5" xr3:uid="{00000000-0010-0000-0900-000005000000}" name="AP"/>
    <tableColumn id="6" xr3:uid="{00000000-0010-0000-0900-000006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LIV" displayName="TableLIV" ref="A1:F12" totalsRowShown="0">
  <autoFilter ref="A1:F12" xr:uid="{00000000-0009-0000-0100-00000B000000}"/>
  <tableColumns count="6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PP">
      <calculatedColumnFormula>TableLIV[[#This Row],[ARIMAPP]]*$I$2+TableLIV[[#This Row],[LSTMPP]]*$I$3</calculatedColumnFormula>
    </tableColumn>
    <tableColumn id="5" xr3:uid="{00000000-0010-0000-0A00-000005000000}" name="AP"/>
    <tableColumn id="6" xr3:uid="{00000000-0010-0000-0A00-000006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LUT" displayName="TableLUT" ref="A1:F2" totalsRowShown="0">
  <autoFilter ref="A1:F2" xr:uid="{00000000-0009-0000-0100-00000C000000}"/>
  <tableColumns count="6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PP">
      <calculatedColumnFormula>TableLUT[[#This Row],[ARIMAPP]]*$I$2+TableLUT[[#This Row],[LSTMPP]]*$I$3</calculatedColumnFormula>
    </tableColumn>
    <tableColumn id="5" xr3:uid="{00000000-0010-0000-0B00-000005000000}" name="AP"/>
    <tableColumn id="6" xr3:uid="{00000000-0010-0000-0B00-000006000000}" name="DIFF">
      <calculatedColumnFormula>ABS(TableLUT[[#This Row],[PP]]-TableLUT[[#This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MCI" displayName="TableMCI" ref="A1:F10" totalsRowShown="0">
  <autoFilter ref="A1:F10" xr:uid="{00000000-0009-0000-0100-00000D000000}"/>
  <tableColumns count="6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PP">
      <calculatedColumnFormula>TableMCI[[#This Row],[ARIMAPP]]*$I$2+TableMCI[[#This Row],[LSTMPP]]*$I$3</calculatedColumnFormula>
    </tableColumn>
    <tableColumn id="5" xr3:uid="{00000000-0010-0000-0C00-000005000000}" name="AP"/>
    <tableColumn id="6" xr3:uid="{00000000-0010-0000-0C00-000006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MUN" displayName="TableMUN" ref="A1:F9" totalsRowShown="0">
  <autoFilter ref="A1:F9" xr:uid="{00000000-0009-0000-0100-00000E000000}"/>
  <tableColumns count="6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PP">
      <calculatedColumnFormula>TableMUN[[#This Row],[ARIMAPP]]*$I$2+TableMUN[[#This Row],[LSTMPP]]*$I$3</calculatedColumnFormula>
    </tableColumn>
    <tableColumn id="5" xr3:uid="{00000000-0010-0000-0D00-000005000000}" name="AP"/>
    <tableColumn id="6" xr3:uid="{00000000-0010-0000-0D00-000006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NEW" displayName="TableNEW" ref="A1:F11" totalsRowShown="0">
  <autoFilter ref="A1:F11" xr:uid="{00000000-0009-0000-0100-00000F000000}"/>
  <tableColumns count="6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PP">
      <calculatedColumnFormula>TableNEW[[#This Row],[ARIMAPP]]*$I$2+TableNEW[[#This Row],[LSTMPP]]*$I$3</calculatedColumnFormula>
    </tableColumn>
    <tableColumn id="5" xr3:uid="{00000000-0010-0000-0E00-000005000000}" name="AP"/>
    <tableColumn id="6" xr3:uid="{00000000-0010-0000-0E00-000006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NFO" displayName="TableNFO" ref="A1:F6" totalsRowShown="0">
  <autoFilter ref="A1:F6" xr:uid="{00000000-0009-0000-0100-000010000000}"/>
  <tableColumns count="6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PP">
      <calculatedColumnFormula>TableNFO[[#This Row],[ARIMAPP]]*$I$2+TableNFO[[#This Row],[LSTMPP]]*$I$3</calculatedColumnFormula>
    </tableColumn>
    <tableColumn id="5" xr3:uid="{00000000-0010-0000-0F00-000005000000}" name="AP"/>
    <tableColumn id="6" xr3:uid="{00000000-0010-0000-0F00-000006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SHU" displayName="TableSHU" ref="A1:F3" totalsRowShown="0">
  <autoFilter ref="A1:F3" xr:uid="{00000000-0009-0000-0100-000011000000}"/>
  <tableColumns count="6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PP">
      <calculatedColumnFormula>TableSHU[[#This Row],[ARIMAPP]]*$I$2+TableSHU[[#This Row],[LSTMPP]]*$I$3</calculatedColumnFormula>
    </tableColumn>
    <tableColumn id="5" xr3:uid="{00000000-0010-0000-1000-000005000000}" name="AP"/>
    <tableColumn id="6" xr3:uid="{00000000-0010-0000-1000-000006000000}" name="DIFF">
      <calculatedColumnFormula>ABS(TableSHU[[#This Row],[PP]]-TableSHU[[#This Row],[AP]])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TOT" displayName="TableTOT" ref="A1:F9" totalsRowShown="0">
  <autoFilter ref="A1:F9" xr:uid="{00000000-0009-0000-0100-000012000000}"/>
  <tableColumns count="6">
    <tableColumn id="1" xr3:uid="{00000000-0010-0000-1100-000001000000}" name="Name"/>
    <tableColumn id="2" xr3:uid="{00000000-0010-0000-1100-000002000000}" name="ARIMAPP"/>
    <tableColumn id="3" xr3:uid="{00000000-0010-0000-1100-000003000000}" name="LSTMPP"/>
    <tableColumn id="4" xr3:uid="{00000000-0010-0000-1100-000004000000}" name="PP">
      <calculatedColumnFormula>TableTOT[[#This Row],[ARIMAPP]]*$I$2+TableTOT[[#This Row],[LSTMPP]]*$I$3</calculatedColumnFormula>
    </tableColumn>
    <tableColumn id="5" xr3:uid="{00000000-0010-0000-1100-000005000000}" name="AP"/>
    <tableColumn id="6" xr3:uid="{00000000-0010-0000-1100-000006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WHU" displayName="TableWHU" ref="A1:F7" totalsRowShown="0">
  <autoFilter ref="A1:F7" xr:uid="{00000000-0009-0000-0100-000013000000}"/>
  <tableColumns count="6">
    <tableColumn id="1" xr3:uid="{00000000-0010-0000-1200-000001000000}" name="Name"/>
    <tableColumn id="2" xr3:uid="{00000000-0010-0000-1200-000002000000}" name="ARIMAPP"/>
    <tableColumn id="3" xr3:uid="{00000000-0010-0000-1200-000003000000}" name="LSTMPP"/>
    <tableColumn id="4" xr3:uid="{00000000-0010-0000-1200-000004000000}" name="PP">
      <calculatedColumnFormula>TableWHU[[#This Row],[ARIMAPP]]*$I$2+TableWHU[[#This Row],[LSTMPP]]*$I$3</calculatedColumnFormula>
    </tableColumn>
    <tableColumn id="5" xr3:uid="{00000000-0010-0000-1200-000005000000}" name="AP"/>
    <tableColumn id="6" xr3:uid="{00000000-0010-0000-1200-000006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F10" totalsRowShown="0">
  <autoFilter ref="A1:F10" xr:uid="{00000000-0009-0000-0100-000002000000}"/>
  <tableColumns count="6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PP">
      <calculatedColumnFormula>TableAVL[[#This Row],[ARIMAPP]]*$I$2+TableAVL[[#This Row],[LSTMPP]]*$I$3</calculatedColumnFormula>
    </tableColumn>
    <tableColumn id="5" xr3:uid="{00000000-0010-0000-0100-000005000000}" name="AP"/>
    <tableColumn id="6" xr3:uid="{00000000-0010-0000-0100-000006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WOL" displayName="TableWOL" ref="A1:F10" totalsRowShown="0">
  <autoFilter ref="A1:F10" xr:uid="{00000000-0009-0000-0100-000014000000}"/>
  <tableColumns count="6">
    <tableColumn id="1" xr3:uid="{00000000-0010-0000-1300-000001000000}" name="Name"/>
    <tableColumn id="2" xr3:uid="{00000000-0010-0000-1300-000002000000}" name="ARIMAPP"/>
    <tableColumn id="3" xr3:uid="{00000000-0010-0000-1300-000003000000}" name="LSTMPP"/>
    <tableColumn id="4" xr3:uid="{00000000-0010-0000-1300-000004000000}" name="PP">
      <calculatedColumnFormula>TableWOL[[#This Row],[ARIMAPP]]*$I$2+TableWOL[[#This Row],[LSTMPP]]*$I$3</calculatedColumnFormula>
    </tableColumn>
    <tableColumn id="5" xr3:uid="{00000000-0010-0000-1300-000005000000}" name="AP"/>
    <tableColumn id="6" xr3:uid="{00000000-0010-0000-1300-000006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F9" totalsRowShown="0">
  <autoFilter ref="A1:F9" xr:uid="{00000000-0009-0000-0100-000003000000}"/>
  <tableColumns count="6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PP">
      <calculatedColumnFormula>TableBOU[[#This Row],[ARIMAPP]]*$I$2+TableBOU[[#This Row],[LSTMPP]]*$I$3</calculatedColumnFormula>
    </tableColumn>
    <tableColumn id="5" xr3:uid="{00000000-0010-0000-0200-000005000000}" name="AP"/>
    <tableColumn id="6" xr3:uid="{00000000-0010-0000-0200-000006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F7" totalsRowShown="0">
  <autoFilter ref="A1:F7" xr:uid="{00000000-0009-0000-0100-000004000000}"/>
  <tableColumns count="6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PP">
      <calculatedColumnFormula>TableBRE[[#This Row],[ARIMAPP]]*$I$2+TableBRE[[#This Row],[LSTMPP]]*$I$3</calculatedColumnFormula>
    </tableColumn>
    <tableColumn id="5" xr3:uid="{00000000-0010-0000-0300-000005000000}" name="AP"/>
    <tableColumn id="6" xr3:uid="{00000000-0010-0000-0300-000006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F8" totalsRowShown="0">
  <autoFilter ref="A1:F8" xr:uid="{00000000-0009-0000-0100-000005000000}"/>
  <tableColumns count="6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PP">
      <calculatedColumnFormula>TableBHA[[#This Row],[ARIMAPP]]*$I$2+TableBHA[[#This Row],[LSTMPP]]*$I$3</calculatedColumnFormula>
    </tableColumn>
    <tableColumn id="5" xr3:uid="{00000000-0010-0000-0400-000005000000}" name="AP"/>
    <tableColumn id="6" xr3:uid="{00000000-0010-0000-0400-000006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UR" displayName="TableBUR" ref="A1:F4" totalsRowShown="0">
  <autoFilter ref="A1:F4" xr:uid="{00000000-0009-0000-0100-000006000000}"/>
  <tableColumns count="6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PP">
      <calculatedColumnFormula>TableBUR[[#This Row],[ARIMAPP]]*$I$2+TableBUR[[#This Row],[LSTMPP]]*$I$3</calculatedColumnFormula>
    </tableColumn>
    <tableColumn id="5" xr3:uid="{00000000-0010-0000-0500-000005000000}" name="AP"/>
    <tableColumn id="6" xr3:uid="{00000000-0010-0000-0500-000006000000}" name="DIFF">
      <calculatedColumnFormula>ABS(TableBUR[[#This Row],[PP]]-TableBUR[[#This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HE" displayName="TableCHE" ref="A1:F9" totalsRowShown="0">
  <autoFilter ref="A1:F9" xr:uid="{00000000-0009-0000-0100-000007000000}"/>
  <tableColumns count="6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PP">
      <calculatedColumnFormula>TableCHE[[#This Row],[ARIMAPP]]*$I$2+TableCHE[[#This Row],[LSTMPP]]*$I$3</calculatedColumnFormula>
    </tableColumn>
    <tableColumn id="5" xr3:uid="{00000000-0010-0000-0600-000005000000}" name="AP"/>
    <tableColumn id="6" xr3:uid="{00000000-0010-0000-0600-000006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CRY" displayName="TableCRY" ref="A1:F10" totalsRowShown="0">
  <autoFilter ref="A1:F10" xr:uid="{00000000-0009-0000-0100-000008000000}"/>
  <tableColumns count="6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PP">
      <calculatedColumnFormula>TableCRY[[#This Row],[ARIMAPP]]*$I$2+TableCRY[[#This Row],[LSTMPP]]*$I$3</calculatedColumnFormula>
    </tableColumn>
    <tableColumn id="5" xr3:uid="{00000000-0010-0000-0700-000005000000}" name="AP"/>
    <tableColumn id="6" xr3:uid="{00000000-0010-0000-0700-000006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EVE" displayName="TableEVE" ref="A1:F11" totalsRowShown="0">
  <autoFilter ref="A1:F11" xr:uid="{00000000-0009-0000-0100-000009000000}"/>
  <tableColumns count="6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PP">
      <calculatedColumnFormula>TableEVE[[#This Row],[ARIMAPP]]*$I$2+TableEVE[[#This Row],[LSTMPP]]*$I$3</calculatedColumnFormula>
    </tableColumn>
    <tableColumn id="5" xr3:uid="{00000000-0010-0000-0800-000005000000}" name="AP"/>
    <tableColumn id="6" xr3:uid="{00000000-0010-0000-0800-000006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5" sqref="I5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</v>
      </c>
      <c r="B2">
        <v>28.601366284063321</v>
      </c>
      <c r="C2">
        <v>28.16326530612244</v>
      </c>
      <c r="D2">
        <f>TableARS[[#This Row],[ARIMAPP]]*$I$2+TableARS[[#This Row],[LSTMPP]]*$I$3</f>
        <v>27.408417461817542</v>
      </c>
      <c r="E2">
        <v>31</v>
      </c>
      <c r="F2">
        <f>ABS(TableARS[[#This Row],[PP]]-TableARS[[#This Row],[AP]])</f>
        <v>3.5915825381824575</v>
      </c>
      <c r="H2" t="s">
        <v>0</v>
      </c>
      <c r="I2">
        <v>0.21826994789000001</v>
      </c>
    </row>
    <row r="3" spans="1:9" x14ac:dyDescent="0.2">
      <c r="A3" t="s">
        <v>11</v>
      </c>
      <c r="B3">
        <v>40.547945205479458</v>
      </c>
      <c r="C3">
        <v>40.739443199588962</v>
      </c>
      <c r="D3">
        <f>TableARS[[#This Row],[ARIMAPP]]*$I$2+TableARS[[#This Row],[LSTMPP]]*$I$3</f>
        <v>39.467398366663872</v>
      </c>
      <c r="E3">
        <v>37</v>
      </c>
      <c r="F3">
        <f>ABS(TableARS[[#This Row],[PP]]-TableARS[[#This Row],[AP]])</f>
        <v>2.4673983666638719</v>
      </c>
      <c r="H3" t="s">
        <v>1</v>
      </c>
      <c r="I3">
        <v>0.75153212893999999</v>
      </c>
    </row>
    <row r="4" spans="1:9" x14ac:dyDescent="0.2">
      <c r="A4" t="s">
        <v>12</v>
      </c>
      <c r="B4">
        <v>32.989690721649481</v>
      </c>
      <c r="C4">
        <v>30.519480519480521</v>
      </c>
      <c r="D4">
        <f>TableARS[[#This Row],[ARIMAPP]]*$I$2+TableARS[[#This Row],[LSTMPP]]*$I$3</f>
        <v>30.1370282436697</v>
      </c>
      <c r="E4">
        <v>44</v>
      </c>
      <c r="F4">
        <f>ABS(TableARS[[#This Row],[PP]]-TableARS[[#This Row],[AP]])</f>
        <v>13.8629717563303</v>
      </c>
    </row>
    <row r="5" spans="1:9" x14ac:dyDescent="0.2">
      <c r="A5" t="s">
        <v>13</v>
      </c>
      <c r="B5">
        <v>55.748976403088598</v>
      </c>
      <c r="C5">
        <v>41.365995931213789</v>
      </c>
      <c r="D5">
        <f>TableARS[[#This Row],[ARIMAPP]]*$I$2+TableARS[[#This Row],[LSTMPP]]*$I$3</f>
        <v>43.256201162331465</v>
      </c>
      <c r="E5">
        <v>44</v>
      </c>
      <c r="F5">
        <f>ABS(TableARS[[#This Row],[PP]]-TableARS[[#This Row],[AP]])</f>
        <v>0.74379883766853538</v>
      </c>
      <c r="H5" t="s">
        <v>2</v>
      </c>
      <c r="I5">
        <f>SUM(ABS(TableARS[[#This Row],[PP]]-TableARS[[#This Row],[AP]]))</f>
        <v>0.74379883766853538</v>
      </c>
    </row>
    <row r="6" spans="1:9" x14ac:dyDescent="0.2">
      <c r="A6" t="s">
        <v>14</v>
      </c>
      <c r="B6">
        <v>38.245013305679997</v>
      </c>
      <c r="C6">
        <v>40.305824538366032</v>
      </c>
      <c r="D6">
        <f>TableARS[[#This Row],[ARIMAPP]]*$I$2+TableARS[[#This Row],[LSTMPP]]*$I$3</f>
        <v>38.638859185283451</v>
      </c>
      <c r="E6">
        <v>33</v>
      </c>
      <c r="F6">
        <f>ABS(TableARS[[#This Row],[PP]]-TableARS[[#This Row],[AP]])</f>
        <v>5.6388591852834509</v>
      </c>
    </row>
    <row r="7" spans="1:9" x14ac:dyDescent="0.2">
      <c r="A7" t="s">
        <v>15</v>
      </c>
      <c r="B7">
        <v>31.875</v>
      </c>
      <c r="C7">
        <v>32.873059185505568</v>
      </c>
      <c r="D7">
        <f>TableARS[[#This Row],[ARIMAPP]]*$I$2+TableARS[[#This Row],[LSTMPP]]*$I$3</f>
        <v>31.662514743447375</v>
      </c>
      <c r="E7">
        <v>32</v>
      </c>
      <c r="F7">
        <f>ABS(TableARS[[#This Row],[PP]]-TableARS[[#This Row],[AP]])</f>
        <v>0.3374852565526254</v>
      </c>
      <c r="H7" t="s">
        <v>3</v>
      </c>
      <c r="I7">
        <f>AVERAGE(TableARS[DIFF])/10</f>
        <v>0.525109943977486</v>
      </c>
    </row>
    <row r="8" spans="1:9" x14ac:dyDescent="0.2">
      <c r="A8" t="s">
        <v>16</v>
      </c>
      <c r="B8">
        <v>56.571683260059018</v>
      </c>
      <c r="C8">
        <v>35.91549295774648</v>
      </c>
      <c r="D8">
        <f>TableARS[[#This Row],[ARIMAPP]]*$I$2+TableARS[[#This Row],[LSTMPP]]*$I$3</f>
        <v>39.33954524168746</v>
      </c>
      <c r="E8">
        <v>40</v>
      </c>
      <c r="F8">
        <f>ABS(TableARS[[#This Row],[PP]]-TableARS[[#This Row],[AP]])</f>
        <v>0.66045475831253952</v>
      </c>
    </row>
    <row r="9" spans="1:9" x14ac:dyDescent="0.2">
      <c r="A9" t="s">
        <v>17</v>
      </c>
      <c r="B9">
        <v>42.727272727272727</v>
      </c>
      <c r="C9">
        <v>34.326923076923073</v>
      </c>
      <c r="D9">
        <f>TableARS[[#This Row],[ARIMAPP]]*$I$2+TableARS[[#This Row],[LSTMPP]]*$I$3</f>
        <v>35.123865171623251</v>
      </c>
      <c r="E9">
        <v>33</v>
      </c>
      <c r="F9">
        <f>ABS(TableARS[[#This Row],[PP]]-TableARS[[#This Row],[AP]])</f>
        <v>2.1238651716232511</v>
      </c>
    </row>
    <row r="10" spans="1:9" x14ac:dyDescent="0.2">
      <c r="A10" t="s">
        <v>18</v>
      </c>
      <c r="B10">
        <v>43.479895976721807</v>
      </c>
      <c r="C10">
        <v>35.178571428571431</v>
      </c>
      <c r="D10">
        <f>TableARS[[#This Row],[ARIMAPP]]*$I$2+TableARS[[#This Row],[LSTMPP]]*$I$3</f>
        <v>35.928181307883833</v>
      </c>
      <c r="E10">
        <v>35</v>
      </c>
      <c r="F10">
        <f>ABS(TableARS[[#This Row],[PP]]-TableARS[[#This Row],[AP]])</f>
        <v>0.92818130788383257</v>
      </c>
    </row>
    <row r="11" spans="1:9" x14ac:dyDescent="0.2">
      <c r="A11" t="s">
        <v>19</v>
      </c>
      <c r="B11">
        <v>43.043478260869563</v>
      </c>
      <c r="C11">
        <v>34.166666666666671</v>
      </c>
      <c r="D11">
        <f>TableARS[[#This Row],[ARIMAPP]]*$I$2+TableARS[[#This Row],[LSTMPP]]*$I$3</f>
        <v>35.072445495787683</v>
      </c>
      <c r="E11">
        <v>24</v>
      </c>
      <c r="F11">
        <f>ABS(TableARS[[#This Row],[PP]]-TableARS[[#This Row],[AP]])</f>
        <v>11.072445495787683</v>
      </c>
    </row>
    <row r="12" spans="1:9" x14ac:dyDescent="0.2">
      <c r="A12" t="s">
        <v>20</v>
      </c>
      <c r="B12">
        <v>49.767441860465148</v>
      </c>
      <c r="C12">
        <v>49.240643947308712</v>
      </c>
      <c r="D12">
        <f>TableARS[[#This Row],[ARIMAPP]]*$I$2+TableARS[[#This Row],[LSTMPP]]*$I$3</f>
        <v>47.868662917599778</v>
      </c>
      <c r="E12">
        <v>42</v>
      </c>
      <c r="F12">
        <f>ABS(TableARS[[#This Row],[PP]]-TableARS[[#This Row],[AP]])</f>
        <v>5.868662917599778</v>
      </c>
    </row>
    <row r="13" spans="1:9" x14ac:dyDescent="0.2">
      <c r="A13" t="s">
        <v>21</v>
      </c>
      <c r="B13">
        <v>36.000000000000007</v>
      </c>
      <c r="C13">
        <v>32.5</v>
      </c>
      <c r="D13">
        <f>TableARS[[#This Row],[ARIMAPP]]*$I$2+TableARS[[#This Row],[LSTMPP]]*$I$3</f>
        <v>32.282512314590001</v>
      </c>
      <c r="E13">
        <v>48</v>
      </c>
      <c r="F13">
        <f>ABS(TableARS[[#This Row],[PP]]-TableARS[[#This Row],[AP]])</f>
        <v>15.717487685409999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82</v>
      </c>
      <c r="B2">
        <v>14.88713274976584</v>
      </c>
      <c r="C2">
        <v>41.603534167812228</v>
      </c>
      <c r="D2">
        <f>TableFUL[[#This Row],[ARIMAPP]]*$I$2+TableFUL[[#This Row],[LSTMPP]]*$I$3</f>
        <v>45.050651685082769</v>
      </c>
      <c r="E2">
        <v>42</v>
      </c>
      <c r="F2">
        <f>ABS(TableFUL[[#This Row],[PP]]-TableFUL[[#This Row],[AP]])</f>
        <v>3.0506516850827694</v>
      </c>
      <c r="H2" t="s">
        <v>0</v>
      </c>
      <c r="I2">
        <v>-0.14901658609999999</v>
      </c>
    </row>
    <row r="3" spans="1:9" x14ac:dyDescent="0.2">
      <c r="A3" t="s">
        <v>83</v>
      </c>
      <c r="B3">
        <v>19.999999999999989</v>
      </c>
      <c r="C3">
        <v>23.984375</v>
      </c>
      <c r="D3">
        <f>TableFUL[[#This Row],[ARIMAPP]]*$I$2+TableFUL[[#This Row],[LSTMPP]]*$I$3</f>
        <v>24.270222744187503</v>
      </c>
      <c r="E3">
        <v>38</v>
      </c>
      <c r="F3">
        <f>ABS(TableFUL[[#This Row],[PP]]-TableFUL[[#This Row],[AP]])</f>
        <v>13.729777255812497</v>
      </c>
      <c r="H3" t="s">
        <v>1</v>
      </c>
      <c r="I3">
        <v>1.1361794696</v>
      </c>
    </row>
    <row r="4" spans="1:9" x14ac:dyDescent="0.2">
      <c r="A4" t="s">
        <v>84</v>
      </c>
      <c r="B4">
        <v>26.455696202531659</v>
      </c>
      <c r="C4">
        <v>27.93650793650794</v>
      </c>
      <c r="D4">
        <f>TableFUL[[#This Row],[ARIMAPP]]*$I$2+TableFUL[[#This Row],[LSTMPP]]*$I$3</f>
        <v>27.798549238777781</v>
      </c>
      <c r="E4">
        <v>42</v>
      </c>
      <c r="F4">
        <f>ABS(TableFUL[[#This Row],[PP]]-TableFUL[[#This Row],[AP]])</f>
        <v>14.201450761222219</v>
      </c>
    </row>
    <row r="5" spans="1:9" x14ac:dyDescent="0.2">
      <c r="A5" t="s">
        <v>85</v>
      </c>
      <c r="B5">
        <v>36.964415136096321</v>
      </c>
      <c r="C5">
        <v>32.850877192982459</v>
      </c>
      <c r="D5">
        <f>TableFUL[[#This Row],[ARIMAPP]]*$I$2+TableFUL[[#This Row],[LSTMPP]]*$I$3</f>
        <v>31.81618127425331</v>
      </c>
      <c r="E5">
        <v>27</v>
      </c>
      <c r="F5">
        <f>ABS(TableFUL[[#This Row],[PP]]-TableFUL[[#This Row],[AP]])</f>
        <v>4.8161812742533101</v>
      </c>
      <c r="H5" t="s">
        <v>2</v>
      </c>
      <c r="I5">
        <f>SUM(ABS(TableFUL[[#This Row],[PP]]-TableFUL[[#This Row],[AP]]))</f>
        <v>4.8161812742533101</v>
      </c>
    </row>
    <row r="6" spans="1:9" x14ac:dyDescent="0.2">
      <c r="A6" t="s">
        <v>86</v>
      </c>
      <c r="B6">
        <v>25.217391304347821</v>
      </c>
      <c r="C6">
        <v>26.72727272727272</v>
      </c>
      <c r="D6">
        <f>TableFUL[[#This Row],[ARIMAPP]]*$I$2+TableFUL[[#This Row],[LSTMPP]]*$I$3</f>
        <v>26.609168988605525</v>
      </c>
      <c r="E6">
        <v>32</v>
      </c>
      <c r="F6">
        <f>ABS(TableFUL[[#This Row],[PP]]-TableFUL[[#This Row],[AP]])</f>
        <v>5.3908310113944751</v>
      </c>
    </row>
    <row r="7" spans="1:9" x14ac:dyDescent="0.2">
      <c r="A7" t="s">
        <v>87</v>
      </c>
      <c r="B7">
        <v>31.16096496268867</v>
      </c>
      <c r="C7">
        <v>30.878378378378379</v>
      </c>
      <c r="D7">
        <f>TableFUL[[#This Row],[ARIMAPP]]*$I$2+TableFUL[[#This Row],[LSTMPP]]*$I$3</f>
        <v>30.439878949732478</v>
      </c>
      <c r="E7">
        <v>21</v>
      </c>
      <c r="F7">
        <f>ABS(TableFUL[[#This Row],[PP]]-TableFUL[[#This Row],[AP]])</f>
        <v>9.4398789497324778</v>
      </c>
      <c r="H7" t="s">
        <v>3</v>
      </c>
      <c r="I7">
        <f>AVERAGE(TableFUL[DIFF])/10</f>
        <v>0.58238389510124766</v>
      </c>
    </row>
    <row r="8" spans="1:9" x14ac:dyDescent="0.2">
      <c r="A8" t="s">
        <v>88</v>
      </c>
      <c r="B8">
        <v>22.857142857142851</v>
      </c>
      <c r="C8">
        <v>26.428571428571431</v>
      </c>
      <c r="D8">
        <f>TableFUL[[#This Row],[ARIMAPP]]*$I$2+TableFUL[[#This Row],[LSTMPP]]*$I$3</f>
        <v>26.621506871428576</v>
      </c>
      <c r="E8">
        <v>29</v>
      </c>
      <c r="F8">
        <f>ABS(TableFUL[[#This Row],[PP]]-TableFUL[[#This Row],[AP]])</f>
        <v>2.3784931285714244</v>
      </c>
    </row>
    <row r="9" spans="1:9" x14ac:dyDescent="0.2">
      <c r="A9" t="s">
        <v>89</v>
      </c>
      <c r="B9">
        <v>26.585365853658551</v>
      </c>
      <c r="C9">
        <v>25.78125</v>
      </c>
      <c r="D9">
        <f>TableFUL[[#This Row],[ARIMAPP]]*$I$2+TableFUL[[#This Row],[LSTMPP]]*$I$3</f>
        <v>25.33046649089329</v>
      </c>
      <c r="E9">
        <v>20</v>
      </c>
      <c r="F9">
        <f>ABS(TableFUL[[#This Row],[PP]]-TableFUL[[#This Row],[AP]])</f>
        <v>5.3304664908932899</v>
      </c>
    </row>
    <row r="10" spans="1:9" x14ac:dyDescent="0.2">
      <c r="A10" t="s">
        <v>90</v>
      </c>
      <c r="B10">
        <v>30.686410526321321</v>
      </c>
      <c r="C10">
        <v>39.022155350572618</v>
      </c>
      <c r="D10">
        <f>TableFUL[[#This Row],[ARIMAPP]]*$I$2+TableFUL[[#This Row],[LSTMPP]]*$I$3</f>
        <v>39.763387632566889</v>
      </c>
      <c r="E10">
        <v>35</v>
      </c>
      <c r="F10">
        <f>ABS(TableFUL[[#This Row],[PP]]-TableFUL[[#This Row],[AP]])</f>
        <v>4.7633876325668894</v>
      </c>
    </row>
    <row r="11" spans="1:9" x14ac:dyDescent="0.2">
      <c r="A11" t="s">
        <v>91</v>
      </c>
      <c r="B11">
        <v>32.183860663017711</v>
      </c>
      <c r="C11">
        <v>25.735294117647062</v>
      </c>
      <c r="D11">
        <f>TableFUL[[#This Row],[ARIMAPP]]*$I$2+TableFUL[[#This Row],[LSTMPP]]*$I$3</f>
        <v>24.44398377706726</v>
      </c>
      <c r="E11">
        <v>24</v>
      </c>
      <c r="F11">
        <f>ABS(TableFUL[[#This Row],[PP]]-TableFUL[[#This Row],[AP]])</f>
        <v>0.44398377706725967</v>
      </c>
    </row>
    <row r="12" spans="1:9" x14ac:dyDescent="0.2">
      <c r="A12" t="s">
        <v>92</v>
      </c>
      <c r="B12">
        <v>40.303030303030297</v>
      </c>
      <c r="C12">
        <v>41.826971663652621</v>
      </c>
      <c r="D12">
        <f>TableFUL[[#This Row],[ARIMAPP]]*$I$2+TableFUL[[#This Row],[LSTMPP]]*$I$3</f>
        <v>41.517126494540641</v>
      </c>
      <c r="E12">
        <v>41</v>
      </c>
      <c r="F12">
        <f>ABS(TableFUL[[#This Row],[PP]]-TableFUL[[#This Row],[AP]])</f>
        <v>0.51712649454064064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93</v>
      </c>
      <c r="B2">
        <v>44.793370448508732</v>
      </c>
      <c r="C2">
        <v>36.195652173913039</v>
      </c>
      <c r="D2">
        <f>TableLIV[[#This Row],[ARIMAPP]]*$I$2+TableLIV[[#This Row],[LSTMPP]]*$I$3</f>
        <v>45.346528708440502</v>
      </c>
      <c r="E2">
        <v>47</v>
      </c>
      <c r="F2">
        <f>ABS(TableLIV[[#This Row],[PP]]-TableLIV[[#This Row],[AP]])</f>
        <v>1.653471291559498</v>
      </c>
      <c r="H2" t="s">
        <v>0</v>
      </c>
      <c r="I2">
        <v>0.69318436083000001</v>
      </c>
    </row>
    <row r="3" spans="1:9" x14ac:dyDescent="0.2">
      <c r="A3" t="s">
        <v>94</v>
      </c>
      <c r="B3">
        <v>69.175824175824104</v>
      </c>
      <c r="C3">
        <v>58.633373937519877</v>
      </c>
      <c r="D3">
        <f>TableLIV[[#This Row],[ARIMAPP]]*$I$2+TableLIV[[#This Row],[LSTMPP]]*$I$3</f>
        <v>71.110457474746084</v>
      </c>
      <c r="E3">
        <v>73</v>
      </c>
      <c r="F3">
        <f>ABS(TableLIV[[#This Row],[PP]]-TableLIV[[#This Row],[AP]])</f>
        <v>1.8895425252539155</v>
      </c>
      <c r="H3" t="s">
        <v>1</v>
      </c>
      <c r="I3">
        <v>0.39497740712000001</v>
      </c>
    </row>
    <row r="4" spans="1:9" x14ac:dyDescent="0.2">
      <c r="A4" t="s">
        <v>95</v>
      </c>
      <c r="B4">
        <v>52.440613642905369</v>
      </c>
      <c r="C4">
        <v>49.456653698158149</v>
      </c>
      <c r="D4">
        <f>TableLIV[[#This Row],[ARIMAPP]]*$I$2+TableLIV[[#This Row],[LSTMPP]]*$I$3</f>
        <v>55.885274092120603</v>
      </c>
      <c r="E4">
        <v>68</v>
      </c>
      <c r="F4">
        <f>ABS(TableLIV[[#This Row],[PP]]-TableLIV[[#This Row],[AP]])</f>
        <v>12.114725907879397</v>
      </c>
    </row>
    <row r="5" spans="1:9" x14ac:dyDescent="0.2">
      <c r="A5" t="s">
        <v>96</v>
      </c>
      <c r="B5">
        <v>47.502517607928802</v>
      </c>
      <c r="C5">
        <v>42.298607088128833</v>
      </c>
      <c r="D5">
        <f>TableLIV[[#This Row],[ARIMAPP]]*$I$2+TableLIV[[#This Row],[LSTMPP]]*$I$3</f>
        <v>49.634996458324729</v>
      </c>
      <c r="E5">
        <v>47</v>
      </c>
      <c r="F5">
        <f>ABS(TableLIV[[#This Row],[PP]]-TableLIV[[#This Row],[AP]])</f>
        <v>2.6349964583247285</v>
      </c>
      <c r="H5" t="s">
        <v>2</v>
      </c>
      <c r="I5">
        <f>SUM(ABS(TableLIV[[#This Row],[PP]]-TableLIV[[#This Row],[AP]]))</f>
        <v>2.6349964583247285</v>
      </c>
    </row>
    <row r="6" spans="1:9" x14ac:dyDescent="0.2">
      <c r="A6" t="s">
        <v>97</v>
      </c>
      <c r="B6">
        <v>22.698412698412689</v>
      </c>
      <c r="C6">
        <v>24.8</v>
      </c>
      <c r="D6">
        <f>TableLIV[[#This Row],[ARIMAPP]]*$I$2+TableLIV[[#This Row],[LSTMPP]]*$I$3</f>
        <v>25.529624394780754</v>
      </c>
      <c r="E6">
        <v>22</v>
      </c>
      <c r="F6">
        <f>ABS(TableLIV[[#This Row],[PP]]-TableLIV[[#This Row],[AP]])</f>
        <v>3.529624394780754</v>
      </c>
    </row>
    <row r="7" spans="1:9" x14ac:dyDescent="0.2">
      <c r="A7" t="s">
        <v>98</v>
      </c>
      <c r="B7">
        <v>28.736842105263172</v>
      </c>
      <c r="C7">
        <v>28.684210526315791</v>
      </c>
      <c r="D7">
        <f>TableLIV[[#This Row],[ARIMAPP]]*$I$2+TableLIV[[#This Row],[LSTMPP]]*$I$3</f>
        <v>31.249544625977904</v>
      </c>
      <c r="E7">
        <v>25</v>
      </c>
      <c r="F7">
        <f>ABS(TableLIV[[#This Row],[PP]]-TableLIV[[#This Row],[AP]])</f>
        <v>6.2495446259779044</v>
      </c>
      <c r="H7" t="s">
        <v>3</v>
      </c>
      <c r="I7">
        <f>AVERAGE(TableLIV[DIFF])/10</f>
        <v>0.76928416713278547</v>
      </c>
    </row>
    <row r="8" spans="1:9" x14ac:dyDescent="0.2">
      <c r="A8" t="s">
        <v>99</v>
      </c>
      <c r="B8">
        <v>27.8125</v>
      </c>
      <c r="C8">
        <v>30</v>
      </c>
      <c r="D8">
        <f>TableLIV[[#This Row],[ARIMAPP]]*$I$2+TableLIV[[#This Row],[LSTMPP]]*$I$3</f>
        <v>31.128512249184375</v>
      </c>
      <c r="E8">
        <v>35</v>
      </c>
      <c r="F8">
        <f>ABS(TableLIV[[#This Row],[PP]]-TableLIV[[#This Row],[AP]])</f>
        <v>3.8714877508156249</v>
      </c>
    </row>
    <row r="9" spans="1:9" x14ac:dyDescent="0.2">
      <c r="A9" t="s">
        <v>100</v>
      </c>
      <c r="B9">
        <v>35.277777777777779</v>
      </c>
      <c r="C9">
        <v>32.321428571428569</v>
      </c>
      <c r="D9">
        <f>TableLIV[[#This Row],[ARIMAPP]]*$I$2+TableLIV[[#This Row],[LSTMPP]]*$I$3</f>
        <v>37.220237891948813</v>
      </c>
      <c r="E9">
        <v>21</v>
      </c>
      <c r="F9">
        <f>ABS(TableLIV[[#This Row],[PP]]-TableLIV[[#This Row],[AP]])</f>
        <v>16.220237891948813</v>
      </c>
    </row>
    <row r="10" spans="1:9" x14ac:dyDescent="0.2">
      <c r="A10" t="s">
        <v>101</v>
      </c>
      <c r="B10">
        <v>39.729729729729748</v>
      </c>
      <c r="C10">
        <v>35.330843876933777</v>
      </c>
      <c r="D10">
        <f>TableLIV[[#This Row],[ARIMAPP]]*$I$2+TableLIV[[#This Row],[LSTMPP]]*$I$3</f>
        <v>41.494912414524194</v>
      </c>
      <c r="E10">
        <v>39</v>
      </c>
      <c r="F10">
        <f>ABS(TableLIV[[#This Row],[PP]]-TableLIV[[#This Row],[AP]])</f>
        <v>2.4949124145241939</v>
      </c>
    </row>
    <row r="11" spans="1:9" x14ac:dyDescent="0.2">
      <c r="A11" t="s">
        <v>102</v>
      </c>
      <c r="B11">
        <v>36.666666666666693</v>
      </c>
      <c r="C11">
        <v>32.631578947368418</v>
      </c>
      <c r="D11">
        <f>TableLIV[[#This Row],[ARIMAPP]]*$I$2+TableLIV[[#This Row],[LSTMPP]]*$I$3</f>
        <v>38.305496339963177</v>
      </c>
      <c r="E11">
        <v>57</v>
      </c>
      <c r="F11">
        <f>ABS(TableLIV[[#This Row],[PP]]-TableLIV[[#This Row],[AP]])</f>
        <v>18.694503660036823</v>
      </c>
    </row>
    <row r="12" spans="1:9" x14ac:dyDescent="0.2">
      <c r="A12" t="s">
        <v>103</v>
      </c>
      <c r="B12">
        <v>37.791302881187001</v>
      </c>
      <c r="C12">
        <v>33.095238095238088</v>
      </c>
      <c r="D12">
        <f>TableLIV[[#This Row],[ARIMAPP]]*$I$2+TableLIV[[#This Row],[LSTMPP]]*$I$3</f>
        <v>39.268211463504741</v>
      </c>
      <c r="E12">
        <v>24</v>
      </c>
      <c r="F12">
        <f>ABS(TableLIV[[#This Row],[PP]]-TableLIV[[#This Row],[AP]])</f>
        <v>15.268211463504741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104</v>
      </c>
      <c r="B2">
        <v>28.379075160281602</v>
      </c>
      <c r="C2">
        <v>29.318181818181809</v>
      </c>
      <c r="D2">
        <f>TableLUT[[#This Row],[ARIMAPP]]*$I$2+TableLUT[[#This Row],[LSTMPP]]*$I$3</f>
        <v>34.999999999820133</v>
      </c>
      <c r="E2">
        <v>35</v>
      </c>
      <c r="F2">
        <f>ABS(TableLUT[[#This Row],[PP]]-TableLUT[[#This Row],[AP]])</f>
        <v>1.7986678813031176E-10</v>
      </c>
      <c r="H2" t="s">
        <v>0</v>
      </c>
      <c r="I2">
        <v>0.59658304402999995</v>
      </c>
    </row>
    <row r="3" spans="1:9" x14ac:dyDescent="0.2">
      <c r="H3" t="s">
        <v>1</v>
      </c>
      <c r="I3">
        <v>0.61632488215000003</v>
      </c>
    </row>
    <row r="5" spans="1:9" x14ac:dyDescent="0.2">
      <c r="H5" t="s">
        <v>2</v>
      </c>
      <c r="I5">
        <f>SUM(ABS(TableLUT[PP]-TableLUT[AP]))</f>
        <v>1.7986678813031176E-10</v>
      </c>
    </row>
    <row r="7" spans="1:9" x14ac:dyDescent="0.2">
      <c r="H7" t="s">
        <v>3</v>
      </c>
      <c r="I7">
        <f>AVERAGE(TableLUT[DIFF])/10</f>
        <v>1.7986678813031177E-11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105</v>
      </c>
      <c r="B2">
        <v>39.208802789265192</v>
      </c>
      <c r="C2">
        <v>34.510489510489514</v>
      </c>
      <c r="D2">
        <f>TableMCI[[#This Row],[ARIMAPP]]*$I$2+TableMCI[[#This Row],[LSTMPP]]*$I$3</f>
        <v>32.456197909613159</v>
      </c>
      <c r="E2">
        <v>21</v>
      </c>
      <c r="F2">
        <f>ABS(TableMCI[[#This Row],[PP]]-TableMCI[[#This Row],[AP]])</f>
        <v>11.456197909613159</v>
      </c>
      <c r="H2" t="s">
        <v>0</v>
      </c>
      <c r="I2">
        <v>-0.83559296747</v>
      </c>
    </row>
    <row r="3" spans="1:9" x14ac:dyDescent="0.2">
      <c r="A3" t="s">
        <v>106</v>
      </c>
      <c r="B3">
        <v>38.872180451127882</v>
      </c>
      <c r="C3">
        <v>35.094339622641513</v>
      </c>
      <c r="D3">
        <f>TableMCI[[#This Row],[ARIMAPP]]*$I$2+TableMCI[[#This Row],[LSTMPP]]*$I$3</f>
        <v>33.840851908322165</v>
      </c>
      <c r="E3">
        <v>24</v>
      </c>
      <c r="F3">
        <f>ABS(TableMCI[[#This Row],[PP]]-TableMCI[[#This Row],[AP]])</f>
        <v>9.8408519083221648</v>
      </c>
      <c r="H3" t="s">
        <v>1</v>
      </c>
      <c r="I3">
        <v>1.8898253461000001</v>
      </c>
    </row>
    <row r="4" spans="1:9" x14ac:dyDescent="0.2">
      <c r="A4" t="s">
        <v>107</v>
      </c>
      <c r="B4">
        <v>32.396694214876007</v>
      </c>
      <c r="C4">
        <v>29.84375</v>
      </c>
      <c r="D4">
        <f>TableMCI[[#This Row],[ARIMAPP]]*$I$2+TableMCI[[#This Row],[LSTMPP]]*$I$3</f>
        <v>29.329025317445453</v>
      </c>
      <c r="E4">
        <v>35</v>
      </c>
      <c r="F4">
        <f>ABS(TableMCI[[#This Row],[PP]]-TableMCI[[#This Row],[AP]])</f>
        <v>5.6709746825545473</v>
      </c>
    </row>
    <row r="5" spans="1:9" x14ac:dyDescent="0.2">
      <c r="A5" t="s">
        <v>108</v>
      </c>
      <c r="B5">
        <v>46.601763937969238</v>
      </c>
      <c r="C5">
        <v>43.00912899052917</v>
      </c>
      <c r="D5">
        <f>TableMCI[[#This Row],[ARIMAPP]]*$I$2+TableMCI[[#This Row],[LSTMPP]]*$I$3</f>
        <v>42.339635861722186</v>
      </c>
      <c r="E5">
        <v>51</v>
      </c>
      <c r="F5">
        <f>ABS(TableMCI[[#This Row],[PP]]-TableMCI[[#This Row],[AP]])</f>
        <v>8.6603641382778136</v>
      </c>
      <c r="H5" t="s">
        <v>2</v>
      </c>
      <c r="I5">
        <f>SUM(ABS(TableMCI[[#This Row],[PP]]-TableMCI[[#This Row],[AP]]))</f>
        <v>8.6603641382778136</v>
      </c>
    </row>
    <row r="6" spans="1:9" x14ac:dyDescent="0.2">
      <c r="A6" t="s">
        <v>109</v>
      </c>
      <c r="B6">
        <v>30.07299270072992</v>
      </c>
      <c r="C6">
        <v>30.07981929299034</v>
      </c>
      <c r="D6">
        <f>TableMCI[[#This Row],[ARIMAPP]]*$I$2+TableMCI[[#This Row],[LSTMPP]]*$I$3</f>
        <v>31.716823694494366</v>
      </c>
      <c r="E6">
        <v>40</v>
      </c>
      <c r="F6">
        <f>ABS(TableMCI[[#This Row],[PP]]-TableMCI[[#This Row],[AP]])</f>
        <v>8.2831763055056342</v>
      </c>
    </row>
    <row r="7" spans="1:9" x14ac:dyDescent="0.2">
      <c r="A7" t="s">
        <v>110</v>
      </c>
      <c r="B7">
        <v>82.344849188075159</v>
      </c>
      <c r="C7">
        <v>80.318292888943276</v>
      </c>
      <c r="D7">
        <f>TableMCI[[#This Row],[ARIMAPP]]*$I$2+TableMCI[[#This Row],[LSTMPP]]*$I$3</f>
        <v>82.980768768075052</v>
      </c>
      <c r="E7">
        <v>67</v>
      </c>
      <c r="F7">
        <f>ABS(TableMCI[[#This Row],[PP]]-TableMCI[[#This Row],[AP]])</f>
        <v>15.980768768075052</v>
      </c>
      <c r="H7" t="s">
        <v>3</v>
      </c>
      <c r="I7">
        <f>AVERAGE(TableMCI[DIFF])/10</f>
        <v>1.0933260517555179</v>
      </c>
    </row>
    <row r="8" spans="1:9" x14ac:dyDescent="0.2">
      <c r="A8" t="s">
        <v>111</v>
      </c>
      <c r="B8">
        <v>33.947368421052637</v>
      </c>
      <c r="C8">
        <v>33.353276500933731</v>
      </c>
      <c r="D8">
        <f>TableMCI[[#This Row],[ARIMAPP]]*$I$2+TableMCI[[#This Row],[LSTMPP]]*$I$3</f>
        <v>34.665684990201349</v>
      </c>
      <c r="E8">
        <v>61</v>
      </c>
      <c r="F8">
        <f>ABS(TableMCI[[#This Row],[PP]]-TableMCI[[#This Row],[AP]])</f>
        <v>26.334315009798651</v>
      </c>
    </row>
    <row r="9" spans="1:9" x14ac:dyDescent="0.2">
      <c r="A9" t="s">
        <v>112</v>
      </c>
      <c r="B9">
        <v>36.410256410256423</v>
      </c>
      <c r="C9">
        <v>31.023673818237501</v>
      </c>
      <c r="D9">
        <f>TableMCI[[#This Row],[ARIMAPP]]*$I$2+TableMCI[[#This Row],[LSTMPP]]*$I$3</f>
        <v>28.205170910654445</v>
      </c>
      <c r="E9">
        <v>40</v>
      </c>
      <c r="F9">
        <f>ABS(TableMCI[[#This Row],[PP]]-TableMCI[[#This Row],[AP]])</f>
        <v>11.794829089345555</v>
      </c>
    </row>
    <row r="10" spans="1:9" x14ac:dyDescent="0.2">
      <c r="A10" t="s">
        <v>113</v>
      </c>
      <c r="B10">
        <v>32.258064516129032</v>
      </c>
      <c r="C10">
        <v>28.75</v>
      </c>
      <c r="D10">
        <f>TableMCI[[#This Row],[ARIMAPP]]*$I$2+TableMCI[[#This Row],[LSTMPP]]*$I$3</f>
        <v>27.37786684650403</v>
      </c>
      <c r="E10">
        <v>27</v>
      </c>
      <c r="F10">
        <f>ABS(TableMCI[[#This Row],[PP]]-TableMCI[[#This Row],[AP]])</f>
        <v>0.37786684650403046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114</v>
      </c>
      <c r="B2">
        <v>45.297122832478053</v>
      </c>
      <c r="C2">
        <v>44.481263219543308</v>
      </c>
      <c r="D2">
        <f>TableMUN[[#This Row],[ARIMAPP]]*$I$2+TableMUN[[#This Row],[LSTMPP]]*$I$3</f>
        <v>46.71083285630985</v>
      </c>
      <c r="E2">
        <v>35</v>
      </c>
      <c r="F2">
        <f>ABS(TableMUN[[#This Row],[PP]]-TableMUN[[#This Row],[AP]])</f>
        <v>11.71083285630985</v>
      </c>
      <c r="H2" t="s">
        <v>0</v>
      </c>
      <c r="I2">
        <v>-2.8845145766</v>
      </c>
    </row>
    <row r="3" spans="1:9" x14ac:dyDescent="0.2">
      <c r="A3" t="s">
        <v>115</v>
      </c>
      <c r="B3">
        <v>25.193798449612419</v>
      </c>
      <c r="C3">
        <v>26.94174757281553</v>
      </c>
      <c r="D3">
        <f>TableMUN[[#This Row],[ARIMAPP]]*$I$2+TableMUN[[#This Row],[LSTMPP]]*$I$3</f>
        <v>34.759555106903477</v>
      </c>
      <c r="E3">
        <v>32</v>
      </c>
      <c r="F3">
        <f>ABS(TableMUN[[#This Row],[PP]]-TableMUN[[#This Row],[AP]])</f>
        <v>2.7595551069034769</v>
      </c>
      <c r="H3" t="s">
        <v>1</v>
      </c>
      <c r="I3">
        <v>3.9875451168999998</v>
      </c>
    </row>
    <row r="4" spans="1:9" x14ac:dyDescent="0.2">
      <c r="A4" t="s">
        <v>116</v>
      </c>
      <c r="B4">
        <v>29.984571264041019</v>
      </c>
      <c r="C4">
        <v>30.648148148148149</v>
      </c>
      <c r="D4">
        <f>TableMUN[[#This Row],[ARIMAPP]]*$I$2+TableMUN[[#This Row],[LSTMPP]]*$I$3</f>
        <v>35.719940605948125</v>
      </c>
      <c r="E4">
        <v>40</v>
      </c>
      <c r="F4">
        <f>ABS(TableMUN[[#This Row],[PP]]-TableMUN[[#This Row],[AP]])</f>
        <v>4.2800593940518752</v>
      </c>
    </row>
    <row r="5" spans="1:9" x14ac:dyDescent="0.2">
      <c r="A5" t="s">
        <v>117</v>
      </c>
      <c r="B5">
        <v>43.4579439252336</v>
      </c>
      <c r="C5">
        <v>37.882352941176471</v>
      </c>
      <c r="D5">
        <f>TableMUN[[#This Row],[ARIMAPP]]*$I$2+TableMUN[[#This Row],[LSTMPP]]*$I$3</f>
        <v>25.702518765868831</v>
      </c>
      <c r="E5">
        <v>21</v>
      </c>
      <c r="F5">
        <f>ABS(TableMUN[[#This Row],[PP]]-TableMUN[[#This Row],[AP]])</f>
        <v>4.702518765868831</v>
      </c>
      <c r="H5" t="s">
        <v>2</v>
      </c>
      <c r="I5">
        <f>SUM(ABS(TableMUN[[#This Row],[PP]]-TableMUN[[#This Row],[AP]]))</f>
        <v>4.702518765868831</v>
      </c>
    </row>
    <row r="6" spans="1:9" x14ac:dyDescent="0.2">
      <c r="A6" t="s">
        <v>118</v>
      </c>
      <c r="B6">
        <v>44.506098732809377</v>
      </c>
      <c r="C6">
        <v>41.019565386194913</v>
      </c>
      <c r="D6">
        <f>TableMUN[[#This Row],[ARIMAPP]]*$I$2+TableMUN[[#This Row],[LSTMPP]]*$I$3</f>
        <v>35.188877110694364</v>
      </c>
      <c r="E6">
        <v>29</v>
      </c>
      <c r="F6">
        <f>ABS(TableMUN[[#This Row],[PP]]-TableMUN[[#This Row],[AP]])</f>
        <v>6.1888771106943636</v>
      </c>
    </row>
    <row r="7" spans="1:9" x14ac:dyDescent="0.2">
      <c r="A7" t="s">
        <v>119</v>
      </c>
      <c r="B7">
        <v>35.757575757575751</v>
      </c>
      <c r="C7">
        <v>32.692307692307693</v>
      </c>
      <c r="D7">
        <f>TableMUN[[#This Row],[ARIMAPP]]*$I$2+TableMUN[[#This Row],[LSTMPP]]*$I$3</f>
        <v>27.218803402047811</v>
      </c>
      <c r="E7">
        <v>33</v>
      </c>
      <c r="F7">
        <f>ABS(TableMUN[[#This Row],[PP]]-TableMUN[[#This Row],[AP]])</f>
        <v>5.7811965979521887</v>
      </c>
      <c r="H7" t="s">
        <v>3</v>
      </c>
      <c r="I7">
        <f>AVERAGE(TableMUN[DIFF])/10</f>
        <v>0.77739655051030998</v>
      </c>
    </row>
    <row r="8" spans="1:9" x14ac:dyDescent="0.2">
      <c r="A8" t="s">
        <v>120</v>
      </c>
      <c r="B8">
        <v>18.671476626800491</v>
      </c>
      <c r="C8">
        <v>22.5</v>
      </c>
      <c r="D8">
        <f>TableMUN[[#This Row],[ARIMAPP]]*$I$2+TableMUN[[#This Row],[LSTMPP]]*$I$3</f>
        <v>35.861618633597786</v>
      </c>
      <c r="E8">
        <v>44</v>
      </c>
      <c r="F8">
        <f>ABS(TableMUN[[#This Row],[PP]]-TableMUN[[#This Row],[AP]])</f>
        <v>8.1383813664022142</v>
      </c>
    </row>
    <row r="9" spans="1:9" x14ac:dyDescent="0.2">
      <c r="A9" t="s">
        <v>81</v>
      </c>
      <c r="B9">
        <v>31.818181818181799</v>
      </c>
      <c r="C9">
        <v>28.125</v>
      </c>
      <c r="D9">
        <f>TableMUN[[#This Row],[ARIMAPP]]*$I$2+TableMUN[[#This Row],[LSTMPP]]*$I$3</f>
        <v>20.369697157358004</v>
      </c>
      <c r="E9">
        <v>39</v>
      </c>
      <c r="F9">
        <f>ABS(TableMUN[[#This Row],[PP]]-TableMUN[[#This Row],[AP]])</f>
        <v>18.630302842641996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86</v>
      </c>
      <c r="B2">
        <v>45.602836879432608</v>
      </c>
      <c r="C2">
        <v>44.415459679131203</v>
      </c>
      <c r="D2">
        <f>TableNEW[[#This Row],[ARIMAPP]]*$I$2+TableNEW[[#This Row],[LSTMPP]]*$I$3</f>
        <v>42.946278677036624</v>
      </c>
      <c r="E2">
        <v>42</v>
      </c>
      <c r="F2">
        <f>ABS(TableNEW[[#This Row],[PP]]-TableNEW[[#This Row],[AP]])</f>
        <v>0.94627867703662361</v>
      </c>
      <c r="H2" t="s">
        <v>0</v>
      </c>
      <c r="I2">
        <v>0.72688967270000004</v>
      </c>
    </row>
    <row r="3" spans="1:9" x14ac:dyDescent="0.2">
      <c r="A3" t="s">
        <v>121</v>
      </c>
      <c r="B3">
        <v>53.191942735153297</v>
      </c>
      <c r="C3">
        <v>38.688524590163937</v>
      </c>
      <c r="D3">
        <f>TableNEW[[#This Row],[ARIMAPP]]*$I$2+TableNEW[[#This Row],[LSTMPP]]*$I$3</f>
        <v>47.199359842101572</v>
      </c>
      <c r="E3">
        <v>27</v>
      </c>
      <c r="F3">
        <f>ABS(TableNEW[[#This Row],[PP]]-TableNEW[[#This Row],[AP]])</f>
        <v>20.199359842101572</v>
      </c>
      <c r="H3" t="s">
        <v>1</v>
      </c>
      <c r="I3">
        <v>0.22059993467</v>
      </c>
    </row>
    <row r="4" spans="1:9" x14ac:dyDescent="0.2">
      <c r="A4" t="s">
        <v>122</v>
      </c>
      <c r="B4">
        <v>23.333333333333339</v>
      </c>
      <c r="C4">
        <v>25.591397849462361</v>
      </c>
      <c r="D4">
        <f>TableNEW[[#This Row],[ARIMAPP]]*$I$2+TableNEW[[#This Row],[LSTMPP]]*$I$3</f>
        <v>22.606219723372046</v>
      </c>
      <c r="E4">
        <v>26</v>
      </c>
      <c r="F4">
        <f>ABS(TableNEW[[#This Row],[PP]]-TableNEW[[#This Row],[AP]])</f>
        <v>3.3937802766279539</v>
      </c>
    </row>
    <row r="5" spans="1:9" x14ac:dyDescent="0.2">
      <c r="A5" t="s">
        <v>123</v>
      </c>
      <c r="B5">
        <v>29.609375</v>
      </c>
      <c r="C5">
        <v>29.36274509803922</v>
      </c>
      <c r="D5">
        <f>TableNEW[[#This Row],[ARIMAPP]]*$I$2+TableNEW[[#This Row],[LSTMPP]]*$I$3</f>
        <v>28.000168552960879</v>
      </c>
      <c r="E5">
        <v>35</v>
      </c>
      <c r="F5">
        <f>ABS(TableNEW[[#This Row],[PP]]-TableNEW[[#This Row],[AP]])</f>
        <v>6.9998314470391207</v>
      </c>
      <c r="H5" t="s">
        <v>2</v>
      </c>
      <c r="I5">
        <f>SUM(ABS(TableNEW[[#This Row],[PP]]-TableNEW[[#This Row],[AP]]))</f>
        <v>6.9998314470391207</v>
      </c>
    </row>
    <row r="6" spans="1:9" x14ac:dyDescent="0.2">
      <c r="A6" t="s">
        <v>124</v>
      </c>
      <c r="B6">
        <v>25.467625899280559</v>
      </c>
      <c r="C6">
        <v>26.261261261261261</v>
      </c>
      <c r="D6">
        <f>TableNEW[[#This Row],[ARIMAPP]]*$I$2+TableNEW[[#This Row],[LSTMPP]]*$I$3</f>
        <v>24.305386772960127</v>
      </c>
      <c r="E6">
        <v>32</v>
      </c>
      <c r="F6">
        <f>ABS(TableNEW[[#This Row],[PP]]-TableNEW[[#This Row],[AP]])</f>
        <v>7.6946132270398735</v>
      </c>
    </row>
    <row r="7" spans="1:9" x14ac:dyDescent="0.2">
      <c r="A7" t="s">
        <v>125</v>
      </c>
      <c r="B7">
        <v>40.746675280074868</v>
      </c>
      <c r="C7">
        <v>35.648148148148159</v>
      </c>
      <c r="D7">
        <f>TableNEW[[#This Row],[ARIMAPP]]*$I$2+TableNEW[[#This Row],[LSTMPP]]*$I$3</f>
        <v>37.482316610534767</v>
      </c>
      <c r="E7">
        <v>47</v>
      </c>
      <c r="F7">
        <f>ABS(TableNEW[[#This Row],[PP]]-TableNEW[[#This Row],[AP]])</f>
        <v>9.5176833894652333</v>
      </c>
      <c r="H7" t="s">
        <v>3</v>
      </c>
      <c r="I7">
        <f>AVERAGE(TableNEW[DIFF])/10</f>
        <v>0.85997565743398385</v>
      </c>
    </row>
    <row r="8" spans="1:9" x14ac:dyDescent="0.2">
      <c r="A8" t="s">
        <v>126</v>
      </c>
      <c r="B8">
        <v>37.030136796612517</v>
      </c>
      <c r="C8">
        <v>26.17647058823529</v>
      </c>
      <c r="D8">
        <f>TableNEW[[#This Row],[ARIMAPP]]*$I$2+TableNEW[[#This Row],[LSTMPP]]*$I$3</f>
        <v>32.691351717781785</v>
      </c>
      <c r="E8">
        <v>50</v>
      </c>
      <c r="F8">
        <f>ABS(TableNEW[[#This Row],[PP]]-TableNEW[[#This Row],[AP]])</f>
        <v>17.308648282218215</v>
      </c>
    </row>
    <row r="9" spans="1:9" x14ac:dyDescent="0.2">
      <c r="A9" t="s">
        <v>127</v>
      </c>
      <c r="B9">
        <v>34.262976800228152</v>
      </c>
      <c r="C9">
        <v>35.509999561078381</v>
      </c>
      <c r="D9">
        <f>TableNEW[[#This Row],[ARIMAPP]]*$I$2+TableNEW[[#This Row],[LSTMPP]]*$I$3</f>
        <v>32.738907575351156</v>
      </c>
      <c r="E9">
        <v>26</v>
      </c>
      <c r="F9">
        <f>ABS(TableNEW[[#This Row],[PP]]-TableNEW[[#This Row],[AP]])</f>
        <v>6.7389075753511563</v>
      </c>
    </row>
    <row r="10" spans="1:9" x14ac:dyDescent="0.2">
      <c r="A10" t="s">
        <v>128</v>
      </c>
      <c r="B10">
        <v>39.086604628880288</v>
      </c>
      <c r="C10">
        <v>43.964233631567978</v>
      </c>
      <c r="D10">
        <f>TableNEW[[#This Row],[ARIMAPP]]*$I$2+TableNEW[[#This Row],[LSTMPP]]*$I$3</f>
        <v>38.110156312581609</v>
      </c>
      <c r="E10">
        <v>29</v>
      </c>
      <c r="F10">
        <f>ABS(TableNEW[[#This Row],[PP]]-TableNEW[[#This Row],[AP]])</f>
        <v>9.1101563125816085</v>
      </c>
    </row>
    <row r="11" spans="1:9" x14ac:dyDescent="0.2">
      <c r="A11" t="s">
        <v>129</v>
      </c>
      <c r="B11">
        <v>47.307692307692292</v>
      </c>
      <c r="C11">
        <v>43.174175561655119</v>
      </c>
      <c r="D11">
        <f>TableNEW[[#This Row],[ARIMAPP]]*$I$2+TableNEW[[#This Row],[LSTMPP]]*$I$3</f>
        <v>43.911693286062992</v>
      </c>
      <c r="E11">
        <v>48</v>
      </c>
      <c r="F11">
        <f>ABS(TableNEW[[#This Row],[PP]]-TableNEW[[#This Row],[AP]])</f>
        <v>4.0883067139370084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130</v>
      </c>
      <c r="B2">
        <v>36.707827311879171</v>
      </c>
      <c r="C2">
        <v>37.024277774750388</v>
      </c>
      <c r="D2">
        <f>TableNFO[[#This Row],[ARIMAPP]]*$I$2+TableNFO[[#This Row],[LSTMPP]]*$I$3</f>
        <v>50.868499712048873</v>
      </c>
      <c r="E2">
        <v>46</v>
      </c>
      <c r="F2">
        <f>ABS(TableNFO[[#This Row],[PP]]-TableNFO[[#This Row],[AP]])</f>
        <v>4.8684997120488731</v>
      </c>
      <c r="H2" t="s">
        <v>0</v>
      </c>
      <c r="I2">
        <v>1.5839325050999999</v>
      </c>
    </row>
    <row r="3" spans="1:9" x14ac:dyDescent="0.2">
      <c r="A3" t="s">
        <v>131</v>
      </c>
      <c r="B3">
        <v>31.015811782859799</v>
      </c>
      <c r="C3">
        <v>25.833333333333329</v>
      </c>
      <c r="D3">
        <f>TableNFO[[#This Row],[ARIMAPP]]*$I$2+TableNFO[[#This Row],[LSTMPP]]*$I$3</f>
        <v>44.051434680360217</v>
      </c>
      <c r="E3">
        <v>41</v>
      </c>
      <c r="F3">
        <f>ABS(TableNFO[[#This Row],[PP]]-TableNFO[[#This Row],[AP]])</f>
        <v>3.0514346803602166</v>
      </c>
      <c r="H3" t="s">
        <v>1</v>
      </c>
      <c r="I3">
        <v>-0.19647165579</v>
      </c>
    </row>
    <row r="4" spans="1:9" x14ac:dyDescent="0.2">
      <c r="A4" t="s">
        <v>132</v>
      </c>
      <c r="B4">
        <v>25.900222544777719</v>
      </c>
      <c r="C4">
        <v>24.861111111111111</v>
      </c>
      <c r="D4">
        <f>TableNFO[[#This Row],[ARIMAPP]]*$I$2+TableNFO[[#This Row],[LSTMPP]]*$I$3</f>
        <v>36.139700713218105</v>
      </c>
      <c r="E4">
        <v>46</v>
      </c>
      <c r="F4">
        <f>ABS(TableNFO[[#This Row],[PP]]-TableNFO[[#This Row],[AP]])</f>
        <v>9.8602992867818955</v>
      </c>
    </row>
    <row r="5" spans="1:9" x14ac:dyDescent="0.2">
      <c r="A5" t="s">
        <v>133</v>
      </c>
      <c r="B5">
        <v>18.285714285714288</v>
      </c>
      <c r="C5">
        <v>23.571428571428569</v>
      </c>
      <c r="D5">
        <f>TableNFO[[#This Row],[ARIMAPP]]*$I$2+TableNFO[[#This Row],[LSTMPP]]*$I$3</f>
        <v>24.332219635350004</v>
      </c>
      <c r="E5">
        <v>22</v>
      </c>
      <c r="F5">
        <f>ABS(TableNFO[[#This Row],[PP]]-TableNFO[[#This Row],[AP]])</f>
        <v>2.332219635350004</v>
      </c>
      <c r="H5" t="s">
        <v>2</v>
      </c>
      <c r="I5">
        <f>SUM(ABS(TableNFO[[#This Row],[PP]]-TableNFO[[#This Row],[AP]]))</f>
        <v>2.332219635350004</v>
      </c>
    </row>
    <row r="6" spans="1:9" x14ac:dyDescent="0.2">
      <c r="A6" t="s">
        <v>134</v>
      </c>
      <c r="B6">
        <v>18.965619741306838</v>
      </c>
      <c r="C6">
        <v>21.5625</v>
      </c>
      <c r="D6">
        <f>TableNFO[[#This Row],[ARIMAPP]]*$I$2+TableNFO[[#This Row],[LSTMPP]]*$I$3</f>
        <v>25.80384150965028</v>
      </c>
      <c r="E6">
        <v>29</v>
      </c>
      <c r="F6">
        <f>ABS(TableNFO[[#This Row],[PP]]-TableNFO[[#This Row],[AP]])</f>
        <v>3.1961584903497204</v>
      </c>
    </row>
    <row r="7" spans="1:9" x14ac:dyDescent="0.2">
      <c r="H7" t="s">
        <v>3</v>
      </c>
      <c r="I7">
        <f>AVERAGE(TableNFO[DIFF])/10</f>
        <v>0.46617223609781416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135</v>
      </c>
      <c r="B2">
        <v>22.222222222222221</v>
      </c>
      <c r="C2">
        <v>22.142857142857149</v>
      </c>
      <c r="D2">
        <f>TableSHU[[#This Row],[ARIMAPP]]*$I$2+TableSHU[[#This Row],[LSTMPP]]*$I$3</f>
        <v>26.000000000054765</v>
      </c>
      <c r="E2">
        <v>26</v>
      </c>
      <c r="F2">
        <f>ABS(TableSHU[[#This Row],[PP]]-TableSHU[[#This Row],[AP]])</f>
        <v>5.4765081358709722E-11</v>
      </c>
      <c r="H2" t="s">
        <v>0</v>
      </c>
      <c r="I2">
        <v>0.19953850649999999</v>
      </c>
    </row>
    <row r="3" spans="1:9" x14ac:dyDescent="0.2">
      <c r="A3" t="s">
        <v>136</v>
      </c>
      <c r="B3">
        <v>16.321057472322192</v>
      </c>
      <c r="C3">
        <v>27.45890371413952</v>
      </c>
      <c r="D3">
        <f>TableSHU[[#This Row],[ARIMAPP]]*$I$2+TableSHU[[#This Row],[LSTMPP]]*$I$3</f>
        <v>30.000000000061799</v>
      </c>
      <c r="E3">
        <v>30</v>
      </c>
      <c r="F3">
        <f>ABS(TableSHU[[#This Row],[PP]]-TableSHU[[#This Row],[AP]])</f>
        <v>6.1799454442734714E-11</v>
      </c>
      <c r="H3" t="s">
        <v>1</v>
      </c>
      <c r="I3">
        <v>0.97393985010999995</v>
      </c>
    </row>
    <row r="5" spans="1:9" x14ac:dyDescent="0.2">
      <c r="H5" t="s">
        <v>2</v>
      </c>
      <c r="I5" t="e">
        <f>SUM(ABS(TableSHU[[#This Row],[PP]]-TableSHU[[#This Row],[AP]]))</f>
        <v>#VALUE!</v>
      </c>
    </row>
    <row r="7" spans="1:9" x14ac:dyDescent="0.2">
      <c r="H7" t="s">
        <v>3</v>
      </c>
      <c r="I7">
        <f>AVERAGE(TableSHU[DIFF])/10</f>
        <v>5.8282267900722218E-12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137</v>
      </c>
      <c r="B2">
        <v>25.86860169873102</v>
      </c>
      <c r="C2">
        <v>40.501724311256027</v>
      </c>
      <c r="D2">
        <f>TableTOT[[#This Row],[ARIMAPP]]*$I$2+TableTOT[[#This Row],[LSTMPP]]*$I$3</f>
        <v>56.600494423946742</v>
      </c>
      <c r="E2">
        <v>60</v>
      </c>
      <c r="F2">
        <f>ABS(TableTOT[[#This Row],[PP]]-TableTOT[[#This Row],[AP]])</f>
        <v>3.399505576053258</v>
      </c>
      <c r="H2" t="s">
        <v>0</v>
      </c>
      <c r="I2">
        <v>-0.44831176502999998</v>
      </c>
    </row>
    <row r="3" spans="1:9" x14ac:dyDescent="0.2">
      <c r="A3" t="s">
        <v>138</v>
      </c>
      <c r="B3">
        <v>29.807692307692299</v>
      </c>
      <c r="C3">
        <v>27.926829268292678</v>
      </c>
      <c r="D3">
        <f>TableTOT[[#This Row],[ARIMAPP]]*$I$2+TableTOT[[#This Row],[LSTMPP]]*$I$3</f>
        <v>33.660669312213649</v>
      </c>
      <c r="E3">
        <v>36</v>
      </c>
      <c r="F3">
        <f>ABS(TableTOT[[#This Row],[PP]]-TableTOT[[#This Row],[AP]])</f>
        <v>2.3393306877863509</v>
      </c>
      <c r="H3" t="s">
        <v>1</v>
      </c>
      <c r="I3">
        <v>1.6838219623999999</v>
      </c>
    </row>
    <row r="4" spans="1:9" x14ac:dyDescent="0.2">
      <c r="A4" t="s">
        <v>139</v>
      </c>
      <c r="B4">
        <v>38.005748478558857</v>
      </c>
      <c r="C4">
        <v>40.475749926554911</v>
      </c>
      <c r="D4">
        <f>TableTOT[[#This Row],[ARIMAPP]]*$I$2+TableTOT[[#This Row],[LSTMPP]]*$I$3</f>
        <v>51.115532489234383</v>
      </c>
      <c r="E4">
        <v>45</v>
      </c>
      <c r="F4">
        <f>ABS(TableTOT[[#This Row],[PP]]-TableTOT[[#This Row],[AP]])</f>
        <v>6.1155324892343828</v>
      </c>
    </row>
    <row r="5" spans="1:9" x14ac:dyDescent="0.2">
      <c r="A5" t="s">
        <v>140</v>
      </c>
      <c r="B5">
        <v>28.666666666666671</v>
      </c>
      <c r="C5">
        <v>30.15076573909214</v>
      </c>
      <c r="D5">
        <f>TableTOT[[#This Row],[ARIMAPP]]*$I$2+TableTOT[[#This Row],[LSTMPP]]*$I$3</f>
        <v>37.916917603800812</v>
      </c>
      <c r="E5">
        <v>41</v>
      </c>
      <c r="F5">
        <f>ABS(TableTOT[[#This Row],[PP]]-TableTOT[[#This Row],[AP]])</f>
        <v>3.0830823961991882</v>
      </c>
      <c r="H5" t="s">
        <v>2</v>
      </c>
      <c r="I5">
        <f>SUM(ABS(TableTOT[[#This Row],[PP]]-TableTOT[[#This Row],[AP]]))</f>
        <v>3.0830823961991882</v>
      </c>
    </row>
    <row r="6" spans="1:9" x14ac:dyDescent="0.2">
      <c r="A6" t="s">
        <v>141</v>
      </c>
      <c r="B6">
        <v>50.666666666666679</v>
      </c>
      <c r="C6">
        <v>40.651782156592851</v>
      </c>
      <c r="D6">
        <f>TableTOT[[#This Row],[ARIMAPP]]*$I$2+TableTOT[[#This Row],[LSTMPP]]*$I$3</f>
        <v>45.735900844451471</v>
      </c>
      <c r="E6">
        <v>58</v>
      </c>
      <c r="F6">
        <f>ABS(TableTOT[[#This Row],[PP]]-TableTOT[[#This Row],[AP]])</f>
        <v>12.264099155548529</v>
      </c>
    </row>
    <row r="7" spans="1:9" x14ac:dyDescent="0.2">
      <c r="A7" t="s">
        <v>142</v>
      </c>
      <c r="B7">
        <v>20</v>
      </c>
      <c r="C7">
        <v>23.333333333333329</v>
      </c>
      <c r="D7">
        <f>TableTOT[[#This Row],[ARIMAPP]]*$I$2+TableTOT[[#This Row],[LSTMPP]]*$I$3</f>
        <v>30.322943822066662</v>
      </c>
      <c r="E7">
        <v>29</v>
      </c>
      <c r="F7">
        <f>ABS(TableTOT[[#This Row],[PP]]-TableTOT[[#This Row],[AP]])</f>
        <v>1.3229438220666623</v>
      </c>
      <c r="H7" t="s">
        <v>3</v>
      </c>
      <c r="I7">
        <f>AVERAGE(TableTOT[DIFF])/10</f>
        <v>0.58179804944766866</v>
      </c>
    </row>
    <row r="8" spans="1:9" x14ac:dyDescent="0.2">
      <c r="A8" t="s">
        <v>143</v>
      </c>
      <c r="B8">
        <v>39.6</v>
      </c>
      <c r="C8">
        <v>35.022925162143217</v>
      </c>
      <c r="D8">
        <f>TableTOT[[#This Row],[ARIMAPP]]*$I$2+TableTOT[[#This Row],[LSTMPP]]*$I$3</f>
        <v>41.21922468032033</v>
      </c>
      <c r="E8">
        <v>43</v>
      </c>
      <c r="F8">
        <f>ABS(TableTOT[[#This Row],[PP]]-TableTOT[[#This Row],[AP]])</f>
        <v>1.7807753196796696</v>
      </c>
    </row>
    <row r="9" spans="1:9" x14ac:dyDescent="0.2">
      <c r="A9" t="s">
        <v>144</v>
      </c>
      <c r="B9">
        <v>41.818181818181813</v>
      </c>
      <c r="C9">
        <v>35.625</v>
      </c>
      <c r="D9">
        <f>TableTOT[[#This Row],[ARIMAPP]]*$I$2+TableTOT[[#This Row],[LSTMPP]]*$I$3</f>
        <v>41.238574509245453</v>
      </c>
      <c r="E9">
        <v>25</v>
      </c>
      <c r="F9">
        <f>ABS(TableTOT[[#This Row],[PP]]-TableTOT[[#This Row],[AP]])</f>
        <v>16.238574509245453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145</v>
      </c>
      <c r="B2">
        <v>38.101669419482143</v>
      </c>
      <c r="C2">
        <v>37.525442859171207</v>
      </c>
      <c r="D2">
        <f>TableWHU[[#This Row],[ARIMAPP]]*$I$2+TableWHU[[#This Row],[LSTMPP]]*$I$3</f>
        <v>43.386435149951964</v>
      </c>
      <c r="E2">
        <v>48</v>
      </c>
      <c r="F2">
        <f>ABS(TableWHU[[#This Row],[PP]]-TableWHU[[#This Row],[AP]])</f>
        <v>4.6135648500480357</v>
      </c>
      <c r="H2" t="s">
        <v>0</v>
      </c>
      <c r="I2">
        <v>-0.93476179453999997</v>
      </c>
    </row>
    <row r="3" spans="1:9" x14ac:dyDescent="0.2">
      <c r="A3" t="s">
        <v>146</v>
      </c>
      <c r="B3">
        <v>32.682742473702653</v>
      </c>
      <c r="C3">
        <v>30.96330275229359</v>
      </c>
      <c r="D3">
        <f>TableWHU[[#This Row],[ARIMAPP]]*$I$2+TableWHU[[#This Row],[LSTMPP]]*$I$3</f>
        <v>34.636549066238004</v>
      </c>
      <c r="E3">
        <v>20</v>
      </c>
      <c r="F3">
        <f>ABS(TableWHU[[#This Row],[PP]]-TableWHU[[#This Row],[AP]])</f>
        <v>14.636549066238004</v>
      </c>
      <c r="H3" t="s">
        <v>1</v>
      </c>
      <c r="I3">
        <v>2.1053028028999998</v>
      </c>
    </row>
    <row r="4" spans="1:9" x14ac:dyDescent="0.2">
      <c r="A4" t="s">
        <v>147</v>
      </c>
      <c r="B4">
        <v>17.58620689655173</v>
      </c>
      <c r="C4">
        <v>23.369565217391301</v>
      </c>
      <c r="D4">
        <f>TableWHU[[#This Row],[ARIMAPP]]*$I$2+TableWHU[[#This Row],[LSTMPP]]*$I$3</f>
        <v>32.761096836955829</v>
      </c>
      <c r="E4">
        <v>35</v>
      </c>
      <c r="F4">
        <f>ABS(TableWHU[[#This Row],[PP]]-TableWHU[[#This Row],[AP]])</f>
        <v>2.2389031630441707</v>
      </c>
    </row>
    <row r="5" spans="1:9" x14ac:dyDescent="0.2">
      <c r="A5" t="s">
        <v>148</v>
      </c>
      <c r="B5">
        <v>44.503816793893122</v>
      </c>
      <c r="C5">
        <v>42.815497627613013</v>
      </c>
      <c r="D5">
        <f>TableWHU[[#This Row],[ARIMAPP]]*$I$2+TableWHU[[#This Row],[LSTMPP]]*$I$3</f>
        <v>48.539119512833039</v>
      </c>
      <c r="E5">
        <v>53</v>
      </c>
      <c r="F5">
        <f>ABS(TableWHU[[#This Row],[PP]]-TableWHU[[#This Row],[AP]])</f>
        <v>4.4608804871669605</v>
      </c>
      <c r="H5" t="s">
        <v>2</v>
      </c>
      <c r="I5">
        <f>SUM(ABS(TableWHU[[#This Row],[PP]]-TableWHU[[#This Row],[AP]]))</f>
        <v>4.4608804871669605</v>
      </c>
    </row>
    <row r="6" spans="1:9" x14ac:dyDescent="0.2">
      <c r="A6" t="s">
        <v>149</v>
      </c>
      <c r="B6">
        <v>32.127659574468062</v>
      </c>
      <c r="C6">
        <v>31.081081081081081</v>
      </c>
      <c r="D6">
        <f>TableWHU[[#This Row],[ARIMAPP]]*$I$2+TableWHU[[#This Row],[LSTMPP]]*$I$3</f>
        <v>35.403378398962175</v>
      </c>
      <c r="E6">
        <v>44</v>
      </c>
      <c r="F6">
        <f>ABS(TableWHU[[#This Row],[PP]]-TableWHU[[#This Row],[AP]])</f>
        <v>8.5966216010378247</v>
      </c>
    </row>
    <row r="7" spans="1:9" x14ac:dyDescent="0.2">
      <c r="A7" t="s">
        <v>150</v>
      </c>
      <c r="B7">
        <v>34.010898203455042</v>
      </c>
      <c r="C7">
        <v>37.054534730539913</v>
      </c>
      <c r="D7">
        <f>TableWHU[[#This Row],[ARIMAPP]]*$I$2+TableWHU[[#This Row],[LSTMPP]]*$I$3</f>
        <v>46.218927589782169</v>
      </c>
      <c r="E7">
        <v>40</v>
      </c>
      <c r="F7">
        <f>ABS(TableWHU[[#This Row],[PP]]-TableWHU[[#This Row],[AP]])</f>
        <v>6.2189275897821688</v>
      </c>
      <c r="H7" t="s">
        <v>3</v>
      </c>
      <c r="I7">
        <f>AVERAGE(TableWHU[DIFF])/10</f>
        <v>0.67942411262195279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22</v>
      </c>
      <c r="B2">
        <v>26.639619783527198</v>
      </c>
      <c r="C2">
        <v>33.78498663166642</v>
      </c>
      <c r="D2">
        <f>TableAVL[[#This Row],[ARIMAPP]]*$I$2+TableAVL[[#This Row],[LSTMPP]]*$I$3</f>
        <v>30.304697377059412</v>
      </c>
      <c r="E2">
        <v>28</v>
      </c>
      <c r="F2">
        <f>ABS(TableAVL[[#This Row],[PP]]-TableAVL[[#This Row],[AP]])</f>
        <v>2.3046973770594121</v>
      </c>
      <c r="H2" t="s">
        <v>0</v>
      </c>
      <c r="I2">
        <v>0.37692962485999998</v>
      </c>
    </row>
    <row r="3" spans="1:9" x14ac:dyDescent="0.2">
      <c r="A3" t="s">
        <v>23</v>
      </c>
      <c r="B3">
        <v>32.745098039215669</v>
      </c>
      <c r="C3">
        <v>35.540330191015158</v>
      </c>
      <c r="D3">
        <f>TableAVL[[#This Row],[ARIMAPP]]*$I$2+TableAVL[[#This Row],[LSTMPP]]*$I$3</f>
        <v>33.658846533593056</v>
      </c>
      <c r="E3">
        <v>22</v>
      </c>
      <c r="F3">
        <f>ABS(TableAVL[[#This Row],[PP]]-TableAVL[[#This Row],[AP]])</f>
        <v>11.658846533593056</v>
      </c>
      <c r="H3" t="s">
        <v>1</v>
      </c>
      <c r="I3">
        <v>0.59977633576</v>
      </c>
    </row>
    <row r="4" spans="1:9" x14ac:dyDescent="0.2">
      <c r="A4" t="s">
        <v>24</v>
      </c>
      <c r="B4">
        <v>54.964084886472122</v>
      </c>
      <c r="C4">
        <v>27.32456140350877</v>
      </c>
      <c r="D4">
        <f>TableAVL[[#This Row],[ARIMAPP]]*$I$2+TableAVL[[#This Row],[LSTMPP]]*$I$3</f>
        <v>37.106217211876739</v>
      </c>
      <c r="E4">
        <v>41</v>
      </c>
      <c r="F4">
        <f>ABS(TableAVL[[#This Row],[PP]]-TableAVL[[#This Row],[AP]])</f>
        <v>3.8937827881232607</v>
      </c>
    </row>
    <row r="5" spans="1:9" x14ac:dyDescent="0.2">
      <c r="A5" t="s">
        <v>25</v>
      </c>
      <c r="B5">
        <v>29.927536231884069</v>
      </c>
      <c r="C5">
        <v>29.5</v>
      </c>
      <c r="D5">
        <f>TableAVL[[#This Row],[ARIMAPP]]*$I$2+TableAVL[[#This Row],[LSTMPP]]*$I$3</f>
        <v>28.973976909788121</v>
      </c>
      <c r="E5">
        <v>40</v>
      </c>
      <c r="F5">
        <f>ABS(TableAVL[[#This Row],[PP]]-TableAVL[[#This Row],[AP]])</f>
        <v>11.026023090211879</v>
      </c>
      <c r="H5" t="s">
        <v>2</v>
      </c>
      <c r="I5">
        <f>SUM(ABS(TableAVL[[#This Row],[PP]]-TableAVL[[#This Row],[AP]]))</f>
        <v>11.026023090211879</v>
      </c>
    </row>
    <row r="6" spans="1:9" x14ac:dyDescent="0.2">
      <c r="A6" t="s">
        <v>26</v>
      </c>
      <c r="B6">
        <v>28.4962406015038</v>
      </c>
      <c r="C6">
        <v>28.726415094339622</v>
      </c>
      <c r="D6">
        <f>TableAVL[[#This Row],[ARIMAPP]]*$I$2+TableAVL[[#This Row],[LSTMPP]]*$I$3</f>
        <v>27.970501264648902</v>
      </c>
      <c r="E6">
        <v>27</v>
      </c>
      <c r="F6">
        <f>ABS(TableAVL[[#This Row],[PP]]-TableAVL[[#This Row],[AP]])</f>
        <v>0.97050126464890241</v>
      </c>
    </row>
    <row r="7" spans="1:9" x14ac:dyDescent="0.2">
      <c r="A7" t="s">
        <v>27</v>
      </c>
      <c r="B7">
        <v>45.175438596491233</v>
      </c>
      <c r="C7">
        <v>41.983256041435851</v>
      </c>
      <c r="D7">
        <f>TableAVL[[#This Row],[ARIMAPP]]*$I$2+TableAVL[[#This Row],[LSTMPP]]*$I$3</f>
        <v>42.208524594867683</v>
      </c>
      <c r="E7">
        <v>47</v>
      </c>
      <c r="F7">
        <f>ABS(TableAVL[[#This Row],[PP]]-TableAVL[[#This Row],[AP]])</f>
        <v>4.7914754051323172</v>
      </c>
      <c r="H7" t="s">
        <v>3</v>
      </c>
      <c r="I7">
        <f>AVERAGE(TableAVL[DIFF])/10</f>
        <v>0.89859523675416642</v>
      </c>
    </row>
    <row r="8" spans="1:9" x14ac:dyDescent="0.2">
      <c r="A8" t="s">
        <v>28</v>
      </c>
      <c r="B8">
        <v>28.813559322033878</v>
      </c>
      <c r="C8">
        <v>27.76595744680851</v>
      </c>
      <c r="D8">
        <f>TableAVL[[#This Row],[ARIMAPP]]*$I$2+TableAVL[[#This Row],[LSTMPP]]*$I$3</f>
        <v>27.514048322450478</v>
      </c>
      <c r="E8">
        <v>43</v>
      </c>
      <c r="F8">
        <f>ABS(TableAVL[[#This Row],[PP]]-TableAVL[[#This Row],[AP]])</f>
        <v>15.485951677549522</v>
      </c>
    </row>
    <row r="9" spans="1:9" x14ac:dyDescent="0.2">
      <c r="A9" t="s">
        <v>29</v>
      </c>
      <c r="B9">
        <v>31.997698097646818</v>
      </c>
      <c r="C9">
        <v>33.105696661055113</v>
      </c>
      <c r="D9">
        <f>TableAVL[[#This Row],[ARIMAPP]]*$I$2+TableAVL[[#This Row],[LSTMPP]]*$I$3</f>
        <v>31.916893776479252</v>
      </c>
      <c r="E9">
        <v>43</v>
      </c>
      <c r="F9">
        <f>ABS(TableAVL[[#This Row],[PP]]-TableAVL[[#This Row],[AP]])</f>
        <v>11.083106223520748</v>
      </c>
    </row>
    <row r="10" spans="1:9" x14ac:dyDescent="0.2">
      <c r="A10" t="s">
        <v>30</v>
      </c>
      <c r="B10">
        <v>55.468937809752809</v>
      </c>
      <c r="C10">
        <v>46.269416403130201</v>
      </c>
      <c r="D10">
        <f>TableAVL[[#This Row],[ARIMAPP]]*$I$2+TableAVL[[#This Row],[LSTMPP]]*$I$3</f>
        <v>48.659186948035867</v>
      </c>
      <c r="E10">
        <v>29</v>
      </c>
      <c r="F10">
        <f>ABS(TableAVL[[#This Row],[PP]]-TableAVL[[#This Row],[AP]])</f>
        <v>19.659186948035867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151</v>
      </c>
      <c r="B2">
        <v>17.024489119723231</v>
      </c>
      <c r="C2">
        <v>25</v>
      </c>
      <c r="D2">
        <f>TableWOL[[#This Row],[ARIMAPP]]*$I$2+TableWOL[[#This Row],[LSTMPP]]*$I$3</f>
        <v>33.865195773217181</v>
      </c>
      <c r="E2">
        <v>49</v>
      </c>
      <c r="F2">
        <f>ABS(TableWOL[[#This Row],[PP]]-TableWOL[[#This Row],[AP]])</f>
        <v>15.134804226782819</v>
      </c>
      <c r="H2" t="s">
        <v>0</v>
      </c>
      <c r="I2">
        <v>0.13512565558</v>
      </c>
    </row>
    <row r="3" spans="1:9" x14ac:dyDescent="0.2">
      <c r="A3" t="s">
        <v>152</v>
      </c>
      <c r="B3">
        <v>30.102040816326511</v>
      </c>
      <c r="C3">
        <v>31.04610004211813</v>
      </c>
      <c r="D3">
        <f>TableWOL[[#This Row],[ARIMAPP]]*$I$2+TableWOL[[#This Row],[LSTMPP]]*$I$3</f>
        <v>43.266054097538849</v>
      </c>
      <c r="E3">
        <v>33</v>
      </c>
      <c r="F3">
        <f>ABS(TableWOL[[#This Row],[PP]]-TableWOL[[#This Row],[AP]])</f>
        <v>10.266054097538849</v>
      </c>
      <c r="H3" t="s">
        <v>1</v>
      </c>
      <c r="I3">
        <v>1.2625900208</v>
      </c>
    </row>
    <row r="4" spans="1:9" x14ac:dyDescent="0.2">
      <c r="A4" t="s">
        <v>153</v>
      </c>
      <c r="B4">
        <v>26.116751110743088</v>
      </c>
      <c r="C4">
        <v>27.936510010862619</v>
      </c>
      <c r="D4">
        <f>TableWOL[[#This Row],[ARIMAPP]]*$I$2+TableWOL[[#This Row],[LSTMPP]]*$I$3</f>
        <v>38.801401871153296</v>
      </c>
      <c r="E4">
        <v>40</v>
      </c>
      <c r="F4">
        <f>ABS(TableWOL[[#This Row],[PP]]-TableWOL[[#This Row],[AP]])</f>
        <v>1.1985981288467045</v>
      </c>
    </row>
    <row r="5" spans="1:9" x14ac:dyDescent="0.2">
      <c r="A5" t="s">
        <v>154</v>
      </c>
      <c r="B5">
        <v>28.03921568627451</v>
      </c>
      <c r="C5">
        <v>29.629629629629619</v>
      </c>
      <c r="D5">
        <f>TableWOL[[#This Row],[ARIMAPP]]*$I$2+TableWOL[[#This Row],[LSTMPP]]*$I$3</f>
        <v>41.19889209192722</v>
      </c>
      <c r="E5">
        <v>32</v>
      </c>
      <c r="F5">
        <f>ABS(TableWOL[[#This Row],[PP]]-TableWOL[[#This Row],[AP]])</f>
        <v>9.1988920919272203</v>
      </c>
      <c r="H5" t="s">
        <v>2</v>
      </c>
      <c r="I5">
        <f>SUM(ABS(TableWOL[[#This Row],[PP]]-TableWOL[[#This Row],[AP]]))</f>
        <v>9.1988920919272203</v>
      </c>
    </row>
    <row r="6" spans="1:9" x14ac:dyDescent="0.2">
      <c r="A6" t="s">
        <v>155</v>
      </c>
      <c r="B6">
        <v>41.110352615804473</v>
      </c>
      <c r="C6">
        <v>34.516129032258071</v>
      </c>
      <c r="D6">
        <f>TableWOL[[#This Row],[ARIMAPP]]*$I$2+TableWOL[[#This Row],[LSTMPP]]*$I$3</f>
        <v>49.134783421109745</v>
      </c>
      <c r="E6">
        <v>28</v>
      </c>
      <c r="F6">
        <f>ABS(TableWOL[[#This Row],[PP]]-TableWOL[[#This Row],[AP]])</f>
        <v>21.134783421109745</v>
      </c>
    </row>
    <row r="7" spans="1:9" x14ac:dyDescent="0.2">
      <c r="A7" t="s">
        <v>156</v>
      </c>
      <c r="B7">
        <v>22.06896551724137</v>
      </c>
      <c r="C7">
        <v>24.782608695652179</v>
      </c>
      <c r="D7">
        <f>TableWOL[[#This Row],[ARIMAPP]]*$I$2+TableWOL[[#This Row],[LSTMPP]]*$I$3</f>
        <v>34.272357862011404</v>
      </c>
      <c r="E7">
        <v>33</v>
      </c>
      <c r="F7">
        <f>ABS(TableWOL[[#This Row],[PP]]-TableWOL[[#This Row],[AP]])</f>
        <v>1.272357862011404</v>
      </c>
      <c r="H7" t="s">
        <v>3</v>
      </c>
      <c r="I7">
        <f>AVERAGE(TableWOL[DIFF])/10</f>
        <v>1.0734359075606594</v>
      </c>
    </row>
    <row r="8" spans="1:9" x14ac:dyDescent="0.2">
      <c r="A8" t="s">
        <v>157</v>
      </c>
      <c r="B8">
        <v>54.139593582216882</v>
      </c>
      <c r="C8">
        <v>26.37931034482758</v>
      </c>
      <c r="D8">
        <f>TableWOL[[#This Row],[ARIMAPP]]*$I$2+TableWOL[[#This Row],[LSTMPP]]*$I$3</f>
        <v>40.621902072597322</v>
      </c>
      <c r="E8">
        <v>51</v>
      </c>
      <c r="F8">
        <f>ABS(TableWOL[[#This Row],[PP]]-TableWOL[[#This Row],[AP]])</f>
        <v>10.378097927402678</v>
      </c>
    </row>
    <row r="9" spans="1:9" x14ac:dyDescent="0.2">
      <c r="A9" t="s">
        <v>158</v>
      </c>
      <c r="B9">
        <v>26.071428571428569</v>
      </c>
      <c r="C9">
        <v>25.681818181818191</v>
      </c>
      <c r="D9">
        <f>TableWOL[[#This Row],[ARIMAPP]]*$I$2+TableWOL[[#This Row],[LSTMPP]]*$I$3</f>
        <v>35.948526229985077</v>
      </c>
      <c r="E9">
        <v>52</v>
      </c>
      <c r="F9">
        <f>ABS(TableWOL[[#This Row],[PP]]-TableWOL[[#This Row],[AP]])</f>
        <v>16.051473770014923</v>
      </c>
    </row>
    <row r="10" spans="1:9" x14ac:dyDescent="0.2">
      <c r="A10" t="s">
        <v>159</v>
      </c>
      <c r="B10">
        <v>16.25</v>
      </c>
      <c r="C10">
        <v>21.25</v>
      </c>
      <c r="D10">
        <f>TableWOL[[#This Row],[ARIMAPP]]*$I$2+TableWOL[[#This Row],[LSTMPP]]*$I$3</f>
        <v>29.025829845175</v>
      </c>
      <c r="E10">
        <v>41</v>
      </c>
      <c r="F10">
        <f>ABS(TableWOL[[#This Row],[PP]]-TableWOL[[#This Row],[AP]])</f>
        <v>11.974170154825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31</v>
      </c>
      <c r="B2">
        <v>27.321317253299249</v>
      </c>
      <c r="C2">
        <v>26.904761904761902</v>
      </c>
      <c r="D2">
        <f>TableBOU[[#This Row],[ARIMAPP]]*$I$2+TableBOU[[#This Row],[LSTMPP]]*$I$3</f>
        <v>40.471648715113126</v>
      </c>
      <c r="E2">
        <v>28</v>
      </c>
      <c r="F2">
        <f>ABS(TableBOU[[#This Row],[PP]]-TableBOU[[#This Row],[AP]])</f>
        <v>12.471648715113126</v>
      </c>
      <c r="H2" t="s">
        <v>0</v>
      </c>
      <c r="I2">
        <v>1.5779988706000001</v>
      </c>
    </row>
    <row r="3" spans="1:9" x14ac:dyDescent="0.2">
      <c r="A3" t="s">
        <v>32</v>
      </c>
      <c r="B3">
        <v>37.195897902558833</v>
      </c>
      <c r="C3">
        <v>28.059701492537311</v>
      </c>
      <c r="D3">
        <f>TableBOU[[#This Row],[ARIMAPP]]*$I$2+TableBOU[[#This Row],[LSTMPP]]*$I$3</f>
        <v>55.9403403177812</v>
      </c>
      <c r="E3">
        <v>59</v>
      </c>
      <c r="F3">
        <f>ABS(TableBOU[[#This Row],[PP]]-TableBOU[[#This Row],[AP]])</f>
        <v>3.0596596822188005</v>
      </c>
      <c r="H3" t="s">
        <v>1</v>
      </c>
      <c r="I3">
        <v>-9.8174407313000006E-2</v>
      </c>
    </row>
    <row r="4" spans="1:9" x14ac:dyDescent="0.2">
      <c r="A4" t="s">
        <v>33</v>
      </c>
      <c r="B4">
        <v>19.756097560975618</v>
      </c>
      <c r="C4">
        <v>24.53125</v>
      </c>
      <c r="D4">
        <f>TableBOU[[#This Row],[ARIMAPP]]*$I$2+TableBOU[[#This Row],[LSTMPP]]*$I$3</f>
        <v>28.766758709285913</v>
      </c>
      <c r="E4">
        <v>28</v>
      </c>
      <c r="F4">
        <f>ABS(TableBOU[[#This Row],[PP]]-TableBOU[[#This Row],[AP]])</f>
        <v>0.76675870928591294</v>
      </c>
    </row>
    <row r="5" spans="1:9" x14ac:dyDescent="0.2">
      <c r="A5" t="s">
        <v>34</v>
      </c>
      <c r="B5">
        <v>34.98356066132807</v>
      </c>
      <c r="C5">
        <v>34.130434782608702</v>
      </c>
      <c r="D5">
        <f>TableBOU[[#This Row],[ARIMAPP]]*$I$2+TableBOU[[#This Row],[LSTMPP]]*$I$3</f>
        <v>51.853284007024676</v>
      </c>
      <c r="E5">
        <v>46</v>
      </c>
      <c r="F5">
        <f>ABS(TableBOU[[#This Row],[PP]]-TableBOU[[#This Row],[AP]])</f>
        <v>5.8532840070246763</v>
      </c>
      <c r="H5" t="s">
        <v>2</v>
      </c>
      <c r="I5">
        <f>SUM(ABS(TableBOU[[#This Row],[PP]]-TableBOU[[#This Row],[AP]]))</f>
        <v>5.8532840070246763</v>
      </c>
    </row>
    <row r="6" spans="1:9" x14ac:dyDescent="0.2">
      <c r="A6" t="s">
        <v>35</v>
      </c>
      <c r="B6">
        <v>21.478509252996311</v>
      </c>
      <c r="C6">
        <v>26.37931034482758</v>
      </c>
      <c r="D6">
        <f>TableBOU[[#This Row],[ARIMAPP]]*$I$2+TableBOU[[#This Row],[LSTMPP]]*$I$3</f>
        <v>31.303290184970692</v>
      </c>
      <c r="E6">
        <v>48</v>
      </c>
      <c r="F6">
        <f>ABS(TableBOU[[#This Row],[PP]]-TableBOU[[#This Row],[AP]])</f>
        <v>16.696709815029308</v>
      </c>
    </row>
    <row r="7" spans="1:9" x14ac:dyDescent="0.2">
      <c r="A7" t="s">
        <v>36</v>
      </c>
      <c r="B7">
        <v>33.807068780130983</v>
      </c>
      <c r="C7">
        <v>90.094901162079452</v>
      </c>
      <c r="D7">
        <f>TableBOU[[#This Row],[ARIMAPP]]*$I$2+TableBOU[[#This Row],[LSTMPP]]*$I$3</f>
        <v>44.50250282983275</v>
      </c>
      <c r="E7">
        <v>42</v>
      </c>
      <c r="F7">
        <f>ABS(TableBOU[[#This Row],[PP]]-TableBOU[[#This Row],[AP]])</f>
        <v>2.5025028298327499</v>
      </c>
      <c r="H7" t="s">
        <v>3</v>
      </c>
      <c r="I7">
        <f>AVERAGE(TableBOU[DIFF])/10</f>
        <v>0.65503490635648942</v>
      </c>
    </row>
    <row r="8" spans="1:9" x14ac:dyDescent="0.2">
      <c r="A8" t="s">
        <v>37</v>
      </c>
      <c r="B8">
        <v>20</v>
      </c>
      <c r="C8">
        <v>26.25</v>
      </c>
      <c r="D8">
        <f>TableBOU[[#This Row],[ARIMAPP]]*$I$2+TableBOU[[#This Row],[LSTMPP]]*$I$3</f>
        <v>28.982899220033751</v>
      </c>
      <c r="E8">
        <v>32</v>
      </c>
      <c r="F8">
        <f>ABS(TableBOU[[#This Row],[PP]]-TableBOU[[#This Row],[AP]])</f>
        <v>3.017100779966249</v>
      </c>
    </row>
    <row r="9" spans="1:9" x14ac:dyDescent="0.2">
      <c r="A9" t="s">
        <v>38</v>
      </c>
      <c r="B9">
        <v>14</v>
      </c>
      <c r="C9">
        <v>21.666666666666671</v>
      </c>
      <c r="D9">
        <f>TableBOU[[#This Row],[ARIMAPP]]*$I$2+TableBOU[[#This Row],[LSTMPP]]*$I$3</f>
        <v>19.964872029951668</v>
      </c>
      <c r="E9">
        <v>28</v>
      </c>
      <c r="F9">
        <f>ABS(TableBOU[[#This Row],[PP]]-TableBOU[[#This Row],[AP]])</f>
        <v>8.0351279700483325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39</v>
      </c>
      <c r="B2">
        <v>17.017911844978212</v>
      </c>
      <c r="C2">
        <v>30.666666666666671</v>
      </c>
      <c r="D2">
        <f>TableBRE[[#This Row],[ARIMAPP]]*$I$2+TableBRE[[#This Row],[LSTMPP]]*$I$3</f>
        <v>29.568073498125855</v>
      </c>
      <c r="E2">
        <v>34</v>
      </c>
      <c r="F2">
        <f>ABS(TableBRE[[#This Row],[PP]]-TableBRE[[#This Row],[AP]])</f>
        <v>4.4319265018741447</v>
      </c>
      <c r="H2" t="s">
        <v>0</v>
      </c>
      <c r="I2">
        <v>0.47915815817000001</v>
      </c>
    </row>
    <row r="3" spans="1:9" x14ac:dyDescent="0.2">
      <c r="A3" t="s">
        <v>40</v>
      </c>
      <c r="B3">
        <v>26.71232876712331</v>
      </c>
      <c r="C3">
        <v>27.19024463964541</v>
      </c>
      <c r="D3">
        <f>TableBRE[[#This Row],[ARIMAPP]]*$I$2+TableBRE[[#This Row],[LSTMPP]]*$I$3</f>
        <v>31.785729835746395</v>
      </c>
      <c r="E3">
        <v>22</v>
      </c>
      <c r="F3">
        <f>ABS(TableBRE[[#This Row],[PP]]-TableBRE[[#This Row],[AP]])</f>
        <v>9.7857298357463947</v>
      </c>
      <c r="H3" t="s">
        <v>1</v>
      </c>
      <c r="I3">
        <v>0.69827615878000004</v>
      </c>
    </row>
    <row r="4" spans="1:9" x14ac:dyDescent="0.2">
      <c r="A4" t="s">
        <v>41</v>
      </c>
      <c r="B4">
        <v>38.799999999999983</v>
      </c>
      <c r="C4">
        <v>33.901460152522191</v>
      </c>
      <c r="D4">
        <f>TableBRE[[#This Row],[ARIMAPP]]*$I$2+TableBRE[[#This Row],[LSTMPP]]*$I$3</f>
        <v>42.26391790933242</v>
      </c>
      <c r="E4">
        <v>52</v>
      </c>
      <c r="F4">
        <f>ABS(TableBRE[[#This Row],[PP]]-TableBRE[[#This Row],[AP]])</f>
        <v>9.7360820906675798</v>
      </c>
    </row>
    <row r="5" spans="1:9" x14ac:dyDescent="0.2">
      <c r="A5" t="s">
        <v>42</v>
      </c>
      <c r="B5">
        <v>33.351277210013457</v>
      </c>
      <c r="C5">
        <v>28.189655172413801</v>
      </c>
      <c r="D5">
        <f>TableBRE[[#This Row],[ARIMAPP]]*$I$2+TableBRE[[#This Row],[LSTMPP]]*$I$3</f>
        <v>35.664700691693014</v>
      </c>
      <c r="E5">
        <v>23</v>
      </c>
      <c r="F5">
        <f>ABS(TableBRE[[#This Row],[PP]]-TableBRE[[#This Row],[AP]])</f>
        <v>12.664700691693014</v>
      </c>
      <c r="H5" t="s">
        <v>2</v>
      </c>
      <c r="I5">
        <f>SUM(ABS(TableBRE[[#This Row],[PP]]-TableBRE[[#This Row],[AP]]))</f>
        <v>12.664700691693014</v>
      </c>
    </row>
    <row r="6" spans="1:9" x14ac:dyDescent="0.2">
      <c r="A6" t="s">
        <v>43</v>
      </c>
      <c r="B6">
        <v>36.463739212473477</v>
      </c>
      <c r="C6">
        <v>28.054274190944319</v>
      </c>
      <c r="D6">
        <f>TableBRE[[#This Row],[ARIMAPP]]*$I$2+TableBRE[[#This Row],[LSTMPP]]*$I$3</f>
        <v>37.061528940453492</v>
      </c>
      <c r="E6">
        <v>45</v>
      </c>
      <c r="F6">
        <f>ABS(TableBRE[[#This Row],[PP]]-TableBRE[[#This Row],[AP]])</f>
        <v>7.938471059546508</v>
      </c>
    </row>
    <row r="7" spans="1:9" x14ac:dyDescent="0.2">
      <c r="A7" t="s">
        <v>44</v>
      </c>
      <c r="B7">
        <v>23.469387755102041</v>
      </c>
      <c r="C7">
        <v>26.15384615384616</v>
      </c>
      <c r="D7">
        <f>TableBRE[[#This Row],[ARIMAPP]]*$I$2+TableBRE[[#This Row],[LSTMPP]]*$I$3</f>
        <v>29.508155839743019</v>
      </c>
      <c r="E7">
        <v>27</v>
      </c>
      <c r="F7">
        <f>ABS(TableBRE[[#This Row],[PP]]-TableBRE[[#This Row],[AP]])</f>
        <v>2.5081558397430186</v>
      </c>
      <c r="H7" t="s">
        <v>3</v>
      </c>
      <c r="I7">
        <f>AVERAGE(TableBRE[DIFF])/10</f>
        <v>0.78441776698784438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45</v>
      </c>
      <c r="B2">
        <v>34.415584415584391</v>
      </c>
      <c r="C2">
        <v>33.121037963448927</v>
      </c>
      <c r="D2">
        <f>TableBHA[[#This Row],[ARIMAPP]]*$I$2+TableBHA[[#This Row],[LSTMPP]]*$I$3</f>
        <v>32.052421644117715</v>
      </c>
      <c r="E2">
        <v>47</v>
      </c>
      <c r="F2">
        <f>ABS(TableBHA[[#This Row],[PP]]-TableBHA[[#This Row],[AP]])</f>
        <v>14.947578355882285</v>
      </c>
      <c r="H2" t="s">
        <v>0</v>
      </c>
      <c r="I2">
        <v>-0.74124816983999997</v>
      </c>
    </row>
    <row r="3" spans="1:9" x14ac:dyDescent="0.2">
      <c r="A3" t="s">
        <v>46</v>
      </c>
      <c r="B3">
        <v>27.72370079366144</v>
      </c>
      <c r="C3">
        <v>30.8125</v>
      </c>
      <c r="D3">
        <f>TableBHA[[#This Row],[ARIMAPP]]*$I$2+TableBHA[[#This Row],[LSTMPP]]*$I$3</f>
        <v>33.000630451437956</v>
      </c>
      <c r="E3">
        <v>29</v>
      </c>
      <c r="F3">
        <f>ABS(TableBHA[[#This Row],[PP]]-TableBHA[[#This Row],[AP]])</f>
        <v>4.0006304514379565</v>
      </c>
      <c r="H3" t="s">
        <v>1</v>
      </c>
      <c r="I3">
        <v>1.7379561192999999</v>
      </c>
    </row>
    <row r="4" spans="1:9" x14ac:dyDescent="0.2">
      <c r="A4" t="s">
        <v>47</v>
      </c>
      <c r="B4">
        <v>18.704965258650152</v>
      </c>
      <c r="C4">
        <v>24.06976744186046</v>
      </c>
      <c r="D4">
        <f>TableBHA[[#This Row],[ARIMAPP]]*$I$2+TableBHA[[#This Row],[LSTMPP]]*$I$3</f>
        <v>27.967178350814088</v>
      </c>
      <c r="E4">
        <v>20</v>
      </c>
      <c r="F4">
        <f>ABS(TableBHA[[#This Row],[PP]]-TableBHA[[#This Row],[AP]])</f>
        <v>7.9671783508140877</v>
      </c>
    </row>
    <row r="5" spans="1:9" x14ac:dyDescent="0.2">
      <c r="A5" t="s">
        <v>48</v>
      </c>
      <c r="B5">
        <v>21.707317073170739</v>
      </c>
      <c r="C5">
        <v>25</v>
      </c>
      <c r="D5">
        <f>TableBHA[[#This Row],[ARIMAPP]]*$I$2+TableBHA[[#This Row],[LSTMPP]]*$I$3</f>
        <v>27.358393929875607</v>
      </c>
      <c r="E5">
        <v>45</v>
      </c>
      <c r="F5">
        <f>ABS(TableBHA[[#This Row],[PP]]-TableBHA[[#This Row],[AP]])</f>
        <v>17.641606070124393</v>
      </c>
      <c r="H5" t="s">
        <v>2</v>
      </c>
      <c r="I5">
        <f>SUM(ABS(TableBHA[[#This Row],[PP]]-TableBHA[[#This Row],[AP]]))</f>
        <v>17.641606070124393</v>
      </c>
    </row>
    <row r="6" spans="1:9" x14ac:dyDescent="0.2">
      <c r="A6" t="s">
        <v>49</v>
      </c>
      <c r="B6">
        <v>40.769230769230788</v>
      </c>
      <c r="C6">
        <v>42.640141722128313</v>
      </c>
      <c r="D6">
        <f>TableBHA[[#This Row],[ARIMAPP]]*$I$2+TableBHA[[#This Row],[LSTMPP]]*$I$3</f>
        <v>43.886577540315201</v>
      </c>
      <c r="E6">
        <v>32</v>
      </c>
      <c r="F6">
        <f>ABS(TableBHA[[#This Row],[PP]]-TableBHA[[#This Row],[AP]])</f>
        <v>11.886577540315201</v>
      </c>
    </row>
    <row r="7" spans="1:9" x14ac:dyDescent="0.2">
      <c r="A7" t="s">
        <v>50</v>
      </c>
      <c r="B7">
        <v>30.769230769230759</v>
      </c>
      <c r="C7">
        <v>28</v>
      </c>
      <c r="D7">
        <f>TableBHA[[#This Row],[ARIMAPP]]*$I$2+TableBHA[[#This Row],[LSTMPP]]*$I$3</f>
        <v>25.855135345323085</v>
      </c>
      <c r="E7">
        <v>27</v>
      </c>
      <c r="F7">
        <f>ABS(TableBHA[[#This Row],[PP]]-TableBHA[[#This Row],[AP]])</f>
        <v>1.1448646546769154</v>
      </c>
      <c r="H7" t="s">
        <v>3</v>
      </c>
      <c r="I7">
        <f>AVERAGE(TableBHA[DIFF])/10</f>
        <v>0.88296869342075812</v>
      </c>
    </row>
    <row r="8" spans="1:9" x14ac:dyDescent="0.2">
      <c r="A8" t="s">
        <v>51</v>
      </c>
      <c r="B8">
        <v>44.571428571428562</v>
      </c>
      <c r="C8">
        <v>34.671682617739577</v>
      </c>
      <c r="D8">
        <f>TableBHA[[#This Row],[ARIMAPP]]*$I$2+TableBHA[[#This Row],[LSTMPP]]*$I$3</f>
        <v>27.219373116202235</v>
      </c>
      <c r="E8">
        <v>23</v>
      </c>
      <c r="F8">
        <f>ABS(TableBHA[[#This Row],[PP]]-TableBHA[[#This Row],[AP]])</f>
        <v>4.2193731162022345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52</v>
      </c>
      <c r="B2">
        <v>26.803278688524578</v>
      </c>
      <c r="C2">
        <v>28.55670103092784</v>
      </c>
      <c r="D2">
        <f>TableBUR[[#This Row],[ARIMAPP]]*$I$2+TableBUR[[#This Row],[LSTMPP]]*$I$3</f>
        <v>31.28650022784236</v>
      </c>
      <c r="E2">
        <v>28</v>
      </c>
      <c r="F2">
        <f>ABS(TableBUR[[#This Row],[PP]]-TableBUR[[#This Row],[AP]])</f>
        <v>3.2865002278423603</v>
      </c>
      <c r="H2" t="s">
        <v>0</v>
      </c>
      <c r="I2">
        <v>2.7293205146999999</v>
      </c>
    </row>
    <row r="3" spans="1:9" x14ac:dyDescent="0.2">
      <c r="A3" t="s">
        <v>53</v>
      </c>
      <c r="B3">
        <v>22.97297297297299</v>
      </c>
      <c r="C3">
        <v>27.241379310344829</v>
      </c>
      <c r="D3">
        <f>TableBUR[[#This Row],[ARIMAPP]]*$I$2+TableBUR[[#This Row],[LSTMPP]]*$I$3</f>
        <v>22.760819414611412</v>
      </c>
      <c r="E3">
        <v>22</v>
      </c>
      <c r="F3">
        <f>ABS(TableBUR[[#This Row],[PP]]-TableBUR[[#This Row],[AP]])</f>
        <v>0.76081941461141156</v>
      </c>
      <c r="H3" t="s">
        <v>1</v>
      </c>
      <c r="I3">
        <v>-1.4661440799000001</v>
      </c>
    </row>
    <row r="4" spans="1:9" x14ac:dyDescent="0.2">
      <c r="A4" t="s">
        <v>54</v>
      </c>
      <c r="B4">
        <v>23.249999999999989</v>
      </c>
      <c r="C4">
        <v>25.234375</v>
      </c>
      <c r="D4">
        <f>TableBUR[[#This Row],[ARIMAPP]]*$I$2+TableBUR[[#This Row],[LSTMPP]]*$I$3</f>
        <v>26.459472450548411</v>
      </c>
      <c r="E4">
        <v>31</v>
      </c>
      <c r="F4">
        <f>ABS(TableBUR[[#This Row],[PP]]-TableBUR[[#This Row],[AP]])</f>
        <v>4.5405275494515891</v>
      </c>
    </row>
    <row r="5" spans="1:9" x14ac:dyDescent="0.2">
      <c r="H5" t="s">
        <v>2</v>
      </c>
      <c r="I5" t="e">
        <f>SUM(ABS(TableBUR[[#This Row],[PP]]-TableBUR[[#This Row],[AP]]))</f>
        <v>#VALUE!</v>
      </c>
    </row>
    <row r="7" spans="1:9" x14ac:dyDescent="0.2">
      <c r="H7" t="s">
        <v>3</v>
      </c>
      <c r="I7">
        <f>AVERAGE(TableBUR[DIFF])/10</f>
        <v>0.28626157306351202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55</v>
      </c>
      <c r="B2">
        <v>45.140171861528827</v>
      </c>
      <c r="C2">
        <v>57.932207072836562</v>
      </c>
      <c r="D2">
        <f>TableCHE[[#This Row],[ARIMAPP]]*$I$2+TableCHE[[#This Row],[LSTMPP]]*$I$3</f>
        <v>44.36367674687137</v>
      </c>
      <c r="E2">
        <v>40</v>
      </c>
      <c r="F2">
        <f>ABS(TableCHE[[#This Row],[PP]]-TableCHE[[#This Row],[AP]])</f>
        <v>4.36367674687137</v>
      </c>
      <c r="H2" t="s">
        <v>0</v>
      </c>
      <c r="I2">
        <v>1.9449489191</v>
      </c>
    </row>
    <row r="3" spans="1:9" x14ac:dyDescent="0.2">
      <c r="A3" t="s">
        <v>56</v>
      </c>
      <c r="B3">
        <v>26.605577031273061</v>
      </c>
      <c r="C3">
        <v>28.3132530120482</v>
      </c>
      <c r="D3">
        <f>TableCHE[[#This Row],[ARIMAPP]]*$I$2+TableCHE[[#This Row],[LSTMPP]]*$I$3</f>
        <v>30.520103069054517</v>
      </c>
      <c r="E3">
        <v>27</v>
      </c>
      <c r="F3">
        <f>ABS(TableCHE[[#This Row],[PP]]-TableCHE[[#This Row],[AP]])</f>
        <v>3.5201030690545174</v>
      </c>
      <c r="H3" t="s">
        <v>1</v>
      </c>
      <c r="I3">
        <v>-0.74969786096000002</v>
      </c>
    </row>
    <row r="4" spans="1:9" x14ac:dyDescent="0.2">
      <c r="A4" t="s">
        <v>57</v>
      </c>
      <c r="B4">
        <v>35.730337078651672</v>
      </c>
      <c r="C4">
        <v>32.253521126760567</v>
      </c>
      <c r="D4">
        <f>TableCHE[[#This Row],[ARIMAPP]]*$I$2+TableCHE[[#This Row],[LSTMPP]]*$I$3</f>
        <v>45.313284683041644</v>
      </c>
      <c r="E4">
        <v>33</v>
      </c>
      <c r="F4">
        <f>ABS(TableCHE[[#This Row],[PP]]-TableCHE[[#This Row],[AP]])</f>
        <v>12.313284683041644</v>
      </c>
    </row>
    <row r="5" spans="1:9" x14ac:dyDescent="0.2">
      <c r="A5" t="s">
        <v>58</v>
      </c>
      <c r="B5">
        <v>20.707920423072391</v>
      </c>
      <c r="C5">
        <v>18.75</v>
      </c>
      <c r="D5">
        <f>TableCHE[[#This Row],[ARIMAPP]]*$I$2+TableCHE[[#This Row],[LSTMPP]]*$I$3</f>
        <v>26.219012550663457</v>
      </c>
      <c r="E5">
        <v>73</v>
      </c>
      <c r="F5">
        <f>ABS(TableCHE[[#This Row],[PP]]-TableCHE[[#This Row],[AP]])</f>
        <v>46.780987449336543</v>
      </c>
      <c r="H5" t="s">
        <v>2</v>
      </c>
      <c r="I5">
        <f>SUM(ABS(TableCHE[[#This Row],[PP]]-TableCHE[[#This Row],[AP]]))</f>
        <v>46.780987449336543</v>
      </c>
    </row>
    <row r="6" spans="1:9" x14ac:dyDescent="0.2">
      <c r="A6" t="s">
        <v>59</v>
      </c>
      <c r="B6">
        <v>34.153846153846168</v>
      </c>
      <c r="C6">
        <v>32.807546023842818</v>
      </c>
      <c r="D6">
        <f>TableCHE[[#This Row],[ARIMAPP]]*$I$2+TableCHE[[#This Row],[LSTMPP]]*$I$3</f>
        <v>41.831739082609083</v>
      </c>
      <c r="E6">
        <v>27</v>
      </c>
      <c r="F6">
        <f>ABS(TableCHE[[#This Row],[PP]]-TableCHE[[#This Row],[AP]])</f>
        <v>14.831739082609083</v>
      </c>
    </row>
    <row r="7" spans="1:9" x14ac:dyDescent="0.2">
      <c r="A7" t="s">
        <v>60</v>
      </c>
      <c r="B7">
        <v>28.846153846153829</v>
      </c>
      <c r="C7">
        <v>28.786386857255621</v>
      </c>
      <c r="D7">
        <f>TableCHE[[#This Row],[ARIMAPP]]*$I$2+TableCHE[[#This Row],[LSTMPP]]*$I$3</f>
        <v>34.523203091617603</v>
      </c>
      <c r="E7">
        <v>26</v>
      </c>
      <c r="F7">
        <f>ABS(TableCHE[[#This Row],[PP]]-TableCHE[[#This Row],[AP]])</f>
        <v>8.5232030916176029</v>
      </c>
      <c r="H7" t="s">
        <v>3</v>
      </c>
      <c r="I7">
        <f>AVERAGE(TableCHE[DIFF])/10</f>
        <v>1.4505840674453789</v>
      </c>
    </row>
    <row r="8" spans="1:9" x14ac:dyDescent="0.2">
      <c r="A8" t="s">
        <v>61</v>
      </c>
      <c r="B8">
        <v>18.999999999999989</v>
      </c>
      <c r="C8">
        <v>22.8125</v>
      </c>
      <c r="D8">
        <f>TableCHE[[#This Row],[ARIMAPP]]*$I$2+TableCHE[[#This Row],[LSTMPP]]*$I$3</f>
        <v>19.851547009749982</v>
      </c>
      <c r="E8">
        <v>39</v>
      </c>
      <c r="F8">
        <f>ABS(TableCHE[[#This Row],[PP]]-TableCHE[[#This Row],[AP]])</f>
        <v>19.148452990250018</v>
      </c>
    </row>
    <row r="9" spans="1:9" x14ac:dyDescent="0.2">
      <c r="A9" t="s">
        <v>62</v>
      </c>
      <c r="B9">
        <v>22.916666666666671</v>
      </c>
      <c r="C9">
        <v>25.526315789473689</v>
      </c>
      <c r="D9">
        <f>TableCHE[[#This Row],[ARIMAPP]]*$I$2+TableCHE[[#This Row],[LSTMPP]]*$I$3</f>
        <v>25.434721717150445</v>
      </c>
      <c r="E9">
        <v>32</v>
      </c>
      <c r="F9">
        <f>ABS(TableCHE[[#This Row],[PP]]-TableCHE[[#This Row],[AP]])</f>
        <v>6.5652782828495546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63</v>
      </c>
      <c r="B2">
        <v>26.64335664335664</v>
      </c>
      <c r="C2">
        <v>28.245614035087709</v>
      </c>
      <c r="D2">
        <f>TableCRY[[#This Row],[ARIMAPP]]*$I$2+TableCRY[[#This Row],[LSTMPP]]*$I$3</f>
        <v>27.83312763674385</v>
      </c>
      <c r="E2">
        <v>27</v>
      </c>
      <c r="F2">
        <f>ABS(TableCRY[[#This Row],[PP]]-TableCRY[[#This Row],[AP]])</f>
        <v>0.83312763674384982</v>
      </c>
      <c r="H2" t="s">
        <v>0</v>
      </c>
      <c r="I2">
        <v>0.47512357607</v>
      </c>
    </row>
    <row r="3" spans="1:9" x14ac:dyDescent="0.2">
      <c r="A3" t="s">
        <v>64</v>
      </c>
      <c r="B3">
        <v>23.067391592793879</v>
      </c>
      <c r="C3">
        <v>27.57731958762886</v>
      </c>
      <c r="D3">
        <f>TableCRY[[#This Row],[ARIMAPP]]*$I$2+TableCRY[[#This Row],[LSTMPP]]*$I$3</f>
        <v>25.7750780683428</v>
      </c>
      <c r="E3">
        <v>20</v>
      </c>
      <c r="F3">
        <f>ABS(TableCRY[[#This Row],[PP]]-TableCRY[[#This Row],[AP]])</f>
        <v>5.7750780683428005</v>
      </c>
      <c r="H3" t="s">
        <v>1</v>
      </c>
      <c r="I3">
        <v>0.53722467250999995</v>
      </c>
    </row>
    <row r="4" spans="1:9" x14ac:dyDescent="0.2">
      <c r="A4" t="s">
        <v>65</v>
      </c>
      <c r="B4">
        <v>27.360353366173118</v>
      </c>
      <c r="C4">
        <v>28.500000000000011</v>
      </c>
      <c r="D4">
        <f>TableCRY[[#This Row],[ARIMAPP]]*$I$2+TableCRY[[#This Row],[LSTMPP]]*$I$3</f>
        <v>28.310452100410039</v>
      </c>
      <c r="E4">
        <v>35</v>
      </c>
      <c r="F4">
        <f>ABS(TableCRY[[#This Row],[PP]]-TableCRY[[#This Row],[AP]])</f>
        <v>6.6895478995899609</v>
      </c>
    </row>
    <row r="5" spans="1:9" x14ac:dyDescent="0.2">
      <c r="A5" t="s">
        <v>66</v>
      </c>
      <c r="B5">
        <v>29.840071291247749</v>
      </c>
      <c r="C5">
        <v>28.75</v>
      </c>
      <c r="D5">
        <f>TableCRY[[#This Row],[ARIMAPP]]*$I$2+TableCRY[[#This Row],[LSTMPP]]*$I$3</f>
        <v>29.622930716743873</v>
      </c>
      <c r="E5">
        <v>28</v>
      </c>
      <c r="F5">
        <f>ABS(TableCRY[[#This Row],[PP]]-TableCRY[[#This Row],[AP]])</f>
        <v>1.6229307167438733</v>
      </c>
      <c r="H5" t="s">
        <v>2</v>
      </c>
      <c r="I5">
        <f>SUM(ABS(TableCRY[[#This Row],[PP]]-TableCRY[[#This Row],[AP]]))</f>
        <v>1.6229307167438733</v>
      </c>
    </row>
    <row r="6" spans="1:9" x14ac:dyDescent="0.2">
      <c r="A6" t="s">
        <v>67</v>
      </c>
      <c r="B6">
        <v>36.470588235294123</v>
      </c>
      <c r="C6">
        <v>31.432828977326501</v>
      </c>
      <c r="D6">
        <f>TableCRY[[#This Row],[ARIMAPP]]*$I$2+TableCRY[[#This Row],[LSTMPP]]*$I$3</f>
        <v>34.214527557136478</v>
      </c>
      <c r="E6">
        <v>35</v>
      </c>
      <c r="F6">
        <f>ABS(TableCRY[[#This Row],[PP]]-TableCRY[[#This Row],[AP]])</f>
        <v>0.78547244286352225</v>
      </c>
    </row>
    <row r="7" spans="1:9" x14ac:dyDescent="0.2">
      <c r="A7" t="s">
        <v>68</v>
      </c>
      <c r="B7">
        <v>36.470588235294123</v>
      </c>
      <c r="C7">
        <v>33.625</v>
      </c>
      <c r="D7">
        <f>TableCRY[[#This Row],[ARIMAPP]]*$I$2+TableCRY[[#This Row],[LSTMPP]]*$I$3</f>
        <v>35.392215916878165</v>
      </c>
      <c r="E7">
        <v>36</v>
      </c>
      <c r="F7">
        <f>ABS(TableCRY[[#This Row],[PP]]-TableCRY[[#This Row],[AP]])</f>
        <v>0.60778408312183529</v>
      </c>
      <c r="H7" t="s">
        <v>3</v>
      </c>
      <c r="I7">
        <f>AVERAGE(TableCRY[DIFF])/10</f>
        <v>0.31881709162278499</v>
      </c>
    </row>
    <row r="8" spans="1:9" x14ac:dyDescent="0.2">
      <c r="A8" t="s">
        <v>69</v>
      </c>
      <c r="B8">
        <v>21.1111111111111</v>
      </c>
      <c r="C8">
        <v>25.099999999999991</v>
      </c>
      <c r="D8">
        <f>TableCRY[[#This Row],[ARIMAPP]]*$I$2+TableCRY[[#This Row],[LSTMPP]]*$I$3</f>
        <v>23.514725885923212</v>
      </c>
      <c r="E8">
        <v>30</v>
      </c>
      <c r="F8">
        <f>ABS(TableCRY[[#This Row],[PP]]-TableCRY[[#This Row],[AP]])</f>
        <v>6.4852741140767876</v>
      </c>
    </row>
    <row r="9" spans="1:9" x14ac:dyDescent="0.2">
      <c r="A9" t="s">
        <v>70</v>
      </c>
      <c r="B9">
        <v>30.151515151515159</v>
      </c>
      <c r="C9">
        <v>28.36538461538461</v>
      </c>
      <c r="D9">
        <f>TableCRY[[#This Row],[ARIMAPP]]*$I$2+TableCRY[[#This Row],[LSTMPP]]*$I$3</f>
        <v>29.564280163336857</v>
      </c>
      <c r="E9">
        <v>27</v>
      </c>
      <c r="F9">
        <f>ABS(TableCRY[[#This Row],[PP]]-TableCRY[[#This Row],[AP]])</f>
        <v>2.564280163336857</v>
      </c>
    </row>
    <row r="10" spans="1:9" x14ac:dyDescent="0.2">
      <c r="A10" t="s">
        <v>71</v>
      </c>
      <c r="B10">
        <v>26.904761904761891</v>
      </c>
      <c r="C10">
        <v>28.939393939393941</v>
      </c>
      <c r="D10">
        <f>TableCRY[[#This Row],[ARIMAPP]]*$I$2+TableCRY[[#This Row],[LSTMPP]]*$I$3</f>
        <v>28.330043121231164</v>
      </c>
      <c r="E10">
        <v>25</v>
      </c>
      <c r="F10">
        <f>ABS(TableCRY[[#This Row],[PP]]-TableCRY[[#This Row],[AP]])</f>
        <v>3.3300431212311636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72</v>
      </c>
      <c r="B2">
        <v>31.548387096774171</v>
      </c>
      <c r="C2">
        <v>30.12096774193548</v>
      </c>
      <c r="D2">
        <f>TableEVE[[#This Row],[ARIMAPP]]*$I$2+TableEVE[[#This Row],[LSTMPP]]*$I$3</f>
        <v>35.641053813164532</v>
      </c>
      <c r="E2">
        <v>44</v>
      </c>
      <c r="F2">
        <f>ABS(TableEVE[[#This Row],[PP]]-TableEVE[[#This Row],[AP]])</f>
        <v>8.3589461868354675</v>
      </c>
      <c r="H2" t="s">
        <v>0</v>
      </c>
      <c r="I2">
        <v>-1.4541954002999999</v>
      </c>
    </row>
    <row r="3" spans="1:9" x14ac:dyDescent="0.2">
      <c r="A3" t="s">
        <v>73</v>
      </c>
      <c r="B3">
        <v>30.06032162723373</v>
      </c>
      <c r="C3">
        <v>29.493243243243231</v>
      </c>
      <c r="D3">
        <f>TableEVE[[#This Row],[ARIMAPP]]*$I$2+TableEVE[[#This Row],[LSTMPP]]*$I$3</f>
        <v>36.106135152421849</v>
      </c>
      <c r="E3">
        <v>35</v>
      </c>
      <c r="F3">
        <f>ABS(TableEVE[[#This Row],[PP]]-TableEVE[[#This Row],[AP]])</f>
        <v>1.1061351524218495</v>
      </c>
      <c r="H3" t="s">
        <v>1</v>
      </c>
      <c r="I3">
        <v>2.7063729795999998</v>
      </c>
    </row>
    <row r="4" spans="1:9" x14ac:dyDescent="0.2">
      <c r="A4" t="s">
        <v>74</v>
      </c>
      <c r="B4">
        <v>34.75409836065576</v>
      </c>
      <c r="C4">
        <v>37.660034400895071</v>
      </c>
      <c r="D4">
        <f>TableEVE[[#This Row],[ARIMAPP]]*$I$2+TableEVE[[#This Row],[LSTMPP]]*$I$3</f>
        <v>51.382849535749514</v>
      </c>
      <c r="E4">
        <v>48</v>
      </c>
      <c r="F4">
        <f>ABS(TableEVE[[#This Row],[PP]]-TableEVE[[#This Row],[AP]])</f>
        <v>3.3828495357495143</v>
      </c>
    </row>
    <row r="5" spans="1:9" x14ac:dyDescent="0.2">
      <c r="A5" t="s">
        <v>75</v>
      </c>
      <c r="B5">
        <v>36.059427679237288</v>
      </c>
      <c r="C5">
        <v>32.767857142857153</v>
      </c>
      <c r="D5">
        <f>TableEVE[[#This Row],[ARIMAPP]]*$I$2+TableEVE[[#This Row],[LSTMPP]]*$I$3</f>
        <v>36.244589302224078</v>
      </c>
      <c r="E5">
        <v>21</v>
      </c>
      <c r="F5">
        <f>ABS(TableEVE[[#This Row],[PP]]-TableEVE[[#This Row],[AP]])</f>
        <v>15.244589302224078</v>
      </c>
      <c r="H5" t="s">
        <v>2</v>
      </c>
      <c r="I5">
        <f>SUM(ABS(TableEVE[[#This Row],[PP]]-TableEVE[[#This Row],[AP]]))</f>
        <v>15.244589302224078</v>
      </c>
    </row>
    <row r="6" spans="1:9" x14ac:dyDescent="0.2">
      <c r="A6" t="s">
        <v>76</v>
      </c>
      <c r="B6">
        <v>30.01053664340343</v>
      </c>
      <c r="C6">
        <v>29.36090225563909</v>
      </c>
      <c r="D6">
        <f>TableEVE[[#This Row],[ARIMAPP]]*$I$2+TableEVE[[#This Row],[LSTMPP]]*$I$3</f>
        <v>35.82036817396645</v>
      </c>
      <c r="E6">
        <v>44</v>
      </c>
      <c r="F6">
        <f>ABS(TableEVE[[#This Row],[PP]]-TableEVE[[#This Row],[AP]])</f>
        <v>8.1796318260335497</v>
      </c>
    </row>
    <row r="7" spans="1:9" x14ac:dyDescent="0.2">
      <c r="A7" t="s">
        <v>77</v>
      </c>
      <c r="B7">
        <v>25.791265929261179</v>
      </c>
      <c r="C7">
        <v>22.04545454545454</v>
      </c>
      <c r="D7">
        <f>TableEVE[[#This Row],[ARIMAPP]]*$I$2+TableEVE[[#This Row],[LSTMPP]]*$I$3</f>
        <v>22.157682222572447</v>
      </c>
      <c r="E7">
        <v>22</v>
      </c>
      <c r="F7">
        <f>ABS(TableEVE[[#This Row],[PP]]-TableEVE[[#This Row],[AP]])</f>
        <v>0.15768222257244702</v>
      </c>
      <c r="H7" t="s">
        <v>3</v>
      </c>
      <c r="I7">
        <f>AVERAGE(TableEVE[DIFF])/10</f>
        <v>0.64019376186654309</v>
      </c>
    </row>
    <row r="8" spans="1:9" x14ac:dyDescent="0.2">
      <c r="A8" t="s">
        <v>78</v>
      </c>
      <c r="B8">
        <v>21.111111111111111</v>
      </c>
      <c r="C8">
        <v>21.785714285714281</v>
      </c>
      <c r="D8">
        <f>TableEVE[[#This Row],[ARIMAPP]]*$I$2+TableEVE[[#This Row],[LSTMPP]]*$I$3</f>
        <v>28.260587811142837</v>
      </c>
      <c r="E8">
        <v>31</v>
      </c>
      <c r="F8">
        <f>ABS(TableEVE[[#This Row],[PP]]-TableEVE[[#This Row],[AP]])</f>
        <v>2.7394121888571625</v>
      </c>
    </row>
    <row r="9" spans="1:9" x14ac:dyDescent="0.2">
      <c r="A9" t="s">
        <v>79</v>
      </c>
      <c r="B9">
        <v>40.000000000000007</v>
      </c>
      <c r="C9">
        <v>33.690476190476197</v>
      </c>
      <c r="D9">
        <f>TableEVE[[#This Row],[ARIMAPP]]*$I$2+TableEVE[[#This Row],[LSTMPP]]*$I$3</f>
        <v>33.011178419761912</v>
      </c>
      <c r="E9">
        <v>33</v>
      </c>
      <c r="F9">
        <f>ABS(TableEVE[[#This Row],[PP]]-TableEVE[[#This Row],[AP]])</f>
        <v>1.1178419761911584E-2</v>
      </c>
    </row>
    <row r="10" spans="1:9" x14ac:dyDescent="0.2">
      <c r="A10" t="s">
        <v>80</v>
      </c>
      <c r="B10">
        <v>26.12244897959183</v>
      </c>
      <c r="C10">
        <v>26.794871794871788</v>
      </c>
      <c r="D10">
        <f>TableEVE[[#This Row],[ARIMAPP]]*$I$2+TableEVE[[#This Row],[LSTMPP]]*$I$3</f>
        <v>34.52977186679329</v>
      </c>
      <c r="E10">
        <v>49</v>
      </c>
      <c r="F10">
        <f>ABS(TableEVE[[#This Row],[PP]]-TableEVE[[#This Row],[AP]])</f>
        <v>14.47022813320671</v>
      </c>
    </row>
    <row r="11" spans="1:9" x14ac:dyDescent="0.2">
      <c r="A11" t="s">
        <v>81</v>
      </c>
      <c r="B11">
        <v>23.14387665722051</v>
      </c>
      <c r="C11">
        <v>26.612903225806441</v>
      </c>
      <c r="D11">
        <f>TableEVE[[#This Row],[ARIMAPP]]*$I$2+TableEVE[[#This Row],[LSTMPP]]*$I$3</f>
        <v>38.368723218991619</v>
      </c>
      <c r="E11">
        <v>28</v>
      </c>
      <c r="F11">
        <f>ABS(TableEVE[[#This Row],[PP]]-TableEVE[[#This Row],[AP]])</f>
        <v>10.368723218991619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2024-01-29T21:53:04Z</dcterms:created>
  <dcterms:modified xsi:type="dcterms:W3CDTF">2024-01-29T21:58:03Z</dcterms:modified>
</cp:coreProperties>
</file>