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FCA01387-D372-144E-879C-C6774ABABA0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definedNames>
    <definedName name="solver_adj" localSheetId="0" hidden="1">Sheet1!$AL$2:$AL$157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Sheet1!$AL$2:$AL$157</definedName>
    <definedName name="solver_lhs2" localSheetId="0" hidden="1">Sheet1!$AO$18:$AO$37</definedName>
    <definedName name="solver_lhs3" localSheetId="0" hidden="1">Sheet1!$AO$4</definedName>
    <definedName name="solver_lhs4" localSheetId="0" hidden="1">Sheet1!$AO$6:$AO$9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Sheet1!$AO$16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Sheet1!$AP$18:$AP$37</definedName>
    <definedName name="solver_rhs3" localSheetId="0" hidden="1">Sheet1!$AP$4</definedName>
    <definedName name="solver_rhs4" localSheetId="0" hidden="1">Sheet1!$AP$6:$AP$9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5" i="1" l="1"/>
  <c r="AH115" i="1"/>
  <c r="AI156" i="1"/>
  <c r="AH156" i="1"/>
  <c r="AO2" i="1" s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69" i="1"/>
  <c r="AH69" i="1"/>
  <c r="AI139" i="1"/>
  <c r="AH139" i="1"/>
  <c r="AI131" i="1"/>
  <c r="AH131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40" i="1"/>
  <c r="AH140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91" i="1"/>
  <c r="AH91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54" i="1"/>
  <c r="AH54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55" i="1"/>
  <c r="AH55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56" i="1"/>
  <c r="AH56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157" i="1"/>
  <c r="AH157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9" i="1"/>
  <c r="AH9" i="1"/>
  <c r="AI103" i="1"/>
  <c r="AH103" i="1"/>
  <c r="AI79" i="1"/>
  <c r="AH79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11" i="1"/>
  <c r="AH11" i="1"/>
  <c r="AI10" i="1"/>
  <c r="AH10" i="1"/>
  <c r="AO9" i="1"/>
  <c r="AI138" i="1"/>
  <c r="AH138" i="1"/>
  <c r="AO8" i="1"/>
  <c r="AI8" i="1"/>
  <c r="AH8" i="1"/>
  <c r="AO7" i="1"/>
  <c r="AI7" i="1"/>
  <c r="AH7" i="1"/>
  <c r="AO6" i="1"/>
  <c r="AI6" i="1"/>
  <c r="AH6" i="1"/>
  <c r="AI5" i="1"/>
  <c r="AH5" i="1"/>
  <c r="AO4" i="1"/>
  <c r="AI4" i="1"/>
  <c r="AH4" i="1"/>
  <c r="AI3" i="1"/>
  <c r="AH3" i="1"/>
  <c r="AI2" i="1"/>
  <c r="AH2" i="1"/>
  <c r="AO16" i="1" l="1"/>
</calcChain>
</file>

<file path=xl/sharedStrings.xml><?xml version="1.0" encoding="utf-8"?>
<sst xmlns="http://schemas.openxmlformats.org/spreadsheetml/2006/main" count="849" uniqueCount="372">
  <si>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</si>
  <si>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</si>
  <si>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</si>
  <si>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</si>
  <si>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</si>
  <si>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</si>
  <si>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</si>
  <si>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</si>
  <si>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</si>
  <si>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</si>
  <si>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</si>
  <si>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</si>
  <si>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</si>
  <si>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</si>
  <si>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</si>
  <si>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</si>
  <si>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</si>
  <si>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</si>
  <si>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</si>
  <si>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</si>
  <si>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</si>
  <si>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</si>
  <si>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</si>
  <si>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</si>
  <si>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</si>
  <si>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</si>
  <si>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</si>
  <si>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</si>
  <si>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</si>
  <si>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</si>
  <si>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</si>
  <si>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</si>
  <si>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</si>
  <si>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</si>
  <si>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</si>
  <si>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</si>
  <si>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</si>
  <si>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</si>
  <si>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</si>
  <si>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</si>
  <si>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</si>
  <si>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</si>
  <si>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</si>
  <si>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</si>
  <si>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</si>
  <si>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</si>
  <si>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</si>
  <si>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</si>
  <si>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</si>
  <si>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</si>
  <si>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</si>
  <si>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</si>
  <si>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Eddie</t>
  </si>
  <si>
    <t>Nketiah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</si>
  <si>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</si>
  <si>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</si>
  <si>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</si>
  <si>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</si>
  <si>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</si>
  <si>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</si>
  <si>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</si>
  <si>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</si>
  <si>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</si>
  <si>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</si>
  <si>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</si>
  <si>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</si>
  <si>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</si>
  <si>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</si>
  <si>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</si>
  <si>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</si>
  <si>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</si>
  <si>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</si>
  <si>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</si>
  <si>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Diego Carlos</t>
  </si>
  <si>
    <t>Santos Silva</t>
  </si>
  <si>
    <t>Lucas</t>
  </si>
  <si>
    <t>Digne</t>
  </si>
  <si>
    <t>Douglas Luiz</t>
  </si>
  <si>
    <t>Soares de Paulo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</si>
  <si>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</si>
  <si>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</si>
  <si>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</si>
  <si>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</si>
  <si>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</si>
  <si>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</si>
  <si>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</si>
  <si>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</si>
  <si>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</si>
  <si>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</si>
  <si>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</si>
  <si>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</si>
  <si>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</si>
  <si>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</si>
  <si>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</si>
  <si>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Ryan</t>
  </si>
  <si>
    <t>Christie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</si>
  <si>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</si>
  <si>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</si>
  <si>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</si>
  <si>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</si>
  <si>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</si>
  <si>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</si>
  <si>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</si>
  <si>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</si>
  <si>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</si>
  <si>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</si>
  <si>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</si>
  <si>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</si>
  <si>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</si>
  <si>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</si>
  <si>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</si>
  <si>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</si>
  <si>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</si>
  <si>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Mathias</t>
  </si>
  <si>
    <t>Jensen</t>
  </si>
  <si>
    <t>Bryan</t>
  </si>
  <si>
    <t>Mbeumo</t>
  </si>
  <si>
    <t>Yoane</t>
  </si>
  <si>
    <t>Wissa</t>
  </si>
  <si>
    <t>Neal</t>
  </si>
  <si>
    <t>Maupay</t>
  </si>
  <si>
    <t>Simon</t>
  </si>
  <si>
    <t>Adingra</t>
  </si>
  <si>
    <t>Billy</t>
  </si>
  <si>
    <t>Gilmour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</si>
  <si>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</si>
  <si>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</si>
  <si>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</si>
  <si>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</si>
  <si>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</si>
  <si>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</si>
  <si>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</si>
  <si>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</si>
  <si>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</si>
  <si>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Danny</t>
  </si>
  <si>
    <t>Welbeck</t>
  </si>
  <si>
    <t>Josh</t>
  </si>
  <si>
    <t>Brownhill</t>
  </si>
  <si>
    <t>Sander</t>
  </si>
  <si>
    <t>Berge</t>
  </si>
  <si>
    <t>Zeki</t>
  </si>
  <si>
    <t>Amdouni</t>
  </si>
  <si>
    <t>James</t>
  </si>
  <si>
    <t>Trafford</t>
  </si>
  <si>
    <t>Robert</t>
  </si>
  <si>
    <t>Sánchez</t>
  </si>
  <si>
    <t>Sanchez</t>
  </si>
  <si>
    <t>Levi</t>
  </si>
  <si>
    <t>Colwill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</si>
  <si>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</si>
  <si>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</si>
  <si>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</si>
  <si>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</si>
  <si>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</si>
  <si>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</si>
  <si>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</si>
  <si>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</si>
  <si>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</si>
  <si>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</si>
  <si>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</si>
  <si>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</si>
  <si>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</si>
  <si>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</si>
  <si>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Jordan</t>
  </si>
  <si>
    <t>Ayew</t>
  </si>
  <si>
    <t>J.Ayew</t>
  </si>
  <si>
    <t>Odsonne</t>
  </si>
  <si>
    <t>Edouard</t>
  </si>
  <si>
    <t>Eberechi</t>
  </si>
  <si>
    <t>Eze</t>
  </si>
  <si>
    <t>Marc</t>
  </si>
  <si>
    <t>Guéhi</t>
  </si>
  <si>
    <t>Jefferson</t>
  </si>
  <si>
    <t>Lerma Solís</t>
  </si>
  <si>
    <t>Lerma</t>
  </si>
  <si>
    <t>Jean-Philippe</t>
  </si>
  <si>
    <t>Mateta</t>
  </si>
  <si>
    <t>Jeffrey</t>
  </si>
  <si>
    <t>Schlupp</t>
  </si>
  <si>
    <t>Jarrad</t>
  </si>
  <si>
    <t>Branthwaite</t>
  </si>
  <si>
    <t>Abdoulaye</t>
  </si>
  <si>
    <t>Doucouré</t>
  </si>
  <si>
    <t>A.Doucoure</t>
  </si>
  <si>
    <t>Garner</t>
  </si>
  <si>
    <t>Dwight</t>
  </si>
  <si>
    <t>McNeil</t>
  </si>
  <si>
    <t>Vitalii</t>
  </si>
  <si>
    <t>Mykolenko</t>
  </si>
  <si>
    <t>Amadou</t>
  </si>
  <si>
    <t>Onana</t>
  </si>
  <si>
    <t>Pickford</t>
  </si>
  <si>
    <t>Tarkowski</t>
  </si>
  <si>
    <t>Jack</t>
  </si>
  <si>
    <t>Harrison</t>
  </si>
  <si>
    <t>Alex</t>
  </si>
  <si>
    <t>Iwobi</t>
  </si>
  <si>
    <t>Tom</t>
  </si>
  <si>
    <t>Cairney</t>
  </si>
  <si>
    <t>Bobby</t>
  </si>
  <si>
    <t>De Cordova-Reid</t>
  </si>
  <si>
    <t>Raúl</t>
  </si>
  <si>
    <t>Jiménez</t>
  </si>
  <si>
    <t>Willian</t>
  </si>
  <si>
    <t>Borges da Silva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</si>
  <si>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</si>
  <si>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</si>
  <si>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</si>
  <si>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</si>
  <si>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</si>
  <si>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</si>
  <si>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</si>
  <si>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</si>
  <si>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</si>
  <si>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</si>
  <si>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</si>
  <si>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</si>
  <si>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</si>
  <si>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</si>
  <si>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Curtis</t>
  </si>
  <si>
    <t>Jones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</si>
  <si>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</si>
  <si>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</si>
  <si>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</si>
  <si>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</si>
  <si>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</si>
  <si>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</si>
  <si>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</si>
  <si>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</si>
  <si>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</si>
  <si>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</si>
  <si>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</si>
  <si>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</si>
  <si>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</si>
  <si>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</si>
  <si>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</si>
  <si>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</si>
  <si>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</si>
  <si>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</si>
  <si>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</si>
  <si>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Thomas</t>
  </si>
  <si>
    <t>Kaminski</t>
  </si>
  <si>
    <t>Ross</t>
  </si>
  <si>
    <t>Barkley</t>
  </si>
  <si>
    <t>Manuel</t>
  </si>
  <si>
    <t>Akanji</t>
  </si>
  <si>
    <t>Nathan</t>
  </si>
  <si>
    <t>Aké</t>
  </si>
  <si>
    <t>Julián</t>
  </si>
  <si>
    <t>Álvarez</t>
  </si>
  <si>
    <t>J.Alvarez</t>
  </si>
  <si>
    <t>Bernardo</t>
  </si>
  <si>
    <t>Veiga de Carvalho e Silva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</si>
  <si>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</si>
  <si>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</si>
  <si>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</si>
  <si>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</si>
  <si>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</si>
  <si>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</si>
  <si>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</si>
  <si>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</si>
  <si>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</si>
  <si>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</si>
  <si>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</si>
  <si>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</si>
  <si>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</si>
  <si>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Alejandro</t>
  </si>
  <si>
    <t>Garnacho</t>
  </si>
  <si>
    <t>Victor</t>
  </si>
  <si>
    <t>Lindelöf</t>
  </si>
  <si>
    <t>Lindelof</t>
  </si>
  <si>
    <t>Anthony</t>
  </si>
  <si>
    <t>Martial</t>
  </si>
  <si>
    <t>Rashford</t>
  </si>
  <si>
    <t>André</t>
  </si>
  <si>
    <t>Miguel</t>
  </si>
  <si>
    <t>Almirón Rejala</t>
  </si>
  <si>
    <t>Almirón</t>
  </si>
  <si>
    <t>Bruno</t>
  </si>
  <si>
    <t>Guimarães Rodriguez Moura</t>
  </si>
  <si>
    <t>Bruno G.</t>
  </si>
  <si>
    <t>Dan</t>
  </si>
  <si>
    <t>Burn</t>
  </si>
  <si>
    <t>Gordon</t>
  </si>
  <si>
    <t>Alexander</t>
  </si>
  <si>
    <t>Isak</t>
  </si>
  <si>
    <t>Joelinton Cássio</t>
  </si>
  <si>
    <t>Apolinário de Lira</t>
  </si>
  <si>
    <t>Joelinton</t>
  </si>
  <si>
    <t>Sean</t>
  </si>
  <si>
    <t>Longstaff</t>
  </si>
  <si>
    <t>Nick</t>
  </si>
  <si>
    <t>Pope</t>
  </si>
  <si>
    <t>Callum</t>
  </si>
  <si>
    <t>Wilson</t>
  </si>
  <si>
    <t>Matt</t>
  </si>
  <si>
    <t>Turner</t>
  </si>
  <si>
    <t>Elanga</t>
  </si>
  <si>
    <t>Morgan</t>
  </si>
  <si>
    <t>Gibbs-White</t>
  </si>
  <si>
    <t>Harry</t>
  </si>
  <si>
    <t>Toffolo</t>
  </si>
  <si>
    <t>Chris</t>
  </si>
  <si>
    <t>Wood</t>
  </si>
  <si>
    <t>Cameron</t>
  </si>
  <si>
    <t>Archer</t>
  </si>
  <si>
    <t>McAtee</t>
  </si>
  <si>
    <t>Wes</t>
  </si>
  <si>
    <t>Foderingham</t>
  </si>
  <si>
    <t>Gustavo</t>
  </si>
  <si>
    <t>Hamer</t>
  </si>
  <si>
    <t>Brennan</t>
  </si>
  <si>
    <t>Johnson</t>
  </si>
  <si>
    <t>Dejan</t>
  </si>
  <si>
    <t>Kulusevski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</si>
  <si>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</si>
  <si>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</si>
  <si>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</si>
  <si>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</si>
  <si>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</si>
  <si>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</si>
  <si>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</si>
  <si>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</si>
  <si>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</si>
  <si>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</si>
  <si>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</si>
  <si>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</si>
  <si>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</si>
  <si>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</si>
  <si>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</si>
  <si>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</si>
  <si>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</si>
  <si>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</si>
  <si>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</si>
  <si>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</si>
  <si>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</si>
  <si>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</si>
  <si>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</si>
  <si>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</si>
  <si>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</si>
  <si>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</si>
  <si>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</si>
  <si>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</si>
  <si>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</si>
  <si>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</si>
  <si>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</si>
  <si>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</si>
  <si>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</si>
  <si>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</si>
  <si>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Craig</t>
  </si>
  <si>
    <t>Dawson</t>
  </si>
  <si>
    <t>Hwang</t>
  </si>
  <si>
    <t>Hee-chan</t>
  </si>
  <si>
    <t>Hee Chan</t>
  </si>
  <si>
    <t>Max</t>
  </si>
  <si>
    <t>Kilman</t>
  </si>
  <si>
    <t>Mario</t>
  </si>
  <si>
    <t>Lemina</t>
  </si>
  <si>
    <t>José</t>
  </si>
  <si>
    <t>Malheiro de Sá</t>
  </si>
  <si>
    <t>José Sá</t>
  </si>
  <si>
    <t>Pablo</t>
  </si>
  <si>
    <t>Sarabia</t>
  </si>
  <si>
    <t>Nélson</t>
  </si>
  <si>
    <t>Cabral Semedo</t>
  </si>
  <si>
    <t>N.Semedo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</si>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</sst>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57" totalsRowShown="0">
  <autoFilter ref="A1:AL157" xr:uid="{00000000-0009-0000-0100-000001000000}">
    <filterColumn colId="37">
      <filters>
        <filter val="1"/>
      </filters>
    </filterColumn>
  </autoFilter>
  <sortState xmlns:xlrd2="http://schemas.microsoft.com/office/spreadsheetml/2017/richdata2" ref="A9:AL157">
    <sortCondition descending="1" ref="AI1:AI157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7"/>
  <sheetViews>
    <sheetView tabSelected="1" workbookViewId="0">
      <selection activeCell="AM172" sqref="AM172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</v>
      </c>
      <c r="AE2">
        <v>4</v>
      </c>
      <c r="AF2">
        <v>16.345773294870241</v>
      </c>
      <c r="AG2">
        <v>16.162790697674421</v>
      </c>
      <c r="AH2">
        <f>15.7146475879279*1</f>
        <v>15.7146475879279</v>
      </c>
      <c r="AI2">
        <f>3.16248225716175*1</f>
        <v>3.1624822571617499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453.57590028250803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5</v>
      </c>
      <c r="AF3">
        <v>15.9433962264151</v>
      </c>
      <c r="AG3">
        <v>16.56185429605917</v>
      </c>
      <c r="AH3">
        <f>15.9267298818406*1</f>
        <v>15.9267298818406</v>
      </c>
      <c r="AI3">
        <f>3.18534597636813*1</f>
        <v>3.1853459763681302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6</v>
      </c>
      <c r="AF4">
        <v>20.160256410256391</v>
      </c>
      <c r="AG4">
        <v>20.399346791881321</v>
      </c>
      <c r="AH4">
        <f>19.7311426396036*1</f>
        <v>19.7311426396036</v>
      </c>
      <c r="AI4">
        <f>3.94622689627586*1</f>
        <v>3.94622689627586</v>
      </c>
      <c r="AJ4">
        <v>1</v>
      </c>
      <c r="AK4">
        <v>1</v>
      </c>
      <c r="AL4">
        <v>0</v>
      </c>
      <c r="AN4" t="s">
        <v>2</v>
      </c>
      <c r="AO4">
        <f>SUMPRODUCT(Table1[Selected],Table1[Cost])</f>
        <v>100.89999999999998</v>
      </c>
      <c r="AP4">
        <v>102.2</v>
      </c>
    </row>
    <row r="5" spans="1:42" hidden="1" x14ac:dyDescent="0.2">
      <c r="A5" t="s">
        <v>44</v>
      </c>
      <c r="B5" t="s">
        <v>50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7.7</v>
      </c>
      <c r="AE5">
        <v>10</v>
      </c>
      <c r="AF5">
        <v>24.15094339622642</v>
      </c>
      <c r="AG5">
        <v>24.88967920805981</v>
      </c>
      <c r="AH5">
        <f>23.9768187604555*1</f>
        <v>23.976818760455501</v>
      </c>
      <c r="AI5">
        <f>4.79539008471573*1</f>
        <v>4.7953900847157298</v>
      </c>
      <c r="AJ5">
        <v>1</v>
      </c>
      <c r="AK5">
        <v>0</v>
      </c>
      <c r="AL5">
        <v>0</v>
      </c>
    </row>
    <row r="6" spans="1:42" hidden="1" x14ac:dyDescent="0.2">
      <c r="A6" t="s">
        <v>52</v>
      </c>
      <c r="B6" t="s">
        <v>53</v>
      </c>
      <c r="C6" t="s">
        <v>53</v>
      </c>
      <c r="D6" t="s">
        <v>6</v>
      </c>
      <c r="E6">
        <v>0</v>
      </c>
      <c r="F6">
        <v>0</v>
      </c>
      <c r="G6">
        <v>0</v>
      </c>
      <c r="H6">
        <v>1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5.3</v>
      </c>
      <c r="AE6">
        <v>11</v>
      </c>
      <c r="AF6">
        <v>12.91666666666667</v>
      </c>
      <c r="AG6">
        <v>13.57524953392754</v>
      </c>
      <c r="AH6">
        <f>13.0215563433701*1</f>
        <v>13.021556343370101</v>
      </c>
      <c r="AI6">
        <f>2.60447968071242*1</f>
        <v>2.6044796807124202</v>
      </c>
      <c r="AJ6">
        <v>1</v>
      </c>
      <c r="AK6">
        <v>0</v>
      </c>
      <c r="AL6">
        <v>0</v>
      </c>
      <c r="AN6" t="s">
        <v>3</v>
      </c>
      <c r="AO6">
        <f>SUMPRODUCT(Table1[Selected],Table1[GKP])</f>
        <v>2</v>
      </c>
      <c r="AP6">
        <v>2</v>
      </c>
    </row>
    <row r="7" spans="1:42" hidden="1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8.5</v>
      </c>
      <c r="AE7">
        <v>12</v>
      </c>
      <c r="AF7">
        <v>24.34308282684513</v>
      </c>
      <c r="AG7">
        <v>23.119545180036582</v>
      </c>
      <c r="AH7">
        <f>22.6884444293748*1</f>
        <v>22.688444429374801</v>
      </c>
      <c r="AI7">
        <f>4.53768888587497*1</f>
        <v>4.53768888587497</v>
      </c>
      <c r="AJ7">
        <v>1</v>
      </c>
      <c r="AK7">
        <v>0</v>
      </c>
      <c r="AL7">
        <v>0</v>
      </c>
      <c r="AN7" t="s">
        <v>4</v>
      </c>
      <c r="AO7">
        <f>SUMPRODUCT(Table1[Selected],Table1[DEF])</f>
        <v>5</v>
      </c>
      <c r="AP7">
        <v>5</v>
      </c>
    </row>
    <row r="8" spans="1:42" hidden="1" x14ac:dyDescent="0.2">
      <c r="A8" t="s">
        <v>56</v>
      </c>
      <c r="B8" t="s">
        <v>57</v>
      </c>
      <c r="C8" t="s">
        <v>57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9.1</v>
      </c>
      <c r="AE8">
        <v>17</v>
      </c>
      <c r="AF8">
        <v>25.076350462208481</v>
      </c>
      <c r="AG8">
        <v>21.584327604522869</v>
      </c>
      <c r="AH8">
        <f>21.6947293850231*1</f>
        <v>21.694729385023098</v>
      </c>
      <c r="AI8">
        <f>4.3120078301427*1</f>
        <v>4.3120078301426998</v>
      </c>
      <c r="AJ8">
        <v>1</v>
      </c>
      <c r="AK8">
        <v>0</v>
      </c>
      <c r="AL8">
        <v>0</v>
      </c>
      <c r="AN8" t="s">
        <v>5</v>
      </c>
      <c r="AO8">
        <f>SUMPRODUCT(Table1[Selected],Table1[MID])</f>
        <v>5</v>
      </c>
      <c r="AP8">
        <v>5</v>
      </c>
    </row>
    <row r="9" spans="1:42" x14ac:dyDescent="0.2">
      <c r="A9" t="s">
        <v>159</v>
      </c>
      <c r="B9" t="s">
        <v>160</v>
      </c>
      <c r="C9" t="s">
        <v>160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5.8</v>
      </c>
      <c r="AE9">
        <v>266</v>
      </c>
      <c r="AF9">
        <v>69.527255892022382</v>
      </c>
      <c r="AG9">
        <v>13.148148148148151</v>
      </c>
      <c r="AH9">
        <f>125.369822652926*1</f>
        <v>125.369822652926</v>
      </c>
      <c r="AI9">
        <f>24.2497940977956*1</f>
        <v>24.249794097795601</v>
      </c>
      <c r="AJ9">
        <v>1</v>
      </c>
      <c r="AK9">
        <v>1</v>
      </c>
      <c r="AL9">
        <v>1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6.5</v>
      </c>
      <c r="AE10">
        <v>22</v>
      </c>
      <c r="AF10">
        <v>19.926356740736669</v>
      </c>
      <c r="AG10">
        <v>19.538687376336661</v>
      </c>
      <c r="AH10">
        <f>19.0332761680695*1</f>
        <v>19.033276168069499</v>
      </c>
      <c r="AI10">
        <f>3.9384405747308*1</f>
        <v>3.9384405747307998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5.6</v>
      </c>
      <c r="AE11">
        <v>23</v>
      </c>
      <c r="AF11">
        <v>19.82142857142858</v>
      </c>
      <c r="AG11">
        <v>18.279030863926181</v>
      </c>
      <c r="AH11">
        <f>18.0637011615174*1</f>
        <v>18.0637011615174</v>
      </c>
      <c r="AI11">
        <f>3.60079556277276*1</f>
        <v>3.6007955627727601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1</v>
      </c>
    </row>
    <row r="12" spans="1:42" hidden="1" x14ac:dyDescent="0.2">
      <c r="A12" t="s">
        <v>64</v>
      </c>
      <c r="B12" t="s">
        <v>65</v>
      </c>
      <c r="C12" t="s">
        <v>65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5.2</v>
      </c>
      <c r="AE12">
        <v>25</v>
      </c>
      <c r="AF12">
        <v>17.009345794392509</v>
      </c>
      <c r="AG12">
        <v>15.357142857142859</v>
      </c>
      <c r="AH12">
        <f>15.2540152860493*1</f>
        <v>15.254015286049301</v>
      </c>
      <c r="AI12">
        <f>3.05080305720986*1</f>
        <v>3.0508030572098601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66</v>
      </c>
      <c r="B13" t="s">
        <v>67</v>
      </c>
      <c r="C13" t="s">
        <v>68</v>
      </c>
      <c r="D13" t="s">
        <v>3</v>
      </c>
      <c r="E13">
        <v>1</v>
      </c>
      <c r="F13">
        <v>0</v>
      </c>
      <c r="G13">
        <v>0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4.9000000000000004</v>
      </c>
      <c r="AE13">
        <v>26</v>
      </c>
      <c r="AF13">
        <v>20.723684210526319</v>
      </c>
      <c r="AG13">
        <v>17.822337453609631</v>
      </c>
      <c r="AH13">
        <f>17.9174166819187*1</f>
        <v>17.917416681918699</v>
      </c>
      <c r="AI13">
        <f>3.58323918302766*1</f>
        <v>3.58323918302766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5.4</v>
      </c>
      <c r="AE14">
        <v>27</v>
      </c>
      <c r="AF14">
        <v>13.918024519669521</v>
      </c>
      <c r="AG14">
        <v>14.00974025974026</v>
      </c>
      <c r="AH14">
        <f>13.566656409939*1</f>
        <v>13.566656409939</v>
      </c>
      <c r="AI14">
        <f>2.64138126726453*1</f>
        <v>2.64138126726453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72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5.7</v>
      </c>
      <c r="AE15">
        <v>37</v>
      </c>
      <c r="AF15">
        <v>15.434782608695651</v>
      </c>
      <c r="AG15">
        <v>14.53703703703704</v>
      </c>
      <c r="AH15">
        <f>14.5367976253727*1</f>
        <v>14.536797625372699</v>
      </c>
      <c r="AI15">
        <f>2.90735952507455*1</f>
        <v>2.9073595250745501</v>
      </c>
      <c r="AJ15">
        <v>1</v>
      </c>
      <c r="AK15">
        <v>0</v>
      </c>
      <c r="AL15">
        <v>0</v>
      </c>
    </row>
    <row r="16" spans="1:42" hidden="1" x14ac:dyDescent="0.2">
      <c r="A16" t="s">
        <v>73</v>
      </c>
      <c r="B16" t="s">
        <v>74</v>
      </c>
      <c r="C16" t="s">
        <v>73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4.4000000000000004</v>
      </c>
      <c r="AE16">
        <v>44</v>
      </c>
      <c r="AF16">
        <v>9.7222222222222197</v>
      </c>
      <c r="AG16">
        <v>11.34182185838654</v>
      </c>
      <c r="AH16">
        <f>10.4671499300935*1</f>
        <v>10.4671499300935</v>
      </c>
      <c r="AI16">
        <f>2.12056680699112*1</f>
        <v>2.1205668069911199</v>
      </c>
      <c r="AJ16">
        <v>1</v>
      </c>
      <c r="AK16">
        <v>0</v>
      </c>
      <c r="AL16">
        <v>0</v>
      </c>
      <c r="AN16" t="s">
        <v>10</v>
      </c>
      <c r="AO16">
        <f>AO2-AO14*5</f>
        <v>453.57590028250803</v>
      </c>
    </row>
    <row r="17" spans="1:42" hidden="1" x14ac:dyDescent="0.2">
      <c r="A17" t="s">
        <v>75</v>
      </c>
      <c r="B17" t="s">
        <v>76</v>
      </c>
      <c r="C17" t="s">
        <v>76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4.5999999999999996</v>
      </c>
      <c r="AE17">
        <v>45</v>
      </c>
      <c r="AF17">
        <v>14.5003112848699</v>
      </c>
      <c r="AG17">
        <v>16.93010055394447</v>
      </c>
      <c r="AH17">
        <f>15.6198705672523*1</f>
        <v>15.619870567252301</v>
      </c>
      <c r="AI17">
        <f>3.29563991304619*1</f>
        <v>3.2956399130461902</v>
      </c>
      <c r="AJ17">
        <v>1</v>
      </c>
      <c r="AK17">
        <v>0</v>
      </c>
      <c r="AL17">
        <v>0</v>
      </c>
    </row>
    <row r="18" spans="1:42" hidden="1" x14ac:dyDescent="0.2">
      <c r="A18" t="s">
        <v>77</v>
      </c>
      <c r="B18" t="s">
        <v>78</v>
      </c>
      <c r="C18" t="s">
        <v>77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5.6</v>
      </c>
      <c r="AE18">
        <v>46</v>
      </c>
      <c r="AF18">
        <v>24.287513257768641</v>
      </c>
      <c r="AG18">
        <v>13.71900826446281</v>
      </c>
      <c r="AH18">
        <f>17.3830197681536*1</f>
        <v>17.383019768153599</v>
      </c>
      <c r="AI18">
        <f>3.52579602650635*1</f>
        <v>3.5257960265063502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1</v>
      </c>
      <c r="AP18">
        <v>3</v>
      </c>
    </row>
    <row r="19" spans="1:42" hidden="1" x14ac:dyDescent="0.2">
      <c r="A19" t="s">
        <v>79</v>
      </c>
      <c r="B19" t="s">
        <v>80</v>
      </c>
      <c r="C19" t="s">
        <v>81</v>
      </c>
      <c r="D19" t="s">
        <v>3</v>
      </c>
      <c r="E19">
        <v>1</v>
      </c>
      <c r="F19">
        <v>0</v>
      </c>
      <c r="G19">
        <v>0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5.2</v>
      </c>
      <c r="AE19">
        <v>52</v>
      </c>
      <c r="AF19">
        <v>17.63636363636363</v>
      </c>
      <c r="AG19">
        <v>15.697674418604651</v>
      </c>
      <c r="AH19">
        <f>16.0627615720932*1</f>
        <v>16.062761572093201</v>
      </c>
      <c r="AI19">
        <f>3.21255231441865*1</f>
        <v>3.2125523144186499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0</v>
      </c>
      <c r="AP19">
        <v>3</v>
      </c>
    </row>
    <row r="20" spans="1:42" hidden="1" x14ac:dyDescent="0.2">
      <c r="A20" t="s">
        <v>82</v>
      </c>
      <c r="B20" t="s">
        <v>83</v>
      </c>
      <c r="C20" t="s">
        <v>83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5.6</v>
      </c>
      <c r="AE20">
        <v>53</v>
      </c>
      <c r="AF20">
        <v>15.30405405405406</v>
      </c>
      <c r="AG20">
        <v>14.91452991452991</v>
      </c>
      <c r="AH20">
        <f>14.7139334551514*1</f>
        <v>14.7139334551514</v>
      </c>
      <c r="AI20">
        <f>2.94278669103028*1</f>
        <v>2.94278669103028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2</v>
      </c>
      <c r="AP20">
        <v>3</v>
      </c>
    </row>
    <row r="21" spans="1:42" hidden="1" x14ac:dyDescent="0.2">
      <c r="A21" t="s">
        <v>84</v>
      </c>
      <c r="B21" t="s">
        <v>85</v>
      </c>
      <c r="C21" t="s">
        <v>85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5.6</v>
      </c>
      <c r="AE21">
        <v>60</v>
      </c>
      <c r="AF21">
        <v>11.078824105563969</v>
      </c>
      <c r="AG21">
        <v>17.285982668938079</v>
      </c>
      <c r="AH21">
        <f>14.5436603591866*1</f>
        <v>14.5436603591866</v>
      </c>
      <c r="AI21">
        <f>2.90873206005899*1</f>
        <v>2.9087320600589899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86</v>
      </c>
      <c r="B22" t="s">
        <v>87</v>
      </c>
      <c r="C22" t="s">
        <v>87</v>
      </c>
      <c r="D22" t="s">
        <v>6</v>
      </c>
      <c r="E22">
        <v>0</v>
      </c>
      <c r="F22">
        <v>0</v>
      </c>
      <c r="G22">
        <v>0</v>
      </c>
      <c r="H22">
        <v>1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8.9</v>
      </c>
      <c r="AE22">
        <v>62</v>
      </c>
      <c r="AF22">
        <v>22.661290322580641</v>
      </c>
      <c r="AG22">
        <v>18.163265306122451</v>
      </c>
      <c r="AH22">
        <f>19.4356083708767*1</f>
        <v>19.4356083708767</v>
      </c>
      <c r="AI22">
        <f>3.88712167417534*1</f>
        <v>3.88712167417534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0</v>
      </c>
      <c r="AP22">
        <v>3</v>
      </c>
    </row>
    <row r="23" spans="1:42" hidden="1" x14ac:dyDescent="0.2">
      <c r="A23" t="s">
        <v>88</v>
      </c>
      <c r="B23" t="s">
        <v>89</v>
      </c>
      <c r="C23" t="s">
        <v>88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12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4.7</v>
      </c>
      <c r="AE23">
        <v>64</v>
      </c>
      <c r="AF23">
        <v>18.0224182540443</v>
      </c>
      <c r="AG23">
        <v>17.168291265951279</v>
      </c>
      <c r="AH23">
        <f>17.0903181783196*1</f>
        <v>17.090318178319599</v>
      </c>
      <c r="AI23">
        <f>3.43745066747842*1</f>
        <v>3.4374506674784202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90</v>
      </c>
      <c r="B24" t="s">
        <v>91</v>
      </c>
      <c r="C24" t="s">
        <v>91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6.6</v>
      </c>
      <c r="AE24">
        <v>65</v>
      </c>
      <c r="AF24">
        <v>21.137717191199609</v>
      </c>
      <c r="AG24">
        <v>18.125</v>
      </c>
      <c r="AH24">
        <f>18.8383778969256*1</f>
        <v>18.8383778969256</v>
      </c>
      <c r="AI24">
        <f>3.88421177421533*1</f>
        <v>3.8842117742153301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3</v>
      </c>
      <c r="AP24">
        <v>3</v>
      </c>
    </row>
    <row r="25" spans="1:42" hidden="1" x14ac:dyDescent="0.2">
      <c r="A25" t="s">
        <v>92</v>
      </c>
      <c r="B25" t="s">
        <v>93</v>
      </c>
      <c r="C25" t="s">
        <v>93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5.2</v>
      </c>
      <c r="AE25">
        <v>75</v>
      </c>
      <c r="AF25">
        <v>12.917374017192101</v>
      </c>
      <c r="AG25">
        <v>14.010989010989009</v>
      </c>
      <c r="AH25">
        <f>19.0080810682241*1</f>
        <v>19.008081068224101</v>
      </c>
      <c r="AI25">
        <f>3.3379575922951*1</f>
        <v>3.3379575922950999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94</v>
      </c>
      <c r="B26" t="s">
        <v>95</v>
      </c>
      <c r="C26" t="s">
        <v>95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77</v>
      </c>
      <c r="AF26">
        <v>10.686274509803919</v>
      </c>
      <c r="AG26">
        <v>12.25</v>
      </c>
      <c r="AH26">
        <f>15.6602926178079*1</f>
        <v>15.660292617807899</v>
      </c>
      <c r="AI26">
        <f>3.13205852356158*1</f>
        <v>3.1320585235615801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1</v>
      </c>
      <c r="AP26">
        <v>3</v>
      </c>
    </row>
    <row r="27" spans="1:42" hidden="1" x14ac:dyDescent="0.2">
      <c r="A27" t="s">
        <v>96</v>
      </c>
      <c r="B27" t="s">
        <v>97</v>
      </c>
      <c r="C27" t="s">
        <v>97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4.5999999999999996</v>
      </c>
      <c r="AE27">
        <v>84</v>
      </c>
      <c r="AF27">
        <v>12.83103326002661</v>
      </c>
      <c r="AG27">
        <v>13.95833333333333</v>
      </c>
      <c r="AH27">
        <f>18.8770048908757*1</f>
        <v>18.8770048908757</v>
      </c>
      <c r="AI27">
        <f>3.97785969705206*1</f>
        <v>3.9778596970520601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x14ac:dyDescent="0.2">
      <c r="A28" t="s">
        <v>98</v>
      </c>
      <c r="B28" t="s">
        <v>99</v>
      </c>
      <c r="C28" t="s">
        <v>100</v>
      </c>
      <c r="D28" t="s">
        <v>3</v>
      </c>
      <c r="E28">
        <v>1</v>
      </c>
      <c r="F28">
        <v>0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4.5999999999999996</v>
      </c>
      <c r="AE28">
        <v>89</v>
      </c>
      <c r="AF28">
        <v>20.385617421601889</v>
      </c>
      <c r="AG28">
        <v>17.148177250967191</v>
      </c>
      <c r="AH28">
        <f>30.4849691296594*1</f>
        <v>30.484969129659401</v>
      </c>
      <c r="AI28">
        <f>10.3719129738868*1</f>
        <v>10.371912973886801</v>
      </c>
      <c r="AJ28">
        <v>1</v>
      </c>
      <c r="AK28">
        <v>1</v>
      </c>
      <c r="AL28">
        <v>1</v>
      </c>
      <c r="AN28" t="s">
        <v>21</v>
      </c>
      <c r="AO28">
        <f>SUMPRODUCT(Table1[Selected],Table1[LIV])</f>
        <v>2</v>
      </c>
      <c r="AP28">
        <v>3</v>
      </c>
    </row>
    <row r="29" spans="1:42" hidden="1" x14ac:dyDescent="0.2">
      <c r="A29" t="s">
        <v>101</v>
      </c>
      <c r="B29" t="s">
        <v>102</v>
      </c>
      <c r="C29" t="s">
        <v>102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94</v>
      </c>
      <c r="AF29">
        <v>12.307692307692299</v>
      </c>
      <c r="AG29">
        <v>13.75</v>
      </c>
      <c r="AH29">
        <f>18.071626460677*1</f>
        <v>18.071626460676999</v>
      </c>
      <c r="AI29">
        <f>3.6143252921354*1</f>
        <v>3.6143252921353999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0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95</v>
      </c>
      <c r="AF30">
        <v>10.73298247727476</v>
      </c>
      <c r="AG30">
        <v>12.70833333333333</v>
      </c>
      <c r="AH30">
        <f>15.6890011343731*1</f>
        <v>15.6890011343731</v>
      </c>
      <c r="AI30">
        <f>-0.633735954197661*1</f>
        <v>-0.63373595419766104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1</v>
      </c>
      <c r="AP30">
        <v>3</v>
      </c>
    </row>
    <row r="31" spans="1:42" x14ac:dyDescent="0.2">
      <c r="A31" t="s">
        <v>105</v>
      </c>
      <c r="B31" t="s">
        <v>106</v>
      </c>
      <c r="C31" t="s">
        <v>106</v>
      </c>
      <c r="D31" t="s">
        <v>6</v>
      </c>
      <c r="E31">
        <v>0</v>
      </c>
      <c r="F31">
        <v>0</v>
      </c>
      <c r="G31">
        <v>0</v>
      </c>
      <c r="H31">
        <v>1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7.1</v>
      </c>
      <c r="AE31">
        <v>97</v>
      </c>
      <c r="AF31">
        <v>27.63573713264109</v>
      </c>
      <c r="AG31">
        <v>13.98648648648649</v>
      </c>
      <c r="AH31">
        <f>42.236046962304*1</f>
        <v>42.236046962304002</v>
      </c>
      <c r="AI31">
        <f>9.6207502803797*1</f>
        <v>9.6207502803796991</v>
      </c>
      <c r="AJ31">
        <v>1</v>
      </c>
      <c r="AK31">
        <v>0</v>
      </c>
      <c r="AL31">
        <v>1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107</v>
      </c>
      <c r="B32" t="s">
        <v>108</v>
      </c>
      <c r="C32" t="s">
        <v>108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5.4</v>
      </c>
      <c r="AE32">
        <v>98</v>
      </c>
      <c r="AF32">
        <v>19.102564102564109</v>
      </c>
      <c r="AG32">
        <v>16</v>
      </c>
      <c r="AH32">
        <f>28.5730340624022*1</f>
        <v>28.573034062402201</v>
      </c>
      <c r="AI32">
        <f>5.71460681248045*1</f>
        <v>5.7146068124804499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1</v>
      </c>
      <c r="AP32">
        <v>3</v>
      </c>
    </row>
    <row r="33" spans="1:42" hidden="1" x14ac:dyDescent="0.2">
      <c r="A33" t="s">
        <v>109</v>
      </c>
      <c r="B33" t="s">
        <v>110</v>
      </c>
      <c r="C33" t="s">
        <v>110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13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101</v>
      </c>
      <c r="AF33">
        <v>9.8000000000000007</v>
      </c>
      <c r="AG33">
        <v>10.789473684210529</v>
      </c>
      <c r="AH33">
        <f>14.4051387477134*1</f>
        <v>14.4051387477134</v>
      </c>
      <c r="AI33">
        <f>2.88102774954268*1</f>
        <v>2.8810277495426799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111</v>
      </c>
      <c r="B34" t="s">
        <v>112</v>
      </c>
      <c r="C34" t="s">
        <v>112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13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4.4000000000000004</v>
      </c>
      <c r="AE34">
        <v>102</v>
      </c>
      <c r="AF34">
        <v>13.55976208577213</v>
      </c>
      <c r="AG34">
        <v>10.68181818181818</v>
      </c>
      <c r="AH34">
        <f>20.3486080879279*1</f>
        <v>20.3486080879279</v>
      </c>
      <c r="AI34">
        <f>5.65565561275938*1</f>
        <v>5.6556556127593796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113</v>
      </c>
      <c r="B35" t="s">
        <v>114</v>
      </c>
      <c r="C35" t="s">
        <v>114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5.4</v>
      </c>
      <c r="AE35">
        <v>125</v>
      </c>
      <c r="AF35">
        <v>22.878366542661389</v>
      </c>
      <c r="AG35">
        <v>16.710648150985289</v>
      </c>
      <c r="AH35">
        <f>22.6310031761139*1</f>
        <v>22.6310031761139</v>
      </c>
      <c r="AI35">
        <f>3.61667834751889*1</f>
        <v>3.6166783475188899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2</v>
      </c>
      <c r="AP35">
        <v>3</v>
      </c>
    </row>
    <row r="36" spans="1:42" hidden="1" x14ac:dyDescent="0.2">
      <c r="A36" t="s">
        <v>115</v>
      </c>
      <c r="B36" t="s">
        <v>116</v>
      </c>
      <c r="C36" t="s">
        <v>116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6.8</v>
      </c>
      <c r="AE36">
        <v>127</v>
      </c>
      <c r="AF36">
        <v>24.211764705882349</v>
      </c>
      <c r="AG36">
        <v>21.157059571229961</v>
      </c>
      <c r="AH36">
        <f>26.374734870994*1</f>
        <v>26.374734870994001</v>
      </c>
      <c r="AI36">
        <f>4.39578871575301*1</f>
        <v>4.3957887157530102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1</v>
      </c>
      <c r="AP36">
        <v>3</v>
      </c>
    </row>
    <row r="37" spans="1:42" hidden="1" x14ac:dyDescent="0.2">
      <c r="A37" t="s">
        <v>117</v>
      </c>
      <c r="B37" t="s">
        <v>118</v>
      </c>
      <c r="C37" t="s">
        <v>118</v>
      </c>
      <c r="D37" t="s">
        <v>6</v>
      </c>
      <c r="E37">
        <v>0</v>
      </c>
      <c r="F37">
        <v>0</v>
      </c>
      <c r="G37">
        <v>0</v>
      </c>
      <c r="H37">
        <v>1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5.7</v>
      </c>
      <c r="AE37">
        <v>137</v>
      </c>
      <c r="AF37">
        <v>17.781290543645881</v>
      </c>
      <c r="AG37">
        <v>17.76923076923077</v>
      </c>
      <c r="AH37">
        <f>20.9278806327928*1</f>
        <v>20.9278806327928</v>
      </c>
      <c r="AI37">
        <f>3.1255464833691*1</f>
        <v>3.1255464833690998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1</v>
      </c>
      <c r="AP37">
        <v>3</v>
      </c>
    </row>
    <row r="38" spans="1:42" hidden="1" x14ac:dyDescent="0.2">
      <c r="A38" t="s">
        <v>119</v>
      </c>
      <c r="B38" t="s">
        <v>120</v>
      </c>
      <c r="C38" t="s">
        <v>120</v>
      </c>
      <c r="D38" t="s">
        <v>6</v>
      </c>
      <c r="E38">
        <v>0</v>
      </c>
      <c r="F38">
        <v>0</v>
      </c>
      <c r="G38">
        <v>0</v>
      </c>
      <c r="H38">
        <v>1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140</v>
      </c>
      <c r="AF38">
        <v>14.11805136984537</v>
      </c>
      <c r="AG38">
        <v>18.026785714285712</v>
      </c>
      <c r="AH38">
        <f>19.3524541750461*1</f>
        <v>19.352454175046098</v>
      </c>
      <c r="AI38">
        <f>3.22540902917436*1</f>
        <v>3.2254090291743598</v>
      </c>
      <c r="AJ38">
        <v>1</v>
      </c>
      <c r="AK38">
        <v>0</v>
      </c>
      <c r="AL38">
        <v>0</v>
      </c>
    </row>
    <row r="39" spans="1:42" hidden="1" x14ac:dyDescent="0.2">
      <c r="A39" t="s">
        <v>121</v>
      </c>
      <c r="B39" t="s">
        <v>122</v>
      </c>
      <c r="C39" t="s">
        <v>122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149</v>
      </c>
      <c r="AF39">
        <v>16.47058823529412</v>
      </c>
      <c r="AG39">
        <v>15.41666666666667</v>
      </c>
      <c r="AH39">
        <f>14.5846967869416*1</f>
        <v>14.584696786941601</v>
      </c>
      <c r="AI39">
        <f>2.91693935738833*1</f>
        <v>2.9169393573883302</v>
      </c>
      <c r="AJ39">
        <v>1</v>
      </c>
      <c r="AK39">
        <v>0</v>
      </c>
      <c r="AL39">
        <v>0</v>
      </c>
    </row>
    <row r="40" spans="1:42" hidden="1" x14ac:dyDescent="0.2">
      <c r="A40" t="s">
        <v>123</v>
      </c>
      <c r="B40" t="s">
        <v>124</v>
      </c>
      <c r="C40" t="s">
        <v>124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4.9000000000000004</v>
      </c>
      <c r="AE40">
        <v>159</v>
      </c>
      <c r="AF40">
        <v>10.35027697667244</v>
      </c>
      <c r="AG40">
        <v>12.45</v>
      </c>
      <c r="AH40">
        <f>13.9654298189894*1</f>
        <v>13.965429818989399</v>
      </c>
      <c r="AI40">
        <f>2.72916272672304*1</f>
        <v>2.7291627267230401</v>
      </c>
      <c r="AJ40">
        <v>1</v>
      </c>
      <c r="AK40">
        <v>0</v>
      </c>
      <c r="AL40">
        <v>0</v>
      </c>
    </row>
    <row r="41" spans="1:42" hidden="1" x14ac:dyDescent="0.2">
      <c r="A41" t="s">
        <v>125</v>
      </c>
      <c r="B41" t="s">
        <v>126</v>
      </c>
      <c r="C41" t="s">
        <v>127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6.5</v>
      </c>
      <c r="AE41">
        <v>160</v>
      </c>
      <c r="AF41">
        <v>17.591463414634159</v>
      </c>
      <c r="AG41">
        <v>16.616591960196949</v>
      </c>
      <c r="AH41">
        <f>15.8392676182305*1</f>
        <v>15.839267618230499</v>
      </c>
      <c r="AI41">
        <f>3.16785352376512*1</f>
        <v>3.1678535237651202</v>
      </c>
      <c r="AJ41">
        <v>1</v>
      </c>
      <c r="AK41">
        <v>0</v>
      </c>
      <c r="AL41">
        <v>0</v>
      </c>
    </row>
    <row r="42" spans="1:42" hidden="1" x14ac:dyDescent="0.2">
      <c r="A42" t="s">
        <v>128</v>
      </c>
      <c r="B42" t="s">
        <v>129</v>
      </c>
      <c r="C42" t="s">
        <v>128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5.5</v>
      </c>
      <c r="AE42">
        <v>161</v>
      </c>
      <c r="AF42">
        <v>24.930080068452821</v>
      </c>
      <c r="AG42">
        <v>12.875</v>
      </c>
      <c r="AH42">
        <f>3.89680881128218*1</f>
        <v>3.8968088112821802</v>
      </c>
      <c r="AI42">
        <f>2.22974611309556*1</f>
        <v>2.22974611309556</v>
      </c>
      <c r="AJ42">
        <v>1</v>
      </c>
      <c r="AK42">
        <v>0</v>
      </c>
      <c r="AL42">
        <v>0</v>
      </c>
    </row>
    <row r="43" spans="1:42" hidden="1" x14ac:dyDescent="0.2">
      <c r="A43" t="s">
        <v>130</v>
      </c>
      <c r="B43" t="s">
        <v>131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6.4</v>
      </c>
      <c r="AE43">
        <v>169</v>
      </c>
      <c r="AF43">
        <v>8.3245951047101592</v>
      </c>
      <c r="AG43">
        <v>22.10664993597047</v>
      </c>
      <c r="AH43">
        <f>0*0</f>
        <v>0</v>
      </c>
      <c r="AI43">
        <f>5.8673186479296*0</f>
        <v>0</v>
      </c>
      <c r="AJ43">
        <v>0</v>
      </c>
      <c r="AK43">
        <v>0</v>
      </c>
      <c r="AL43">
        <v>0</v>
      </c>
    </row>
    <row r="44" spans="1:42" hidden="1" x14ac:dyDescent="0.2">
      <c r="A44" t="s">
        <v>132</v>
      </c>
      <c r="B44" t="s">
        <v>133</v>
      </c>
      <c r="C44" t="s">
        <v>133</v>
      </c>
      <c r="D44" t="s">
        <v>3</v>
      </c>
      <c r="E44">
        <v>1</v>
      </c>
      <c r="F44">
        <v>0</v>
      </c>
      <c r="G44">
        <v>0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4.2</v>
      </c>
      <c r="AE44">
        <v>173</v>
      </c>
      <c r="AF44">
        <v>19.05908572521863</v>
      </c>
      <c r="AG44">
        <v>16.17647058823529</v>
      </c>
      <c r="AH44">
        <f>13.986483634858*1</f>
        <v>13.986483634858001</v>
      </c>
      <c r="AI44">
        <f>2.35581928104336*1</f>
        <v>2.35581928104336</v>
      </c>
      <c r="AJ44">
        <v>1</v>
      </c>
      <c r="AK44">
        <v>0</v>
      </c>
      <c r="AL44">
        <v>0</v>
      </c>
    </row>
    <row r="45" spans="1:42" hidden="1" x14ac:dyDescent="0.2">
      <c r="A45" t="s">
        <v>134</v>
      </c>
      <c r="B45" t="s">
        <v>135</v>
      </c>
      <c r="C45" t="s">
        <v>135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5.7</v>
      </c>
      <c r="AE45">
        <v>179</v>
      </c>
      <c r="AF45">
        <v>14.908767772351061</v>
      </c>
      <c r="AG45">
        <v>16.286641386750389</v>
      </c>
      <c r="AH45">
        <f>17.2543712351226*1</f>
        <v>17.254371235122601</v>
      </c>
      <c r="AI45">
        <f>3.34426039191151*1</f>
        <v>3.3442603919115101</v>
      </c>
      <c r="AJ45">
        <v>1</v>
      </c>
      <c r="AK45">
        <v>0</v>
      </c>
      <c r="AL45">
        <v>0</v>
      </c>
    </row>
    <row r="46" spans="1:42" hidden="1" x14ac:dyDescent="0.2">
      <c r="A46" t="s">
        <v>136</v>
      </c>
      <c r="B46" t="s">
        <v>137</v>
      </c>
      <c r="C46" t="s">
        <v>137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4.7</v>
      </c>
      <c r="AE46">
        <v>197</v>
      </c>
      <c r="AF46">
        <v>11.75883834274714</v>
      </c>
      <c r="AG46">
        <v>13.098591549295779</v>
      </c>
      <c r="AH46">
        <f>12.8892162628725*1</f>
        <v>12.8892162628725</v>
      </c>
      <c r="AI46">
        <f>2.46527828887644*1</f>
        <v>2.4652782888764402</v>
      </c>
      <c r="AJ46">
        <v>1</v>
      </c>
      <c r="AK46">
        <v>0</v>
      </c>
      <c r="AL46">
        <v>0</v>
      </c>
    </row>
    <row r="47" spans="1:42" hidden="1" x14ac:dyDescent="0.2">
      <c r="A47" t="s">
        <v>138</v>
      </c>
      <c r="B47" t="s">
        <v>139</v>
      </c>
      <c r="C47" t="s">
        <v>139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4.7</v>
      </c>
      <c r="AE47">
        <v>222</v>
      </c>
      <c r="AF47">
        <v>11.382978723404261</v>
      </c>
      <c r="AG47">
        <v>13.194444444444439</v>
      </c>
      <c r="AH47">
        <f>11.7228407383891*1</f>
        <v>11.722840738389101</v>
      </c>
      <c r="AI47">
        <f>2.34456814767783*1</f>
        <v>2.3445681476778302</v>
      </c>
      <c r="AJ47">
        <v>1</v>
      </c>
      <c r="AK47">
        <v>0</v>
      </c>
      <c r="AL47">
        <v>0</v>
      </c>
    </row>
    <row r="48" spans="1:42" hidden="1" x14ac:dyDescent="0.2">
      <c r="A48" t="s">
        <v>140</v>
      </c>
      <c r="B48" t="s">
        <v>141</v>
      </c>
      <c r="C48" t="s">
        <v>141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5.3</v>
      </c>
      <c r="AE48">
        <v>223</v>
      </c>
      <c r="AF48">
        <v>16.578947368421058</v>
      </c>
      <c r="AG48">
        <v>14.47821132326621</v>
      </c>
      <c r="AH48">
        <f>24.0221173456152*1</f>
        <v>24.0221173456152</v>
      </c>
      <c r="AI48">
        <f>4.81657786529341*1</f>
        <v>4.8165778652934099</v>
      </c>
      <c r="AJ48">
        <v>1</v>
      </c>
      <c r="AK48">
        <v>0</v>
      </c>
      <c r="AL48">
        <v>0</v>
      </c>
    </row>
    <row r="49" spans="1:38" hidden="1" x14ac:dyDescent="0.2">
      <c r="A49" t="s">
        <v>142</v>
      </c>
      <c r="B49" t="s">
        <v>143</v>
      </c>
      <c r="C49" t="s">
        <v>143</v>
      </c>
      <c r="D49" t="s">
        <v>3</v>
      </c>
      <c r="E49">
        <v>1</v>
      </c>
      <c r="F49">
        <v>0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4.5</v>
      </c>
      <c r="AE49">
        <v>224</v>
      </c>
      <c r="AF49">
        <v>12.71858159821924</v>
      </c>
      <c r="AG49">
        <v>12.66666666666667</v>
      </c>
      <c r="AH49">
        <f>16.1419273285056*1</f>
        <v>16.141927328505599</v>
      </c>
      <c r="AI49">
        <f>2.92234210663001*1</f>
        <v>2.9223421066300102</v>
      </c>
      <c r="AJ49">
        <v>1</v>
      </c>
      <c r="AK49">
        <v>0</v>
      </c>
      <c r="AL49">
        <v>0</v>
      </c>
    </row>
    <row r="50" spans="1:38" hidden="1" x14ac:dyDescent="0.2">
      <c r="A50" t="s">
        <v>144</v>
      </c>
      <c r="B50" t="s">
        <v>145</v>
      </c>
      <c r="C50" t="s">
        <v>146</v>
      </c>
      <c r="D50" t="s">
        <v>3</v>
      </c>
      <c r="E50">
        <v>1</v>
      </c>
      <c r="F50">
        <v>0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</v>
      </c>
      <c r="AE50">
        <v>235</v>
      </c>
      <c r="AF50">
        <v>17.72727272727273</v>
      </c>
      <c r="AG50">
        <v>16.185897435897441</v>
      </c>
      <c r="AH50">
        <f>22.3441072440897*1</f>
        <v>22.344107244089699</v>
      </c>
      <c r="AI50">
        <f>4.46882144881794*1</f>
        <v>4.4688214488179403</v>
      </c>
      <c r="AJ50">
        <v>1</v>
      </c>
      <c r="AK50">
        <v>0</v>
      </c>
      <c r="AL50">
        <v>0</v>
      </c>
    </row>
    <row r="51" spans="1:38" hidden="1" x14ac:dyDescent="0.2">
      <c r="A51" t="s">
        <v>147</v>
      </c>
      <c r="B51" t="s">
        <v>148</v>
      </c>
      <c r="C51" t="s">
        <v>148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4.7</v>
      </c>
      <c r="AE51">
        <v>248</v>
      </c>
      <c r="AF51">
        <v>14.02777777777778</v>
      </c>
      <c r="AG51">
        <v>14.56946104294529</v>
      </c>
      <c r="AH51">
        <f>16.3606174470277*1</f>
        <v>16.3606174470277</v>
      </c>
      <c r="AI51">
        <f>3.29387961413801*1</f>
        <v>3.2938796141380098</v>
      </c>
      <c r="AJ51">
        <v>1</v>
      </c>
      <c r="AK51">
        <v>0</v>
      </c>
      <c r="AL51">
        <v>0</v>
      </c>
    </row>
    <row r="52" spans="1:38" hidden="1" x14ac:dyDescent="0.2">
      <c r="A52" t="s">
        <v>149</v>
      </c>
      <c r="B52" t="s">
        <v>150</v>
      </c>
      <c r="C52" t="s">
        <v>150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6.3</v>
      </c>
      <c r="AE52">
        <v>257</v>
      </c>
      <c r="AF52">
        <v>12.83333333333333</v>
      </c>
      <c r="AG52">
        <v>13.369565217391299</v>
      </c>
      <c r="AH52">
        <f>14.9370433496731*1</f>
        <v>14.9370433496731</v>
      </c>
      <c r="AI52">
        <f>2.98740866993463*1</f>
        <v>2.9874086699346298</v>
      </c>
      <c r="AJ52">
        <v>1</v>
      </c>
      <c r="AK52">
        <v>0</v>
      </c>
      <c r="AL52">
        <v>0</v>
      </c>
    </row>
    <row r="53" spans="1:38" hidden="1" x14ac:dyDescent="0.2">
      <c r="A53" t="s">
        <v>151</v>
      </c>
      <c r="B53" t="s">
        <v>152</v>
      </c>
      <c r="C53" t="s">
        <v>153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6.9</v>
      </c>
      <c r="AE53">
        <v>258</v>
      </c>
      <c r="AF53">
        <v>17.368421052631579</v>
      </c>
      <c r="AG53">
        <v>16.607142857142861</v>
      </c>
      <c r="AH53">
        <f>21.3303522761323*1</f>
        <v>21.330352276132299</v>
      </c>
      <c r="AI53">
        <f>4.26607045522646*1</f>
        <v>4.2660704552264601</v>
      </c>
      <c r="AJ53">
        <v>1</v>
      </c>
      <c r="AK53">
        <v>0</v>
      </c>
      <c r="AL53">
        <v>0</v>
      </c>
    </row>
    <row r="54" spans="1:38" x14ac:dyDescent="0.2">
      <c r="A54" t="s">
        <v>258</v>
      </c>
      <c r="B54" t="s">
        <v>259</v>
      </c>
      <c r="C54" t="s">
        <v>259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13.9</v>
      </c>
      <c r="AE54">
        <v>481</v>
      </c>
      <c r="AF54">
        <v>48.130434782608702</v>
      </c>
      <c r="AG54">
        <v>44.999776377086057</v>
      </c>
      <c r="AH54">
        <f>33.6181988554709*0.75</f>
        <v>25.213649141603177</v>
      </c>
      <c r="AI54">
        <f>7.53926703134528*0.75</f>
        <v>5.6544502735089601</v>
      </c>
      <c r="AJ54">
        <v>0.75</v>
      </c>
      <c r="AK54">
        <v>1</v>
      </c>
      <c r="AL54">
        <v>1</v>
      </c>
    </row>
    <row r="55" spans="1:38" x14ac:dyDescent="0.2">
      <c r="A55" t="s">
        <v>232</v>
      </c>
      <c r="B55" t="s">
        <v>233</v>
      </c>
      <c r="C55" t="s">
        <v>232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21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6.3</v>
      </c>
      <c r="AE55">
        <v>410</v>
      </c>
      <c r="AF55">
        <v>23.937500000000011</v>
      </c>
      <c r="AG55">
        <v>20.887286041475591</v>
      </c>
      <c r="AH55">
        <f>24.8431067198039*1</f>
        <v>24.843106719803899</v>
      </c>
      <c r="AI55">
        <f>4.91552312596805*1</f>
        <v>4.9155231259680496</v>
      </c>
      <c r="AJ55">
        <v>1</v>
      </c>
      <c r="AK55">
        <v>1</v>
      </c>
      <c r="AL55">
        <v>1</v>
      </c>
    </row>
    <row r="56" spans="1:38" x14ac:dyDescent="0.2">
      <c r="A56" t="s">
        <v>205</v>
      </c>
      <c r="B56" t="s">
        <v>206</v>
      </c>
      <c r="C56" t="s">
        <v>206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21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8.5</v>
      </c>
      <c r="AE56">
        <v>387</v>
      </c>
      <c r="AF56">
        <v>25.874218961825679</v>
      </c>
      <c r="AG56">
        <v>23.313919870085691</v>
      </c>
      <c r="AH56">
        <f>27.1440755531184*1</f>
        <v>27.144075553118402</v>
      </c>
      <c r="AI56">
        <f>4.86888827477163*1</f>
        <v>4.8688882747716304</v>
      </c>
      <c r="AJ56">
        <v>1</v>
      </c>
      <c r="AK56">
        <v>1</v>
      </c>
      <c r="AL56">
        <v>1</v>
      </c>
    </row>
    <row r="57" spans="1:38" hidden="1" x14ac:dyDescent="0.2">
      <c r="A57" t="s">
        <v>161</v>
      </c>
      <c r="B57" t="s">
        <v>162</v>
      </c>
      <c r="C57" t="s">
        <v>162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4.9000000000000004</v>
      </c>
      <c r="AE57">
        <v>269</v>
      </c>
      <c r="AF57">
        <v>12.545788926530291</v>
      </c>
      <c r="AG57">
        <v>14.107142857142859</v>
      </c>
      <c r="AH57">
        <f>13.8248237876546*1</f>
        <v>13.8248237876546</v>
      </c>
      <c r="AI57">
        <f>-0.660180320633794*1</f>
        <v>-0.66018032063379395</v>
      </c>
      <c r="AJ57">
        <v>1</v>
      </c>
      <c r="AK57">
        <v>0</v>
      </c>
      <c r="AL57">
        <v>0</v>
      </c>
    </row>
    <row r="58" spans="1:38" hidden="1" x14ac:dyDescent="0.2">
      <c r="A58" t="s">
        <v>163</v>
      </c>
      <c r="B58" t="s">
        <v>164</v>
      </c>
      <c r="C58" t="s">
        <v>165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5.4</v>
      </c>
      <c r="AE58">
        <v>287</v>
      </c>
      <c r="AF58">
        <v>13.87283236994222</v>
      </c>
      <c r="AG58">
        <v>14.23357664233577</v>
      </c>
      <c r="AH58">
        <f>14.2379382761514*1</f>
        <v>14.2379382761514</v>
      </c>
      <c r="AI58">
        <f>2.84758765523028*1</f>
        <v>2.8475876552302801</v>
      </c>
      <c r="AJ58">
        <v>1</v>
      </c>
      <c r="AK58">
        <v>0</v>
      </c>
      <c r="AL58">
        <v>0</v>
      </c>
    </row>
    <row r="59" spans="1:38" hidden="1" x14ac:dyDescent="0.2">
      <c r="A59" t="s">
        <v>166</v>
      </c>
      <c r="B59" t="s">
        <v>167</v>
      </c>
      <c r="C59" t="s">
        <v>167</v>
      </c>
      <c r="D59" t="s">
        <v>6</v>
      </c>
      <c r="E59">
        <v>0</v>
      </c>
      <c r="F59">
        <v>0</v>
      </c>
      <c r="G59">
        <v>0</v>
      </c>
      <c r="H59">
        <v>1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5.4</v>
      </c>
      <c r="AE59">
        <v>291</v>
      </c>
      <c r="AF59">
        <v>14.868421052631581</v>
      </c>
      <c r="AG59">
        <v>13.95833333333333</v>
      </c>
      <c r="AH59">
        <f>14.5630984348262*1</f>
        <v>14.5630984348262</v>
      </c>
      <c r="AI59">
        <f>2.91261968696524*1</f>
        <v>2.9126196869652401</v>
      </c>
      <c r="AJ59">
        <v>1</v>
      </c>
      <c r="AK59">
        <v>0</v>
      </c>
      <c r="AL59">
        <v>0</v>
      </c>
    </row>
    <row r="60" spans="1:38" hidden="1" x14ac:dyDescent="0.2">
      <c r="A60" t="s">
        <v>168</v>
      </c>
      <c r="B60" t="s">
        <v>169</v>
      </c>
      <c r="C60" t="s">
        <v>169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</v>
      </c>
      <c r="AE60">
        <v>292</v>
      </c>
      <c r="AF60">
        <v>18.15789473684211</v>
      </c>
      <c r="AG60">
        <v>17.617372555171588</v>
      </c>
      <c r="AH60">
        <f>18.0917310827097*1</f>
        <v>18.0917310827097</v>
      </c>
      <c r="AI60">
        <f>3.61834621654194*1</f>
        <v>3.6183462165419402</v>
      </c>
      <c r="AJ60">
        <v>1</v>
      </c>
      <c r="AK60">
        <v>0</v>
      </c>
      <c r="AL60">
        <v>0</v>
      </c>
    </row>
    <row r="61" spans="1:38" hidden="1" x14ac:dyDescent="0.2">
      <c r="A61" t="s">
        <v>170</v>
      </c>
      <c r="B61" t="s">
        <v>171</v>
      </c>
      <c r="C61" t="s">
        <v>171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4.4000000000000004</v>
      </c>
      <c r="AE61">
        <v>294</v>
      </c>
      <c r="AF61">
        <v>14.7191011235955</v>
      </c>
      <c r="AG61">
        <v>14.5</v>
      </c>
      <c r="AH61">
        <f>14.7831497137736*1</f>
        <v>14.7831497137736</v>
      </c>
      <c r="AI61">
        <f>2.95662994275473*1</f>
        <v>2.9566299427547298</v>
      </c>
      <c r="AJ61">
        <v>1</v>
      </c>
      <c r="AK61">
        <v>0</v>
      </c>
      <c r="AL61">
        <v>0</v>
      </c>
    </row>
    <row r="62" spans="1:38" hidden="1" x14ac:dyDescent="0.2">
      <c r="A62" t="s">
        <v>172</v>
      </c>
      <c r="B62" t="s">
        <v>173</v>
      </c>
      <c r="C62" t="s">
        <v>174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4.7</v>
      </c>
      <c r="AE62">
        <v>297</v>
      </c>
      <c r="AF62">
        <v>13.26923076923077</v>
      </c>
      <c r="AG62">
        <v>14.0625</v>
      </c>
      <c r="AH62">
        <f>13.8592463319468*1</f>
        <v>13.8592463319468</v>
      </c>
      <c r="AI62">
        <f>2.77184926638937*1</f>
        <v>2.7718492663893701</v>
      </c>
      <c r="AJ62">
        <v>1</v>
      </c>
      <c r="AK62">
        <v>0</v>
      </c>
      <c r="AL62">
        <v>0</v>
      </c>
    </row>
    <row r="63" spans="1:38" hidden="1" x14ac:dyDescent="0.2">
      <c r="A63" t="s">
        <v>175</v>
      </c>
      <c r="B63" t="s">
        <v>176</v>
      </c>
      <c r="C63" t="s">
        <v>176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4.9000000000000004</v>
      </c>
      <c r="AE63">
        <v>298</v>
      </c>
      <c r="AF63">
        <v>11.16438356164385</v>
      </c>
      <c r="AG63">
        <v>12.32456140350877</v>
      </c>
      <c r="AH63">
        <f>11.9255203062547*1</f>
        <v>11.9255203062547</v>
      </c>
      <c r="AI63">
        <f>2.38510406125094*1</f>
        <v>2.38510406125094</v>
      </c>
      <c r="AJ63">
        <v>1</v>
      </c>
      <c r="AK63">
        <v>0</v>
      </c>
      <c r="AL63">
        <v>0</v>
      </c>
    </row>
    <row r="64" spans="1:38" hidden="1" x14ac:dyDescent="0.2">
      <c r="A64" t="s">
        <v>177</v>
      </c>
      <c r="B64" t="s">
        <v>178</v>
      </c>
      <c r="C64" t="s">
        <v>178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4.9000000000000004</v>
      </c>
      <c r="AE64">
        <v>306</v>
      </c>
      <c r="AF64">
        <v>13.33333333333332</v>
      </c>
      <c r="AG64">
        <v>14.008264462809921</v>
      </c>
      <c r="AH64">
        <f>13.8605663027331*1</f>
        <v>13.860566302733099</v>
      </c>
      <c r="AI64">
        <f>2.77211326054663*1</f>
        <v>2.7721132605466301</v>
      </c>
      <c r="AJ64">
        <v>1</v>
      </c>
      <c r="AK64">
        <v>0</v>
      </c>
      <c r="AL64">
        <v>0</v>
      </c>
    </row>
    <row r="65" spans="1:38" hidden="1" x14ac:dyDescent="0.2">
      <c r="A65" t="s">
        <v>179</v>
      </c>
      <c r="B65" t="s">
        <v>180</v>
      </c>
      <c r="C65" t="s">
        <v>180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4.0999999999999996</v>
      </c>
      <c r="AE65">
        <v>319</v>
      </c>
      <c r="AF65">
        <v>12.321428571428569</v>
      </c>
      <c r="AG65">
        <v>13.11174217059664</v>
      </c>
      <c r="AH65">
        <f>17.5674999722881*1</f>
        <v>17.5674999722881</v>
      </c>
      <c r="AI65">
        <f>3.66962748198172*1</f>
        <v>3.6696274819817201</v>
      </c>
      <c r="AJ65">
        <v>1</v>
      </c>
      <c r="AK65">
        <v>0</v>
      </c>
      <c r="AL65">
        <v>0</v>
      </c>
    </row>
    <row r="66" spans="1:38" hidden="1" x14ac:dyDescent="0.2">
      <c r="A66" t="s">
        <v>181</v>
      </c>
      <c r="B66" t="s">
        <v>182</v>
      </c>
      <c r="C66" t="s">
        <v>183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323</v>
      </c>
      <c r="AF66">
        <v>16.15151515151517</v>
      </c>
      <c r="AG66">
        <v>14.732824427480921</v>
      </c>
      <c r="AH66">
        <f>16.385058902516*1</f>
        <v>16.385058902516001</v>
      </c>
      <c r="AI66">
        <f>3.27701178050321*1</f>
        <v>3.27701178050321</v>
      </c>
      <c r="AJ66">
        <v>1</v>
      </c>
      <c r="AK66">
        <v>0</v>
      </c>
      <c r="AL66">
        <v>0</v>
      </c>
    </row>
    <row r="67" spans="1:38" hidden="1" x14ac:dyDescent="0.2">
      <c r="A67" t="s">
        <v>142</v>
      </c>
      <c r="B67" t="s">
        <v>184</v>
      </c>
      <c r="C67" t="s">
        <v>184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4.9000000000000004</v>
      </c>
      <c r="AE67">
        <v>324</v>
      </c>
      <c r="AF67">
        <v>10.831793485886349</v>
      </c>
      <c r="AG67">
        <v>12.241379310344829</v>
      </c>
      <c r="AH67">
        <f>17.3781939343762*1</f>
        <v>17.378193934376199</v>
      </c>
      <c r="AI67">
        <f>3.60966696576504*1</f>
        <v>3.6096669657650402</v>
      </c>
      <c r="AJ67">
        <v>1</v>
      </c>
      <c r="AK67">
        <v>0</v>
      </c>
      <c r="AL67">
        <v>0</v>
      </c>
    </row>
    <row r="68" spans="1:38" hidden="1" x14ac:dyDescent="0.2">
      <c r="A68" t="s">
        <v>185</v>
      </c>
      <c r="B68" t="s">
        <v>186</v>
      </c>
      <c r="C68" t="s">
        <v>186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5.4</v>
      </c>
      <c r="AE68">
        <v>331</v>
      </c>
      <c r="AF68">
        <v>15.81920903954801</v>
      </c>
      <c r="AG68">
        <v>14.571428571428569</v>
      </c>
      <c r="AH68">
        <f>16.4314995381908*1</f>
        <v>16.431499538190799</v>
      </c>
      <c r="AI68">
        <f>3.28629990763816*1</f>
        <v>3.2862999076381598</v>
      </c>
      <c r="AJ68">
        <v>1</v>
      </c>
      <c r="AK68">
        <v>0</v>
      </c>
      <c r="AL68">
        <v>0</v>
      </c>
    </row>
    <row r="69" spans="1:38" x14ac:dyDescent="0.2">
      <c r="A69" t="s">
        <v>332</v>
      </c>
      <c r="B69" t="s">
        <v>333</v>
      </c>
      <c r="C69" t="s">
        <v>333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8.1</v>
      </c>
      <c r="AE69">
        <v>718</v>
      </c>
      <c r="AF69">
        <v>22.553191489361701</v>
      </c>
      <c r="AG69">
        <v>21.383240988093181</v>
      </c>
      <c r="AH69">
        <f>23.9363354381187*1</f>
        <v>23.9363354381187</v>
      </c>
      <c r="AI69">
        <f>4.78726708763604*1</f>
        <v>4.7872670876360397</v>
      </c>
      <c r="AJ69">
        <v>1</v>
      </c>
      <c r="AK69">
        <v>1</v>
      </c>
      <c r="AL69">
        <v>1</v>
      </c>
    </row>
    <row r="70" spans="1:38" hidden="1" x14ac:dyDescent="0.2">
      <c r="A70" t="s">
        <v>189</v>
      </c>
      <c r="B70" t="s">
        <v>190</v>
      </c>
      <c r="C70" t="s">
        <v>190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4.7</v>
      </c>
      <c r="AE70">
        <v>333</v>
      </c>
      <c r="AF70">
        <v>11.81187614012466</v>
      </c>
      <c r="AG70">
        <v>13.09210526315789</v>
      </c>
      <c r="AH70">
        <f>18.2553439784068*1</f>
        <v>18.255343978406799</v>
      </c>
      <c r="AI70">
        <f>3.86171633644653*1</f>
        <v>3.8617163364465301</v>
      </c>
      <c r="AJ70">
        <v>1</v>
      </c>
      <c r="AK70">
        <v>0</v>
      </c>
      <c r="AL70">
        <v>0</v>
      </c>
    </row>
    <row r="71" spans="1:38" hidden="1" x14ac:dyDescent="0.2">
      <c r="A71" t="s">
        <v>163</v>
      </c>
      <c r="B71" t="s">
        <v>191</v>
      </c>
      <c r="C71" t="s">
        <v>191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</v>
      </c>
      <c r="AE71">
        <v>335</v>
      </c>
      <c r="AF71">
        <v>17.720207253886031</v>
      </c>
      <c r="AG71">
        <v>16.209150326797381</v>
      </c>
      <c r="AH71">
        <f>18.0993625857551*1</f>
        <v>18.099362585755099</v>
      </c>
      <c r="AI71">
        <f>3.61987251715103*1</f>
        <v>3.61987251715103</v>
      </c>
      <c r="AJ71">
        <v>1</v>
      </c>
      <c r="AK71">
        <v>0</v>
      </c>
      <c r="AL71">
        <v>0</v>
      </c>
    </row>
    <row r="72" spans="1:38" hidden="1" x14ac:dyDescent="0.2">
      <c r="A72" t="s">
        <v>142</v>
      </c>
      <c r="B72" t="s">
        <v>192</v>
      </c>
      <c r="C72" t="s">
        <v>192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</v>
      </c>
      <c r="AE72">
        <v>337</v>
      </c>
      <c r="AF72">
        <v>15.39357549716904</v>
      </c>
      <c r="AG72">
        <v>14.661290322580641</v>
      </c>
      <c r="AH72">
        <f>17.2936532929492*1</f>
        <v>17.293653292949202</v>
      </c>
      <c r="AI72">
        <f>2.72413735891777*1</f>
        <v>2.72413735891777</v>
      </c>
      <c r="AJ72">
        <v>1</v>
      </c>
      <c r="AK72">
        <v>0</v>
      </c>
      <c r="AL72">
        <v>0</v>
      </c>
    </row>
    <row r="73" spans="1:38" hidden="1" x14ac:dyDescent="0.2">
      <c r="A73" t="s">
        <v>193</v>
      </c>
      <c r="B73" t="s">
        <v>194</v>
      </c>
      <c r="C73" t="s">
        <v>194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5.5</v>
      </c>
      <c r="AE73">
        <v>346</v>
      </c>
      <c r="AF73">
        <v>19.698275862068961</v>
      </c>
      <c r="AG73">
        <v>19.818116754227731</v>
      </c>
      <c r="AH73">
        <f>24.9900735377387*1</f>
        <v>24.990073537738699</v>
      </c>
      <c r="AI73">
        <f>4.99801470754407*1</f>
        <v>4.99801470754407</v>
      </c>
      <c r="AJ73">
        <v>1</v>
      </c>
      <c r="AK73">
        <v>0</v>
      </c>
      <c r="AL73">
        <v>0</v>
      </c>
    </row>
    <row r="74" spans="1:38" hidden="1" x14ac:dyDescent="0.2">
      <c r="A74" t="s">
        <v>195</v>
      </c>
      <c r="B74" t="s">
        <v>196</v>
      </c>
      <c r="C74" t="s">
        <v>196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351</v>
      </c>
      <c r="AF74">
        <v>13.690476190476179</v>
      </c>
      <c r="AG74">
        <v>13.928571428571431</v>
      </c>
      <c r="AH74">
        <f>13.7852488740119*1</f>
        <v>13.7852488740119</v>
      </c>
      <c r="AI74">
        <f>2.75704977480238*1</f>
        <v>2.7570497748023799</v>
      </c>
      <c r="AJ74">
        <v>1</v>
      </c>
      <c r="AK74">
        <v>0</v>
      </c>
      <c r="AL74">
        <v>0</v>
      </c>
    </row>
    <row r="75" spans="1:38" hidden="1" x14ac:dyDescent="0.2">
      <c r="A75" t="s">
        <v>197</v>
      </c>
      <c r="B75" t="s">
        <v>198</v>
      </c>
      <c r="C75" t="s">
        <v>198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4.9000000000000004</v>
      </c>
      <c r="AE75">
        <v>353</v>
      </c>
      <c r="AF75">
        <v>10.9498845131629</v>
      </c>
      <c r="AG75">
        <v>12.359154929577461</v>
      </c>
      <c r="AH75">
        <f>12.4105036842507*1</f>
        <v>12.410503684250701</v>
      </c>
      <c r="AI75">
        <f>2.48623453105653*1</f>
        <v>2.4862345310565299</v>
      </c>
      <c r="AJ75">
        <v>1</v>
      </c>
      <c r="AK75">
        <v>0</v>
      </c>
      <c r="AL75">
        <v>0</v>
      </c>
    </row>
    <row r="76" spans="1:38" hidden="1" x14ac:dyDescent="0.2">
      <c r="A76" t="s">
        <v>199</v>
      </c>
      <c r="B76" t="s">
        <v>200</v>
      </c>
      <c r="C76" t="s">
        <v>200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5.3</v>
      </c>
      <c r="AE76">
        <v>355</v>
      </c>
      <c r="AF76">
        <v>12.53662665686473</v>
      </c>
      <c r="AG76">
        <v>13.59756097560976</v>
      </c>
      <c r="AH76">
        <f>13.5811043115057*1</f>
        <v>13.581104311505699</v>
      </c>
      <c r="AI76">
        <f>3.1148127585095*1</f>
        <v>3.1148127585094998</v>
      </c>
      <c r="AJ76">
        <v>1</v>
      </c>
      <c r="AK76">
        <v>0</v>
      </c>
      <c r="AL76">
        <v>0</v>
      </c>
    </row>
    <row r="77" spans="1:38" hidden="1" x14ac:dyDescent="0.2">
      <c r="A77" t="s">
        <v>201</v>
      </c>
      <c r="B77" t="s">
        <v>202</v>
      </c>
      <c r="C77" t="s">
        <v>201</v>
      </c>
      <c r="D77" t="s">
        <v>6</v>
      </c>
      <c r="E77">
        <v>0</v>
      </c>
      <c r="F77">
        <v>0</v>
      </c>
      <c r="G77">
        <v>0</v>
      </c>
      <c r="H77">
        <v>1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5.2</v>
      </c>
      <c r="AE77">
        <v>374</v>
      </c>
      <c r="AF77">
        <v>15.56277125070392</v>
      </c>
      <c r="AG77">
        <v>20.294337414791329</v>
      </c>
      <c r="AH77">
        <f>20.7388984777859*1</f>
        <v>20.738898477785899</v>
      </c>
      <c r="AI77">
        <f>4.26290324598106*1</f>
        <v>4.2629032459810601</v>
      </c>
      <c r="AJ77">
        <v>1</v>
      </c>
      <c r="AK77">
        <v>0</v>
      </c>
      <c r="AL77">
        <v>0</v>
      </c>
    </row>
    <row r="78" spans="1:38" hidden="1" x14ac:dyDescent="0.2">
      <c r="A78" t="s">
        <v>203</v>
      </c>
      <c r="B78" t="s">
        <v>204</v>
      </c>
      <c r="C78" t="s">
        <v>203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5.3</v>
      </c>
      <c r="AE78">
        <v>375</v>
      </c>
      <c r="AF78">
        <v>21.17476070955092</v>
      </c>
      <c r="AG78">
        <v>16.81818181818182</v>
      </c>
      <c r="AH78">
        <f>15.9530823453964*1</f>
        <v>15.9530823453964</v>
      </c>
      <c r="AI78">
        <f>3.10043636184436*1</f>
        <v>3.10043636184436</v>
      </c>
      <c r="AJ78">
        <v>1</v>
      </c>
      <c r="AK78">
        <v>0</v>
      </c>
      <c r="AL78">
        <v>0</v>
      </c>
    </row>
    <row r="79" spans="1:38" x14ac:dyDescent="0.2">
      <c r="A79" t="s">
        <v>154</v>
      </c>
      <c r="B79" t="s">
        <v>155</v>
      </c>
      <c r="C79" t="s">
        <v>155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7.1</v>
      </c>
      <c r="AE79">
        <v>263</v>
      </c>
      <c r="AF79">
        <v>22.108379718513561</v>
      </c>
      <c r="AG79">
        <v>29.343064828839189</v>
      </c>
      <c r="AH79">
        <f>21.0012363003839*1</f>
        <v>21.001236300383901</v>
      </c>
      <c r="AI79">
        <f>4.20023732874159*1</f>
        <v>4.2002373287415899</v>
      </c>
      <c r="AJ79">
        <v>1</v>
      </c>
      <c r="AK79">
        <v>1</v>
      </c>
      <c r="AL79">
        <v>1</v>
      </c>
    </row>
    <row r="80" spans="1:38" hidden="1" x14ac:dyDescent="0.2">
      <c r="A80" t="s">
        <v>207</v>
      </c>
      <c r="B80" t="s">
        <v>208</v>
      </c>
      <c r="C80" t="s">
        <v>209</v>
      </c>
      <c r="D80" t="s">
        <v>3</v>
      </c>
      <c r="E80">
        <v>1</v>
      </c>
      <c r="F80">
        <v>0</v>
      </c>
      <c r="G80">
        <v>0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5.7</v>
      </c>
      <c r="AE80">
        <v>388</v>
      </c>
      <c r="AF80">
        <v>22.41487364008205</v>
      </c>
      <c r="AG80">
        <v>20.72283727991076</v>
      </c>
      <c r="AH80">
        <f>23.7226923942743*1</f>
        <v>23.722692394274301</v>
      </c>
      <c r="AI80">
        <f>4.79314248045108*1</f>
        <v>4.7931424804510803</v>
      </c>
      <c r="AJ80">
        <v>1</v>
      </c>
      <c r="AK80">
        <v>0</v>
      </c>
      <c r="AL80">
        <v>0</v>
      </c>
    </row>
    <row r="81" spans="1:38" hidden="1" x14ac:dyDescent="0.2">
      <c r="A81" t="s">
        <v>210</v>
      </c>
      <c r="B81" t="s">
        <v>211</v>
      </c>
      <c r="C81" t="s">
        <v>210</v>
      </c>
      <c r="D81" t="s">
        <v>6</v>
      </c>
      <c r="E81">
        <v>0</v>
      </c>
      <c r="F81">
        <v>0</v>
      </c>
      <c r="G81">
        <v>0</v>
      </c>
      <c r="H81">
        <v>1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7.4</v>
      </c>
      <c r="AE81">
        <v>390</v>
      </c>
      <c r="AF81">
        <v>19.78723404255318</v>
      </c>
      <c r="AG81">
        <v>18.555775281858239</v>
      </c>
      <c r="AH81">
        <f>21.0453131903106*1</f>
        <v>21.045313190310601</v>
      </c>
      <c r="AI81">
        <f>4.17934863507329*1</f>
        <v>4.17934863507329</v>
      </c>
      <c r="AJ81">
        <v>1</v>
      </c>
      <c r="AK81">
        <v>0</v>
      </c>
      <c r="AL81">
        <v>0</v>
      </c>
    </row>
    <row r="82" spans="1:38" hidden="1" x14ac:dyDescent="0.2">
      <c r="A82" t="s">
        <v>212</v>
      </c>
      <c r="B82" t="s">
        <v>213</v>
      </c>
      <c r="C82" t="s">
        <v>214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7.9</v>
      </c>
      <c r="AE82">
        <v>391</v>
      </c>
      <c r="AF82">
        <v>21.32352941176471</v>
      </c>
      <c r="AG82">
        <v>18.070964476934741</v>
      </c>
      <c r="AH82">
        <f>21.9187597991911*1</f>
        <v>21.918759799191101</v>
      </c>
      <c r="AI82">
        <f>4.38375194969305*1</f>
        <v>4.3837519496930497</v>
      </c>
      <c r="AJ82">
        <v>1</v>
      </c>
      <c r="AK82">
        <v>0</v>
      </c>
      <c r="AL82">
        <v>0</v>
      </c>
    </row>
    <row r="83" spans="1:38" hidden="1" x14ac:dyDescent="0.2">
      <c r="A83" t="s">
        <v>215</v>
      </c>
      <c r="B83" t="s">
        <v>216</v>
      </c>
      <c r="C83" t="s">
        <v>216</v>
      </c>
      <c r="D83" t="s">
        <v>6</v>
      </c>
      <c r="E83">
        <v>0</v>
      </c>
      <c r="F83">
        <v>0</v>
      </c>
      <c r="G83">
        <v>0</v>
      </c>
      <c r="H83">
        <v>1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7.2</v>
      </c>
      <c r="AE83">
        <v>394</v>
      </c>
      <c r="AF83">
        <v>16.621621621621632</v>
      </c>
      <c r="AG83">
        <v>15.803571428571431</v>
      </c>
      <c r="AH83">
        <f>17.7639018258347*1</f>
        <v>17.763901825834701</v>
      </c>
      <c r="AI83">
        <f>3.55278036516695*1</f>
        <v>3.5527803651669498</v>
      </c>
      <c r="AJ83">
        <v>1</v>
      </c>
      <c r="AK83">
        <v>0</v>
      </c>
      <c r="AL83">
        <v>0</v>
      </c>
    </row>
    <row r="84" spans="1:38" hidden="1" x14ac:dyDescent="0.2">
      <c r="A84" t="s">
        <v>217</v>
      </c>
      <c r="B84" t="s">
        <v>218</v>
      </c>
      <c r="C84" t="s">
        <v>218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</v>
      </c>
      <c r="AE84">
        <v>395</v>
      </c>
      <c r="AF84">
        <v>10.91844758221818</v>
      </c>
      <c r="AG84">
        <v>11.92307692307692</v>
      </c>
      <c r="AH84">
        <f>12.277843116505*1</f>
        <v>12.277843116505</v>
      </c>
      <c r="AI84">
        <f>0.604562061533362*1</f>
        <v>0.60456206153336201</v>
      </c>
      <c r="AJ84">
        <v>1</v>
      </c>
      <c r="AK84">
        <v>0</v>
      </c>
      <c r="AL84">
        <v>0</v>
      </c>
    </row>
    <row r="85" spans="1:38" hidden="1" x14ac:dyDescent="0.2">
      <c r="A85" t="s">
        <v>219</v>
      </c>
      <c r="B85" t="s">
        <v>220</v>
      </c>
      <c r="C85" t="s">
        <v>220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4.9000000000000004</v>
      </c>
      <c r="AE85">
        <v>397</v>
      </c>
      <c r="AF85">
        <v>11.30136986301371</v>
      </c>
      <c r="AG85">
        <v>12.5</v>
      </c>
      <c r="AH85">
        <f>12.7711504339965*1</f>
        <v>12.7711504339965</v>
      </c>
      <c r="AI85">
        <f>2.55423008679931*1</f>
        <v>2.55423008679931</v>
      </c>
      <c r="AJ85">
        <v>1</v>
      </c>
      <c r="AK85">
        <v>0</v>
      </c>
      <c r="AL85">
        <v>0</v>
      </c>
    </row>
    <row r="86" spans="1:38" hidden="1" x14ac:dyDescent="0.2">
      <c r="A86" t="s">
        <v>221</v>
      </c>
      <c r="B86" t="s">
        <v>222</v>
      </c>
      <c r="C86" t="s">
        <v>222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4.9000000000000004</v>
      </c>
      <c r="AE86">
        <v>399</v>
      </c>
      <c r="AF86">
        <v>14.761904761904759</v>
      </c>
      <c r="AG86">
        <v>14.0625</v>
      </c>
      <c r="AH86">
        <f>15.7870913046392*1</f>
        <v>15.787091304639199</v>
      </c>
      <c r="AI86">
        <f>3.15741826092785*1</f>
        <v>3.1574182609278498</v>
      </c>
      <c r="AJ86">
        <v>1</v>
      </c>
      <c r="AK86">
        <v>0</v>
      </c>
      <c r="AL86">
        <v>0</v>
      </c>
    </row>
    <row r="87" spans="1:38" hidden="1" x14ac:dyDescent="0.2">
      <c r="A87" t="s">
        <v>223</v>
      </c>
      <c r="B87" t="s">
        <v>224</v>
      </c>
      <c r="C87" t="s">
        <v>225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7.4</v>
      </c>
      <c r="AE87">
        <v>400</v>
      </c>
      <c r="AF87">
        <v>16.086956521739129</v>
      </c>
      <c r="AG87">
        <v>16.879011876980542</v>
      </c>
      <c r="AH87">
        <f>17.8180550201391*1</f>
        <v>17.818055020139099</v>
      </c>
      <c r="AI87">
        <f>3.56361104263981*1</f>
        <v>3.5636110426398102</v>
      </c>
      <c r="AJ87">
        <v>1</v>
      </c>
      <c r="AK87">
        <v>0</v>
      </c>
      <c r="AL87">
        <v>0</v>
      </c>
    </row>
    <row r="88" spans="1:38" hidden="1" x14ac:dyDescent="0.2">
      <c r="A88" t="s">
        <v>226</v>
      </c>
      <c r="B88" t="s">
        <v>227</v>
      </c>
      <c r="C88" t="s">
        <v>227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5.8</v>
      </c>
      <c r="AE88">
        <v>401</v>
      </c>
      <c r="AF88">
        <v>14.19047619047619</v>
      </c>
      <c r="AG88">
        <v>14.487951807228921</v>
      </c>
      <c r="AH88">
        <f>15.5590298072673*1</f>
        <v>15.559029807267301</v>
      </c>
      <c r="AI88">
        <f>3.11180596145347*1</f>
        <v>3.1118059614534701</v>
      </c>
      <c r="AJ88">
        <v>1</v>
      </c>
      <c r="AK88">
        <v>0</v>
      </c>
      <c r="AL88">
        <v>0</v>
      </c>
    </row>
    <row r="89" spans="1:38" hidden="1" x14ac:dyDescent="0.2">
      <c r="A89" t="s">
        <v>228</v>
      </c>
      <c r="B89" t="s">
        <v>229</v>
      </c>
      <c r="C89" t="s">
        <v>229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13.1</v>
      </c>
      <c r="AE89">
        <v>405</v>
      </c>
      <c r="AF89">
        <v>34.687499999999993</v>
      </c>
      <c r="AG89">
        <v>34.055626613786067</v>
      </c>
      <c r="AH89">
        <f>0*0</f>
        <v>0</v>
      </c>
      <c r="AI89">
        <f>7.4992071223377*0</f>
        <v>0</v>
      </c>
      <c r="AJ89">
        <v>0</v>
      </c>
      <c r="AK89">
        <v>0</v>
      </c>
      <c r="AL89">
        <v>0</v>
      </c>
    </row>
    <row r="90" spans="1:38" hidden="1" x14ac:dyDescent="0.2">
      <c r="A90" t="s">
        <v>230</v>
      </c>
      <c r="B90" t="s">
        <v>231</v>
      </c>
      <c r="C90" t="s">
        <v>231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7.1</v>
      </c>
      <c r="AE90">
        <v>406</v>
      </c>
      <c r="AF90">
        <v>18.25</v>
      </c>
      <c r="AG90">
        <v>19.46175860624016</v>
      </c>
      <c r="AH90">
        <f>20.3375695374355*1</f>
        <v>20.337569537435499</v>
      </c>
      <c r="AI90">
        <f>4.067035945331*1</f>
        <v>4.0670359453309999</v>
      </c>
      <c r="AJ90">
        <v>1</v>
      </c>
      <c r="AK90">
        <v>0</v>
      </c>
      <c r="AL90">
        <v>0</v>
      </c>
    </row>
    <row r="91" spans="1:38" x14ac:dyDescent="0.2">
      <c r="A91" t="s">
        <v>271</v>
      </c>
      <c r="B91" t="s">
        <v>283</v>
      </c>
      <c r="C91" t="s">
        <v>283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25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6.1</v>
      </c>
      <c r="AE91">
        <v>551</v>
      </c>
      <c r="AF91">
        <v>23.878929009809561</v>
      </c>
      <c r="AG91">
        <v>13.1</v>
      </c>
      <c r="AH91">
        <f>20.247206036544*1</f>
        <v>20.247206036544</v>
      </c>
      <c r="AI91">
        <f>4.0494412073088*1</f>
        <v>4.0494412073088002</v>
      </c>
      <c r="AJ91">
        <v>1</v>
      </c>
      <c r="AK91">
        <v>1</v>
      </c>
      <c r="AL91">
        <v>1</v>
      </c>
    </row>
    <row r="92" spans="1:38" hidden="1" x14ac:dyDescent="0.2">
      <c r="A92" t="s">
        <v>234</v>
      </c>
      <c r="B92" t="s">
        <v>235</v>
      </c>
      <c r="C92" t="s">
        <v>235</v>
      </c>
      <c r="D92" t="s">
        <v>6</v>
      </c>
      <c r="E92">
        <v>0</v>
      </c>
      <c r="F92">
        <v>0</v>
      </c>
      <c r="G92">
        <v>0</v>
      </c>
      <c r="H92">
        <v>1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4.8</v>
      </c>
      <c r="AE92">
        <v>426</v>
      </c>
      <c r="AF92">
        <v>13.42105263157895</v>
      </c>
      <c r="AG92">
        <v>13.21428571428571</v>
      </c>
      <c r="AH92">
        <f>16.1510655185877*1</f>
        <v>16.1510655185877</v>
      </c>
      <c r="AI92">
        <f>3.23021310371755*1</f>
        <v>3.2302131037175501</v>
      </c>
      <c r="AJ92">
        <v>1</v>
      </c>
      <c r="AK92">
        <v>0</v>
      </c>
      <c r="AL92">
        <v>0</v>
      </c>
    </row>
    <row r="93" spans="1:38" hidden="1" x14ac:dyDescent="0.2">
      <c r="A93" t="s">
        <v>236</v>
      </c>
      <c r="B93" t="s">
        <v>237</v>
      </c>
      <c r="C93" t="s">
        <v>237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4.5</v>
      </c>
      <c r="AE93">
        <v>433</v>
      </c>
      <c r="AF93">
        <v>34.317715078119178</v>
      </c>
      <c r="AG93">
        <v>12.30769230769231</v>
      </c>
      <c r="AH93">
        <f>28.0589039365354*1</f>
        <v>28.058903936535401</v>
      </c>
      <c r="AI93">
        <f>6.24693096646983*1</f>
        <v>6.2469309664698303</v>
      </c>
      <c r="AJ93">
        <v>1</v>
      </c>
      <c r="AK93">
        <v>0</v>
      </c>
      <c r="AL93">
        <v>0</v>
      </c>
    </row>
    <row r="94" spans="1:38" hidden="1" x14ac:dyDescent="0.2">
      <c r="A94" t="s">
        <v>238</v>
      </c>
      <c r="B94" t="s">
        <v>239</v>
      </c>
      <c r="C94" t="s">
        <v>239</v>
      </c>
      <c r="D94" t="s">
        <v>6</v>
      </c>
      <c r="E94">
        <v>0</v>
      </c>
      <c r="F94">
        <v>0</v>
      </c>
      <c r="G94">
        <v>0</v>
      </c>
      <c r="H94">
        <v>1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</v>
      </c>
      <c r="AE94">
        <v>438</v>
      </c>
      <c r="AF94">
        <v>16.31578947368422</v>
      </c>
      <c r="AG94">
        <v>15.53571428571429</v>
      </c>
      <c r="AH94">
        <f>19.308770626222*1</f>
        <v>19.308770626222</v>
      </c>
      <c r="AI94">
        <f>3.86175412524441*1</f>
        <v>3.8617541252444099</v>
      </c>
      <c r="AJ94">
        <v>1</v>
      </c>
      <c r="AK94">
        <v>0</v>
      </c>
      <c r="AL94">
        <v>0</v>
      </c>
    </row>
    <row r="95" spans="1:38" hidden="1" x14ac:dyDescent="0.2">
      <c r="A95" t="s">
        <v>240</v>
      </c>
      <c r="B95" t="s">
        <v>241</v>
      </c>
      <c r="C95" t="s">
        <v>241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</v>
      </c>
      <c r="AE95">
        <v>459</v>
      </c>
      <c r="AF95">
        <v>12.10251966896014</v>
      </c>
      <c r="AG95">
        <v>12.678571428571431</v>
      </c>
      <c r="AH95">
        <f>15.0342770660858*1</f>
        <v>15.034277066085799</v>
      </c>
      <c r="AI95">
        <f>3.00930578031771*1</f>
        <v>3.0093057803177099</v>
      </c>
      <c r="AJ95">
        <v>1</v>
      </c>
      <c r="AK95">
        <v>0</v>
      </c>
      <c r="AL95">
        <v>0</v>
      </c>
    </row>
    <row r="96" spans="1:38" hidden="1" x14ac:dyDescent="0.2">
      <c r="A96" t="s">
        <v>242</v>
      </c>
      <c r="B96" t="s">
        <v>243</v>
      </c>
      <c r="C96" t="s">
        <v>243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4.9000000000000004</v>
      </c>
      <c r="AE96">
        <v>460</v>
      </c>
      <c r="AF96">
        <v>14.738452560175229</v>
      </c>
      <c r="AG96">
        <v>14.417808219178079</v>
      </c>
      <c r="AH96">
        <f>17.6787648441873*1</f>
        <v>17.678764844187299</v>
      </c>
      <c r="AI96">
        <f>4.16899775121352*1</f>
        <v>4.1689977512135199</v>
      </c>
      <c r="AJ96">
        <v>1</v>
      </c>
      <c r="AK96">
        <v>0</v>
      </c>
      <c r="AL96">
        <v>0</v>
      </c>
    </row>
    <row r="97" spans="1:38" hidden="1" x14ac:dyDescent="0.2">
      <c r="A97" t="s">
        <v>244</v>
      </c>
      <c r="B97" t="s">
        <v>245</v>
      </c>
      <c r="C97" t="s">
        <v>245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4.9000000000000004</v>
      </c>
      <c r="AE97">
        <v>468</v>
      </c>
      <c r="AF97">
        <v>18.12034901056558</v>
      </c>
      <c r="AG97">
        <v>17.625</v>
      </c>
      <c r="AH97">
        <f>18.1669355236819*1</f>
        <v>18.1669355236819</v>
      </c>
      <c r="AI97">
        <f>2.7393531152699*1</f>
        <v>2.7393531152699002</v>
      </c>
      <c r="AJ97">
        <v>1</v>
      </c>
      <c r="AK97">
        <v>0</v>
      </c>
      <c r="AL97">
        <v>0</v>
      </c>
    </row>
    <row r="98" spans="1:38" hidden="1" x14ac:dyDescent="0.2">
      <c r="A98" t="s">
        <v>246</v>
      </c>
      <c r="B98" t="s">
        <v>247</v>
      </c>
      <c r="C98" t="s">
        <v>247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469</v>
      </c>
      <c r="AF98">
        <v>19.55725190839695</v>
      </c>
      <c r="AG98">
        <v>17.88461538461538</v>
      </c>
      <c r="AH98">
        <f>17.4568973014004*1</f>
        <v>17.456897301400399</v>
      </c>
      <c r="AI98">
        <f>2.90948288356673*1</f>
        <v>2.9094828835667301</v>
      </c>
      <c r="AJ98">
        <v>1</v>
      </c>
      <c r="AK98">
        <v>0</v>
      </c>
      <c r="AL98">
        <v>0</v>
      </c>
    </row>
    <row r="99" spans="1:38" hidden="1" x14ac:dyDescent="0.2">
      <c r="A99" t="s">
        <v>248</v>
      </c>
      <c r="B99" t="s">
        <v>249</v>
      </c>
      <c r="C99" t="s">
        <v>250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</v>
      </c>
      <c r="AE99">
        <v>470</v>
      </c>
      <c r="AF99">
        <v>22.285714285714288</v>
      </c>
      <c r="AG99">
        <v>22.916889313659571</v>
      </c>
      <c r="AH99">
        <f>24.6871321465335*1</f>
        <v>24.6871321465335</v>
      </c>
      <c r="AI99">
        <f>3.98148520566413*1</f>
        <v>3.9814852056641299</v>
      </c>
      <c r="AJ99">
        <v>1</v>
      </c>
      <c r="AK99">
        <v>0</v>
      </c>
      <c r="AL99">
        <v>0</v>
      </c>
    </row>
    <row r="100" spans="1:38" hidden="1" x14ac:dyDescent="0.2">
      <c r="A100" t="s">
        <v>251</v>
      </c>
      <c r="B100" t="s">
        <v>252</v>
      </c>
      <c r="C100" t="s">
        <v>251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6.5</v>
      </c>
      <c r="AE100">
        <v>471</v>
      </c>
      <c r="AF100">
        <v>23.750000000000011</v>
      </c>
      <c r="AG100">
        <v>20.978970096305751</v>
      </c>
      <c r="AH100">
        <f>19.80125644566*1</f>
        <v>19.801256445660002</v>
      </c>
      <c r="AI100">
        <f>3.30020903611129*1</f>
        <v>3.3002090361112901</v>
      </c>
      <c r="AJ100">
        <v>1</v>
      </c>
      <c r="AK100">
        <v>0</v>
      </c>
      <c r="AL100">
        <v>0</v>
      </c>
    </row>
    <row r="101" spans="1:38" hidden="1" x14ac:dyDescent="0.2">
      <c r="A101" t="s">
        <v>253</v>
      </c>
      <c r="B101" t="s">
        <v>254</v>
      </c>
      <c r="C101" t="s">
        <v>255</v>
      </c>
      <c r="D101" t="s">
        <v>3</v>
      </c>
      <c r="E101">
        <v>1</v>
      </c>
      <c r="F101">
        <v>0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478</v>
      </c>
      <c r="AF101">
        <v>23.42857142857148</v>
      </c>
      <c r="AG101">
        <v>20.927133520958371</v>
      </c>
      <c r="AH101">
        <f>19.9718778255431*1</f>
        <v>19.9718778255431</v>
      </c>
      <c r="AI101">
        <f>3.34376117419362*1</f>
        <v>3.3437611741936202</v>
      </c>
      <c r="AJ101">
        <v>1</v>
      </c>
      <c r="AK101">
        <v>0</v>
      </c>
      <c r="AL101">
        <v>0</v>
      </c>
    </row>
    <row r="102" spans="1:38" hidden="1" x14ac:dyDescent="0.2">
      <c r="A102" t="s">
        <v>256</v>
      </c>
      <c r="B102" t="s">
        <v>257</v>
      </c>
      <c r="C102" t="s">
        <v>257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8</v>
      </c>
      <c r="AE102">
        <v>479</v>
      </c>
      <c r="AF102">
        <v>29.355039530665831</v>
      </c>
      <c r="AG102">
        <v>20.638888888888889</v>
      </c>
      <c r="AH102">
        <f>14.4750307459356*1</f>
        <v>14.4750307459356</v>
      </c>
      <c r="AI102">
        <f>2.41250512432261*1</f>
        <v>2.4125051243226099</v>
      </c>
      <c r="AJ102">
        <v>1</v>
      </c>
      <c r="AK102">
        <v>0</v>
      </c>
      <c r="AL102">
        <v>0</v>
      </c>
    </row>
    <row r="103" spans="1:38" x14ac:dyDescent="0.2">
      <c r="A103" t="s">
        <v>156</v>
      </c>
      <c r="B103" t="s">
        <v>157</v>
      </c>
      <c r="C103" t="s">
        <v>158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17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</v>
      </c>
      <c r="AE103">
        <v>264</v>
      </c>
      <c r="AF103">
        <v>16.600000000000001</v>
      </c>
      <c r="AG103">
        <v>16.533204860632679</v>
      </c>
      <c r="AH103">
        <f>19.8912437382301*1</f>
        <v>19.891243738230099</v>
      </c>
      <c r="AI103">
        <f>3.98637873851688*1</f>
        <v>3.9863787385168798</v>
      </c>
      <c r="AJ103">
        <v>1</v>
      </c>
      <c r="AK103">
        <v>1</v>
      </c>
      <c r="AL103">
        <v>1</v>
      </c>
    </row>
    <row r="104" spans="1:38" hidden="1" x14ac:dyDescent="0.2">
      <c r="A104" t="s">
        <v>260</v>
      </c>
      <c r="B104" t="s">
        <v>261</v>
      </c>
      <c r="C104" t="s">
        <v>260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5.6</v>
      </c>
      <c r="AE104">
        <v>489</v>
      </c>
      <c r="AF104">
        <v>18.44897959183675</v>
      </c>
      <c r="AG104">
        <v>17.586206896551719</v>
      </c>
      <c r="AH104">
        <f>17.8190219309257*1</f>
        <v>17.8190219309257</v>
      </c>
      <c r="AI104">
        <f>2.96983698848762*1</f>
        <v>2.9698369884876201</v>
      </c>
      <c r="AJ104">
        <v>1</v>
      </c>
      <c r="AK104">
        <v>0</v>
      </c>
      <c r="AL104">
        <v>0</v>
      </c>
    </row>
    <row r="105" spans="1:38" hidden="1" x14ac:dyDescent="0.2">
      <c r="A105" t="s">
        <v>262</v>
      </c>
      <c r="B105" t="s">
        <v>263</v>
      </c>
      <c r="C105" t="s">
        <v>263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5.4</v>
      </c>
      <c r="AE105">
        <v>493</v>
      </c>
      <c r="AF105">
        <v>22.6993006993007</v>
      </c>
      <c r="AG105">
        <v>21.762724797930399</v>
      </c>
      <c r="AH105">
        <f>22.1603728925053*1</f>
        <v>22.160372892505301</v>
      </c>
      <c r="AI105">
        <f>3.83385227076812*1</f>
        <v>3.8338522707681202</v>
      </c>
      <c r="AJ105">
        <v>1</v>
      </c>
      <c r="AK105">
        <v>0</v>
      </c>
      <c r="AL105">
        <v>0</v>
      </c>
    </row>
    <row r="106" spans="1:38" hidden="1" x14ac:dyDescent="0.2">
      <c r="A106" t="s">
        <v>264</v>
      </c>
      <c r="B106" t="s">
        <v>265</v>
      </c>
      <c r="C106" t="s">
        <v>265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4.8</v>
      </c>
      <c r="AE106">
        <v>495</v>
      </c>
      <c r="AF106">
        <v>14.43899613818547</v>
      </c>
      <c r="AG106">
        <v>16.5</v>
      </c>
      <c r="AH106">
        <f>19.1169945802557*1</f>
        <v>19.1169945802557</v>
      </c>
      <c r="AI106">
        <f>1.88193588765414*1</f>
        <v>1.8819358876541401</v>
      </c>
      <c r="AJ106">
        <v>1</v>
      </c>
      <c r="AK106">
        <v>0</v>
      </c>
      <c r="AL106">
        <v>0</v>
      </c>
    </row>
    <row r="107" spans="1:38" hidden="1" x14ac:dyDescent="0.2">
      <c r="A107" t="s">
        <v>266</v>
      </c>
      <c r="B107" t="s">
        <v>267</v>
      </c>
      <c r="C107" t="s">
        <v>267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4.8</v>
      </c>
      <c r="AE107">
        <v>511</v>
      </c>
      <c r="AF107">
        <v>12.857142857142859</v>
      </c>
      <c r="AG107">
        <v>11.75925925925926</v>
      </c>
      <c r="AH107">
        <f>9.80396085276322*1</f>
        <v>9.80396085276322</v>
      </c>
      <c r="AI107">
        <f>1.96079217055264*1</f>
        <v>1.9607921705526401</v>
      </c>
      <c r="AJ107">
        <v>1</v>
      </c>
      <c r="AK107">
        <v>0</v>
      </c>
      <c r="AL107">
        <v>0</v>
      </c>
    </row>
    <row r="108" spans="1:38" hidden="1" x14ac:dyDescent="0.2">
      <c r="A108" t="s">
        <v>268</v>
      </c>
      <c r="B108" t="s">
        <v>269</v>
      </c>
      <c r="C108" t="s">
        <v>270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</v>
      </c>
      <c r="AE108">
        <v>514</v>
      </c>
      <c r="AF108">
        <v>14.90140677840189</v>
      </c>
      <c r="AG108">
        <v>15.32608695652174</v>
      </c>
      <c r="AH108">
        <f>18.1301381405167*1</f>
        <v>18.130138140516699</v>
      </c>
      <c r="AI108">
        <f>5.11834075086502*1</f>
        <v>5.1183407508650198</v>
      </c>
      <c r="AJ108">
        <v>1</v>
      </c>
      <c r="AK108">
        <v>0</v>
      </c>
      <c r="AL108">
        <v>0</v>
      </c>
    </row>
    <row r="109" spans="1:38" hidden="1" x14ac:dyDescent="0.2">
      <c r="A109" t="s">
        <v>271</v>
      </c>
      <c r="B109" t="s">
        <v>272</v>
      </c>
      <c r="C109" t="s">
        <v>272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6.4</v>
      </c>
      <c r="AE109">
        <v>518</v>
      </c>
      <c r="AF109">
        <v>13.269733387063299</v>
      </c>
      <c r="AG109">
        <v>20.6199830779614</v>
      </c>
      <c r="AH109">
        <f>0*0</f>
        <v>0</v>
      </c>
      <c r="AI109">
        <f>8.79438589880265*0</f>
        <v>0</v>
      </c>
      <c r="AJ109">
        <v>0</v>
      </c>
      <c r="AK109">
        <v>0</v>
      </c>
      <c r="AL109">
        <v>0</v>
      </c>
    </row>
    <row r="110" spans="1:38" hidden="1" x14ac:dyDescent="0.2">
      <c r="A110" t="s">
        <v>107</v>
      </c>
      <c r="B110" t="s">
        <v>273</v>
      </c>
      <c r="C110" t="s">
        <v>273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8.4</v>
      </c>
      <c r="AE110">
        <v>523</v>
      </c>
      <c r="AF110">
        <v>22.633136094674558</v>
      </c>
      <c r="AG110">
        <v>22.79242959004273</v>
      </c>
      <c r="AH110">
        <f>25.6002303348015*1</f>
        <v>25.600230334801498</v>
      </c>
      <c r="AI110">
        <f>5.12004606696032*1</f>
        <v>5.1200460669603203</v>
      </c>
      <c r="AJ110">
        <v>1</v>
      </c>
      <c r="AK110">
        <v>0</v>
      </c>
      <c r="AL110">
        <v>0</v>
      </c>
    </row>
    <row r="111" spans="1:38" hidden="1" x14ac:dyDescent="0.2">
      <c r="A111" t="s">
        <v>274</v>
      </c>
      <c r="B111" t="s">
        <v>190</v>
      </c>
      <c r="C111" t="s">
        <v>190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4.8</v>
      </c>
      <c r="AE111">
        <v>529</v>
      </c>
      <c r="AF111">
        <v>17.61904761904761</v>
      </c>
      <c r="AG111">
        <v>18.423580018263259</v>
      </c>
      <c r="AH111">
        <f>22.6424568546897*1</f>
        <v>22.642456854689701</v>
      </c>
      <c r="AI111">
        <f>3.55138735233753*1</f>
        <v>3.5513873523375299</v>
      </c>
      <c r="AJ111">
        <v>1</v>
      </c>
      <c r="AK111">
        <v>0</v>
      </c>
      <c r="AL111">
        <v>0</v>
      </c>
    </row>
    <row r="112" spans="1:38" hidden="1" x14ac:dyDescent="0.2">
      <c r="A112" t="s">
        <v>275</v>
      </c>
      <c r="B112" t="s">
        <v>276</v>
      </c>
      <c r="C112" t="s">
        <v>277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6.2</v>
      </c>
      <c r="AE112">
        <v>541</v>
      </c>
      <c r="AF112">
        <v>13.34928252525444</v>
      </c>
      <c r="AG112">
        <v>20.799500236658741</v>
      </c>
      <c r="AH112">
        <f>14.2918239989375*1</f>
        <v>14.291823998937501</v>
      </c>
      <c r="AI112">
        <f>2.85836386222737*1</f>
        <v>2.8583638622273702</v>
      </c>
      <c r="AJ112">
        <v>1</v>
      </c>
      <c r="AK112">
        <v>0</v>
      </c>
      <c r="AL112">
        <v>0</v>
      </c>
    </row>
    <row r="113" spans="1:38" hidden="1" x14ac:dyDescent="0.2">
      <c r="A113" t="s">
        <v>278</v>
      </c>
      <c r="B113" t="s">
        <v>279</v>
      </c>
      <c r="C113" t="s">
        <v>280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5.8</v>
      </c>
      <c r="AE113">
        <v>545</v>
      </c>
      <c r="AF113">
        <v>16.40625</v>
      </c>
      <c r="AG113">
        <v>16</v>
      </c>
      <c r="AH113">
        <f>15.4551326474543*1</f>
        <v>15.455132647454301</v>
      </c>
      <c r="AI113">
        <f>3.09102652949087*1</f>
        <v>3.0910265294908701</v>
      </c>
      <c r="AJ113">
        <v>1</v>
      </c>
      <c r="AK113">
        <v>0</v>
      </c>
      <c r="AL113">
        <v>0</v>
      </c>
    </row>
    <row r="114" spans="1:38" hidden="1" x14ac:dyDescent="0.2">
      <c r="A114" t="s">
        <v>281</v>
      </c>
      <c r="B114" t="s">
        <v>282</v>
      </c>
      <c r="C114" t="s">
        <v>282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4.4000000000000004</v>
      </c>
      <c r="AE114">
        <v>546</v>
      </c>
      <c r="AF114">
        <v>16.42677269098553</v>
      </c>
      <c r="AG114">
        <v>14.95412844036697</v>
      </c>
      <c r="AH114">
        <f>15.2393311818595*1</f>
        <v>15.2393311818595</v>
      </c>
      <c r="AI114">
        <f>3.04941624994476*1</f>
        <v>3.0494162499447599</v>
      </c>
      <c r="AJ114">
        <v>1</v>
      </c>
      <c r="AK114">
        <v>0</v>
      </c>
      <c r="AL114">
        <v>0</v>
      </c>
    </row>
    <row r="115" spans="1:38" x14ac:dyDescent="0.2">
      <c r="A115" t="s">
        <v>369</v>
      </c>
      <c r="B115" t="s">
        <v>370</v>
      </c>
      <c r="C115" t="s">
        <v>371</v>
      </c>
      <c r="D115" t="s">
        <v>6</v>
      </c>
      <c r="E115">
        <v>0</v>
      </c>
      <c r="F115">
        <v>0</v>
      </c>
      <c r="G115">
        <v>0</v>
      </c>
      <c r="H115">
        <v>1</v>
      </c>
      <c r="I115" t="s">
        <v>30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5.8</v>
      </c>
      <c r="AE115">
        <v>774</v>
      </c>
      <c r="AF115">
        <v>23.98475756242485</v>
      </c>
      <c r="AG115">
        <v>13.620689655172409</v>
      </c>
      <c r="AH115">
        <f>20.4383029245845*1</f>
        <v>20.438302924584502</v>
      </c>
      <c r="AI115">
        <f>3.82051467948637*1</f>
        <v>3.82051467948637</v>
      </c>
      <c r="AJ115">
        <v>1</v>
      </c>
      <c r="AK115">
        <v>1</v>
      </c>
      <c r="AL115">
        <v>1</v>
      </c>
    </row>
    <row r="116" spans="1:38" hidden="1" x14ac:dyDescent="0.2">
      <c r="A116" t="s">
        <v>284</v>
      </c>
      <c r="B116" t="s">
        <v>285</v>
      </c>
      <c r="C116" t="s">
        <v>285</v>
      </c>
      <c r="D116" t="s">
        <v>6</v>
      </c>
      <c r="E116">
        <v>0</v>
      </c>
      <c r="F116">
        <v>0</v>
      </c>
      <c r="G116">
        <v>0</v>
      </c>
      <c r="H116">
        <v>1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7.6</v>
      </c>
      <c r="AE116">
        <v>554</v>
      </c>
      <c r="AF116">
        <v>23.75</v>
      </c>
      <c r="AG116">
        <v>21.827945498298309</v>
      </c>
      <c r="AH116">
        <f>22.0788730775299*1</f>
        <v>22.078873077529899</v>
      </c>
      <c r="AI116">
        <f>4.41479960607649*1</f>
        <v>4.4147996060764898</v>
      </c>
      <c r="AJ116">
        <v>1</v>
      </c>
      <c r="AK116">
        <v>0</v>
      </c>
      <c r="AL116">
        <v>0</v>
      </c>
    </row>
    <row r="117" spans="1:38" hidden="1" x14ac:dyDescent="0.2">
      <c r="A117" t="s">
        <v>286</v>
      </c>
      <c r="B117" t="s">
        <v>287</v>
      </c>
      <c r="C117" t="s">
        <v>288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5.8</v>
      </c>
      <c r="AE117">
        <v>555</v>
      </c>
      <c r="AF117">
        <v>15.24565566934573</v>
      </c>
      <c r="AG117">
        <v>13.43220338983051</v>
      </c>
      <c r="AH117">
        <f>14.0450528498583*1</f>
        <v>14.045052849858299</v>
      </c>
      <c r="AI117">
        <f>2.80901056997167*1</f>
        <v>2.8090105699716701</v>
      </c>
      <c r="AJ117">
        <v>1</v>
      </c>
      <c r="AK117">
        <v>0</v>
      </c>
      <c r="AL117">
        <v>0</v>
      </c>
    </row>
    <row r="118" spans="1:38" hidden="1" x14ac:dyDescent="0.2">
      <c r="A118" t="s">
        <v>289</v>
      </c>
      <c r="B118" t="s">
        <v>290</v>
      </c>
      <c r="C118" t="s">
        <v>290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4.8</v>
      </c>
      <c r="AE118">
        <v>560</v>
      </c>
      <c r="AF118">
        <v>11.77165354330708</v>
      </c>
      <c r="AG118">
        <v>13.05</v>
      </c>
      <c r="AH118">
        <f>11.4355225386757*1</f>
        <v>11.4355225386757</v>
      </c>
      <c r="AI118">
        <f>2.28710450773515*1</f>
        <v>2.2871045077351502</v>
      </c>
      <c r="AJ118">
        <v>1</v>
      </c>
      <c r="AK118">
        <v>0</v>
      </c>
      <c r="AL118">
        <v>0</v>
      </c>
    </row>
    <row r="119" spans="1:38" hidden="1" x14ac:dyDescent="0.2">
      <c r="A119" t="s">
        <v>291</v>
      </c>
      <c r="B119" t="s">
        <v>292</v>
      </c>
      <c r="C119" t="s">
        <v>292</v>
      </c>
      <c r="D119" t="s">
        <v>3</v>
      </c>
      <c r="E119">
        <v>1</v>
      </c>
      <c r="F119">
        <v>0</v>
      </c>
      <c r="G119">
        <v>0</v>
      </c>
      <c r="H119">
        <v>0</v>
      </c>
      <c r="I119" t="s">
        <v>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5.3</v>
      </c>
      <c r="AE119">
        <v>563</v>
      </c>
      <c r="AF119">
        <v>20.684931506849331</v>
      </c>
      <c r="AG119">
        <v>17.970897536888241</v>
      </c>
      <c r="AH119">
        <f>19.0000419154344*1</f>
        <v>19.000041915434402</v>
      </c>
      <c r="AI119">
        <f>3.7992004874469*1</f>
        <v>3.7992004874469001</v>
      </c>
      <c r="AJ119">
        <v>1</v>
      </c>
      <c r="AK119">
        <v>0</v>
      </c>
      <c r="AL119">
        <v>0</v>
      </c>
    </row>
    <row r="120" spans="1:38" hidden="1" x14ac:dyDescent="0.2">
      <c r="A120" t="s">
        <v>293</v>
      </c>
      <c r="B120" t="s">
        <v>294</v>
      </c>
      <c r="C120" t="s">
        <v>294</v>
      </c>
      <c r="D120" t="s">
        <v>6</v>
      </c>
      <c r="E120">
        <v>0</v>
      </c>
      <c r="F120">
        <v>0</v>
      </c>
      <c r="G120">
        <v>0</v>
      </c>
      <c r="H120">
        <v>1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7.8</v>
      </c>
      <c r="AE120">
        <v>572</v>
      </c>
      <c r="AF120">
        <v>22.682119205298019</v>
      </c>
      <c r="AG120">
        <v>22.476561079873829</v>
      </c>
      <c r="AH120">
        <f>21.4457261111078*1</f>
        <v>21.445726111107799</v>
      </c>
      <c r="AI120">
        <f>4.28904654855*1</f>
        <v>4.28904654855</v>
      </c>
      <c r="AJ120">
        <v>1</v>
      </c>
      <c r="AK120">
        <v>0</v>
      </c>
      <c r="AL120">
        <v>0</v>
      </c>
    </row>
    <row r="121" spans="1:38" hidden="1" x14ac:dyDescent="0.2">
      <c r="A121" t="s">
        <v>295</v>
      </c>
      <c r="B121" t="s">
        <v>296</v>
      </c>
      <c r="C121" t="s">
        <v>296</v>
      </c>
      <c r="D121" t="s">
        <v>3</v>
      </c>
      <c r="E121">
        <v>1</v>
      </c>
      <c r="F121">
        <v>0</v>
      </c>
      <c r="G121">
        <v>0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3.9</v>
      </c>
      <c r="AE121">
        <v>583</v>
      </c>
      <c r="AF121">
        <v>14.50369735691897</v>
      </c>
      <c r="AG121">
        <v>13.95833333333333</v>
      </c>
      <c r="AH121">
        <f>20.2304608256881*1</f>
        <v>20.230460825688098</v>
      </c>
      <c r="AI121">
        <f>5.61812579441183*1</f>
        <v>5.6181257944118297</v>
      </c>
      <c r="AJ121">
        <v>1</v>
      </c>
      <c r="AK121">
        <v>0</v>
      </c>
      <c r="AL121">
        <v>0</v>
      </c>
    </row>
    <row r="122" spans="1:38" hidden="1" x14ac:dyDescent="0.2">
      <c r="A122" t="s">
        <v>271</v>
      </c>
      <c r="B122" t="s">
        <v>297</v>
      </c>
      <c r="C122" t="s">
        <v>297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5.0999999999999996</v>
      </c>
      <c r="AE122">
        <v>585</v>
      </c>
      <c r="AF122">
        <v>20.49029534666694</v>
      </c>
      <c r="AG122">
        <v>12.5</v>
      </c>
      <c r="AH122">
        <f>14.999674570655*0.5</f>
        <v>7.4998372853274997</v>
      </c>
      <c r="AI122">
        <f>3.84172371656563*0.5</f>
        <v>1.920861858282815</v>
      </c>
      <c r="AJ122">
        <v>0.5</v>
      </c>
      <c r="AK122">
        <v>0</v>
      </c>
      <c r="AL122">
        <v>0</v>
      </c>
    </row>
    <row r="123" spans="1:38" hidden="1" x14ac:dyDescent="0.2">
      <c r="A123" t="s">
        <v>298</v>
      </c>
      <c r="B123" t="s">
        <v>299</v>
      </c>
      <c r="C123" t="s">
        <v>299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5.7</v>
      </c>
      <c r="AE123">
        <v>599</v>
      </c>
      <c r="AF123">
        <v>18.539151326490138</v>
      </c>
      <c r="AG123">
        <v>13.84375</v>
      </c>
      <c r="AH123">
        <f>26.6448599181526*1</f>
        <v>26.644859918152601</v>
      </c>
      <c r="AI123">
        <f>5.32897198363054*1</f>
        <v>5.3289719836305398</v>
      </c>
      <c r="AJ123">
        <v>1</v>
      </c>
      <c r="AK123">
        <v>0</v>
      </c>
      <c r="AL123">
        <v>0</v>
      </c>
    </row>
    <row r="124" spans="1:38" hidden="1" x14ac:dyDescent="0.2">
      <c r="A124" t="s">
        <v>300</v>
      </c>
      <c r="B124" t="s">
        <v>301</v>
      </c>
      <c r="C124" t="s">
        <v>301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4.4000000000000004</v>
      </c>
      <c r="AE124">
        <v>616</v>
      </c>
      <c r="AF124">
        <v>10.483870967741931</v>
      </c>
      <c r="AG124">
        <v>12.70833333333333</v>
      </c>
      <c r="AH124">
        <f>14.1089167127493*1</f>
        <v>14.1089167127493</v>
      </c>
      <c r="AI124">
        <f>2.82178334254987*1</f>
        <v>2.8217833425498702</v>
      </c>
      <c r="AJ124">
        <v>1</v>
      </c>
      <c r="AK124">
        <v>0</v>
      </c>
      <c r="AL124">
        <v>0</v>
      </c>
    </row>
    <row r="125" spans="1:38" hidden="1" x14ac:dyDescent="0.2">
      <c r="A125" t="s">
        <v>302</v>
      </c>
      <c r="B125" t="s">
        <v>303</v>
      </c>
      <c r="C125" t="s">
        <v>303</v>
      </c>
      <c r="D125" t="s">
        <v>6</v>
      </c>
      <c r="E125">
        <v>0</v>
      </c>
      <c r="F125">
        <v>0</v>
      </c>
      <c r="G125">
        <v>0</v>
      </c>
      <c r="H125">
        <v>1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4.9000000000000004</v>
      </c>
      <c r="AE125">
        <v>619</v>
      </c>
      <c r="AF125">
        <v>18.524301553324751</v>
      </c>
      <c r="AG125">
        <v>16.267857142857139</v>
      </c>
      <c r="AH125">
        <f>26.1450705355731*1</f>
        <v>26.145070535573101</v>
      </c>
      <c r="AI125">
        <f>6.25353203556078*1</f>
        <v>6.25353203556078</v>
      </c>
      <c r="AJ125">
        <v>1</v>
      </c>
      <c r="AK125">
        <v>0</v>
      </c>
      <c r="AL125">
        <v>0</v>
      </c>
    </row>
    <row r="126" spans="1:38" hidden="1" x14ac:dyDescent="0.2">
      <c r="A126" t="s">
        <v>304</v>
      </c>
      <c r="B126" t="s">
        <v>305</v>
      </c>
      <c r="C126" t="s">
        <v>305</v>
      </c>
      <c r="D126" t="s">
        <v>6</v>
      </c>
      <c r="E126">
        <v>0</v>
      </c>
      <c r="F126">
        <v>0</v>
      </c>
      <c r="G126">
        <v>0</v>
      </c>
      <c r="H126">
        <v>1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4.4000000000000004</v>
      </c>
      <c r="AE126">
        <v>636</v>
      </c>
      <c r="AF126">
        <v>11.90463803785747</v>
      </c>
      <c r="AG126">
        <v>12.02380952380952</v>
      </c>
      <c r="AH126">
        <f>14.0859009398674*1</f>
        <v>14.0859009398674</v>
      </c>
      <c r="AI126">
        <f>2.8204516037234*1</f>
        <v>2.8204516037234</v>
      </c>
      <c r="AJ126">
        <v>1</v>
      </c>
      <c r="AK126">
        <v>0</v>
      </c>
      <c r="AL126">
        <v>0</v>
      </c>
    </row>
    <row r="127" spans="1:38" hidden="1" x14ac:dyDescent="0.2">
      <c r="A127" t="s">
        <v>142</v>
      </c>
      <c r="B127" t="s">
        <v>306</v>
      </c>
      <c r="C127" t="s">
        <v>306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4.4000000000000004</v>
      </c>
      <c r="AE127">
        <v>637</v>
      </c>
      <c r="AF127">
        <v>11.842105263157899</v>
      </c>
      <c r="AG127">
        <v>11.82887807617643</v>
      </c>
      <c r="AH127">
        <f>13.883571738507*1</f>
        <v>13.883571738506999</v>
      </c>
      <c r="AI127">
        <f>2.77672757417282*1</f>
        <v>2.7767275741728201</v>
      </c>
      <c r="AJ127">
        <v>1</v>
      </c>
      <c r="AK127">
        <v>0</v>
      </c>
      <c r="AL127">
        <v>0</v>
      </c>
    </row>
    <row r="128" spans="1:38" hidden="1" x14ac:dyDescent="0.2">
      <c r="A128" t="s">
        <v>307</v>
      </c>
      <c r="B128" t="s">
        <v>308</v>
      </c>
      <c r="C128" t="s">
        <v>308</v>
      </c>
      <c r="D128" t="s">
        <v>3</v>
      </c>
      <c r="E128">
        <v>1</v>
      </c>
      <c r="F128">
        <v>0</v>
      </c>
      <c r="G128">
        <v>0</v>
      </c>
      <c r="H128">
        <v>0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4.5</v>
      </c>
      <c r="AE128">
        <v>648</v>
      </c>
      <c r="AF128">
        <v>12.142857142857141</v>
      </c>
      <c r="AG128">
        <v>13.59375</v>
      </c>
      <c r="AH128">
        <f>15.6624624163613*1</f>
        <v>15.662462416361301</v>
      </c>
      <c r="AI128">
        <f>3.13249248327227*1</f>
        <v>3.1324924832722698</v>
      </c>
      <c r="AJ128">
        <v>1</v>
      </c>
      <c r="AK128">
        <v>0</v>
      </c>
      <c r="AL128">
        <v>0</v>
      </c>
    </row>
    <row r="129" spans="1:38" hidden="1" x14ac:dyDescent="0.2">
      <c r="A129" t="s">
        <v>309</v>
      </c>
      <c r="B129" t="s">
        <v>310</v>
      </c>
      <c r="C129" t="s">
        <v>310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5</v>
      </c>
      <c r="AE129">
        <v>666</v>
      </c>
      <c r="AF129">
        <v>13.684210526315789</v>
      </c>
      <c r="AG129">
        <v>14.107142857142859</v>
      </c>
      <c r="AH129">
        <f>16.4700355308187*1</f>
        <v>16.470035530818699</v>
      </c>
      <c r="AI129">
        <f>3.29400710616374*1</f>
        <v>3.2940071061637402</v>
      </c>
      <c r="AJ129">
        <v>1</v>
      </c>
      <c r="AK129">
        <v>0</v>
      </c>
      <c r="AL129">
        <v>0</v>
      </c>
    </row>
    <row r="130" spans="1:38" hidden="1" x14ac:dyDescent="0.2">
      <c r="A130" t="s">
        <v>311</v>
      </c>
      <c r="B130" t="s">
        <v>312</v>
      </c>
      <c r="C130" t="s">
        <v>312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5.8</v>
      </c>
      <c r="AE130">
        <v>673</v>
      </c>
      <c r="AF130">
        <v>15.45454545454545</v>
      </c>
      <c r="AG130">
        <v>14.41860465116279</v>
      </c>
      <c r="AH130">
        <f>17.349908628327*1</f>
        <v>17.349908628327</v>
      </c>
      <c r="AI130">
        <f>3.46998172566541*1</f>
        <v>3.4699817256654102</v>
      </c>
      <c r="AJ130">
        <v>1</v>
      </c>
      <c r="AK130">
        <v>0</v>
      </c>
      <c r="AL130">
        <v>0</v>
      </c>
    </row>
    <row r="131" spans="1:38" x14ac:dyDescent="0.2">
      <c r="A131" t="s">
        <v>328</v>
      </c>
      <c r="B131" t="s">
        <v>329</v>
      </c>
      <c r="C131" t="s">
        <v>329</v>
      </c>
      <c r="D131" t="s">
        <v>3</v>
      </c>
      <c r="E131">
        <v>1</v>
      </c>
      <c r="F131">
        <v>0</v>
      </c>
      <c r="G131">
        <v>0</v>
      </c>
      <c r="H131">
        <v>0</v>
      </c>
      <c r="I131" t="s">
        <v>28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5.3</v>
      </c>
      <c r="AE131">
        <v>702</v>
      </c>
      <c r="AF131">
        <v>16.904761904761902</v>
      </c>
      <c r="AG131">
        <v>15.15625</v>
      </c>
      <c r="AH131">
        <f>17.9418229706892*1</f>
        <v>17.941822970689199</v>
      </c>
      <c r="AI131">
        <f>3.58836459413785*1</f>
        <v>3.5883645941378499</v>
      </c>
      <c r="AJ131">
        <v>1</v>
      </c>
      <c r="AK131">
        <v>1</v>
      </c>
      <c r="AL131">
        <v>1</v>
      </c>
    </row>
    <row r="132" spans="1:38" hidden="1" x14ac:dyDescent="0.2">
      <c r="A132" t="s">
        <v>315</v>
      </c>
      <c r="B132" t="s">
        <v>316</v>
      </c>
      <c r="C132" t="s">
        <v>317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5.9</v>
      </c>
      <c r="AE132">
        <v>689</v>
      </c>
      <c r="AF132">
        <v>20.285714285714281</v>
      </c>
      <c r="AG132">
        <v>16.75925925925926</v>
      </c>
      <c r="AH132">
        <f>19.1252844379734*1</f>
        <v>19.125284437973399</v>
      </c>
      <c r="AI132">
        <f>3.82505688759468*1</f>
        <v>3.82505688759468</v>
      </c>
      <c r="AJ132">
        <v>1</v>
      </c>
      <c r="AK132">
        <v>0</v>
      </c>
      <c r="AL132">
        <v>0</v>
      </c>
    </row>
    <row r="133" spans="1:38" hidden="1" x14ac:dyDescent="0.2">
      <c r="A133" t="s">
        <v>318</v>
      </c>
      <c r="B133" t="s">
        <v>319</v>
      </c>
      <c r="C133" t="s">
        <v>318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7</v>
      </c>
      <c r="AE133">
        <v>691</v>
      </c>
      <c r="AF133">
        <v>18.501314047797781</v>
      </c>
      <c r="AG133">
        <v>20.137590545311781</v>
      </c>
      <c r="AH133">
        <f>25.613760473872*1</f>
        <v>25.613760473871999</v>
      </c>
      <c r="AI133">
        <f>5.12275209478206*1</f>
        <v>5.1227520947820597</v>
      </c>
      <c r="AJ133">
        <v>1</v>
      </c>
      <c r="AK133">
        <v>0</v>
      </c>
      <c r="AL133">
        <v>0</v>
      </c>
    </row>
    <row r="134" spans="1:38" hidden="1" x14ac:dyDescent="0.2">
      <c r="A134" t="s">
        <v>320</v>
      </c>
      <c r="B134" t="s">
        <v>321</v>
      </c>
      <c r="C134" t="s">
        <v>321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4.9000000000000004</v>
      </c>
      <c r="AE134">
        <v>693</v>
      </c>
      <c r="AF134">
        <v>15.40322580645161</v>
      </c>
      <c r="AG134">
        <v>14.0625</v>
      </c>
      <c r="AH134">
        <f>16.773298997804*1</f>
        <v>16.773298997804002</v>
      </c>
      <c r="AI134">
        <f>3.3546597995608*1</f>
        <v>3.3546597995608001</v>
      </c>
      <c r="AJ134">
        <v>1</v>
      </c>
      <c r="AK134">
        <v>0</v>
      </c>
      <c r="AL134">
        <v>0</v>
      </c>
    </row>
    <row r="135" spans="1:38" hidden="1" x14ac:dyDescent="0.2">
      <c r="A135" t="s">
        <v>322</v>
      </c>
      <c r="B135" t="s">
        <v>323</v>
      </c>
      <c r="C135" t="s">
        <v>323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4.4000000000000004</v>
      </c>
      <c r="AE135">
        <v>695</v>
      </c>
      <c r="AF135">
        <v>11.55172413793103</v>
      </c>
      <c r="AG135">
        <v>12.04545454545455</v>
      </c>
      <c r="AH135">
        <f>15.1036270733117*1</f>
        <v>15.103627073311699</v>
      </c>
      <c r="AI135">
        <f>3.02072541466235*1</f>
        <v>3.0207254146623499</v>
      </c>
      <c r="AJ135">
        <v>1</v>
      </c>
      <c r="AK135">
        <v>0</v>
      </c>
      <c r="AL135">
        <v>0</v>
      </c>
    </row>
    <row r="136" spans="1:38" hidden="1" x14ac:dyDescent="0.2">
      <c r="A136" t="s">
        <v>324</v>
      </c>
      <c r="B136" t="s">
        <v>325</v>
      </c>
      <c r="C136" t="s">
        <v>324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9.6999999999999993</v>
      </c>
      <c r="AE136">
        <v>698</v>
      </c>
      <c r="AF136">
        <v>26</v>
      </c>
      <c r="AG136">
        <v>18.720930232558139</v>
      </c>
      <c r="AH136">
        <f>0*0</f>
        <v>0</v>
      </c>
      <c r="AI136">
        <f>3.9733215182719*0</f>
        <v>0</v>
      </c>
      <c r="AJ136">
        <v>0</v>
      </c>
      <c r="AK136">
        <v>0</v>
      </c>
      <c r="AL136">
        <v>0</v>
      </c>
    </row>
    <row r="137" spans="1:38" hidden="1" x14ac:dyDescent="0.2">
      <c r="A137" t="s">
        <v>326</v>
      </c>
      <c r="B137" t="s">
        <v>327</v>
      </c>
      <c r="C137" t="s">
        <v>327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4.8</v>
      </c>
      <c r="AE137">
        <v>701</v>
      </c>
      <c r="AF137">
        <v>11.415127189060151</v>
      </c>
      <c r="AG137">
        <v>13.28020505510799</v>
      </c>
      <c r="AH137">
        <f>17.2439651187968*1</f>
        <v>17.243965118796801</v>
      </c>
      <c r="AI137">
        <f>4.08395027746556*1</f>
        <v>4.0839502774655596</v>
      </c>
      <c r="AJ137">
        <v>1</v>
      </c>
      <c r="AK137">
        <v>0</v>
      </c>
      <c r="AL137">
        <v>0</v>
      </c>
    </row>
    <row r="138" spans="1:38" x14ac:dyDescent="0.2">
      <c r="A138" t="s">
        <v>58</v>
      </c>
      <c r="B138" t="s">
        <v>59</v>
      </c>
      <c r="C138" t="s">
        <v>59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11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5.6</v>
      </c>
      <c r="AE138">
        <v>18</v>
      </c>
      <c r="AF138">
        <v>20.478670975514721</v>
      </c>
      <c r="AG138">
        <v>17.817996702789252</v>
      </c>
      <c r="AH138">
        <f>17.8606754421751*1</f>
        <v>17.860675442175101</v>
      </c>
      <c r="AI138">
        <f>3.58201318810532*1</f>
        <v>3.5820131881053201</v>
      </c>
      <c r="AJ138">
        <v>1</v>
      </c>
      <c r="AK138">
        <v>1</v>
      </c>
      <c r="AL138">
        <v>1</v>
      </c>
    </row>
    <row r="139" spans="1:38" hidden="1" x14ac:dyDescent="0.2">
      <c r="A139" t="s">
        <v>330</v>
      </c>
      <c r="B139" t="s">
        <v>331</v>
      </c>
      <c r="C139" t="s">
        <v>331</v>
      </c>
      <c r="D139" t="s">
        <v>3</v>
      </c>
      <c r="E139">
        <v>1</v>
      </c>
      <c r="F139">
        <v>0</v>
      </c>
      <c r="G139">
        <v>0</v>
      </c>
      <c r="H139">
        <v>0</v>
      </c>
      <c r="I139" t="s">
        <v>29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4.2</v>
      </c>
      <c r="AE139">
        <v>716</v>
      </c>
      <c r="AF139">
        <v>17.10526315789475</v>
      </c>
      <c r="AG139">
        <v>15.90909090909091</v>
      </c>
      <c r="AH139">
        <f>17.5041071969473*1</f>
        <v>17.504107196947299</v>
      </c>
      <c r="AI139">
        <f>3.50082143938947*1</f>
        <v>3.5008214393894699</v>
      </c>
      <c r="AJ139">
        <v>1</v>
      </c>
      <c r="AK139">
        <v>0</v>
      </c>
      <c r="AL139">
        <v>0</v>
      </c>
    </row>
    <row r="140" spans="1:38" x14ac:dyDescent="0.2">
      <c r="A140" t="s">
        <v>313</v>
      </c>
      <c r="B140" t="s">
        <v>314</v>
      </c>
      <c r="C140" t="s">
        <v>314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7.1</v>
      </c>
      <c r="AE140">
        <v>684</v>
      </c>
      <c r="AF140">
        <v>23.922427798958839</v>
      </c>
      <c r="AG140">
        <v>20.572809772553342</v>
      </c>
      <c r="AH140">
        <f>23.9162430929486*1</f>
        <v>23.916243092948601</v>
      </c>
      <c r="AI140">
        <f>3.27655421061763*1</f>
        <v>3.27655421061763</v>
      </c>
      <c r="AJ140">
        <v>1</v>
      </c>
      <c r="AK140">
        <v>1</v>
      </c>
      <c r="AL140">
        <v>1</v>
      </c>
    </row>
    <row r="141" spans="1:38" hidden="1" x14ac:dyDescent="0.2">
      <c r="A141" t="s">
        <v>334</v>
      </c>
      <c r="B141" t="s">
        <v>335</v>
      </c>
      <c r="C141" t="s">
        <v>335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4.7</v>
      </c>
      <c r="AE141">
        <v>720</v>
      </c>
      <c r="AF141">
        <v>15</v>
      </c>
      <c r="AG141">
        <v>14.5</v>
      </c>
      <c r="AH141">
        <f>16.50546372395*1</f>
        <v>16.505463723950001</v>
      </c>
      <c r="AI141">
        <f>3.30109274479*1</f>
        <v>3.30109274479</v>
      </c>
      <c r="AJ141">
        <v>1</v>
      </c>
      <c r="AK141">
        <v>0</v>
      </c>
      <c r="AL141">
        <v>0</v>
      </c>
    </row>
    <row r="142" spans="1:38" hidden="1" x14ac:dyDescent="0.2">
      <c r="A142" t="s">
        <v>336</v>
      </c>
      <c r="B142" t="s">
        <v>337</v>
      </c>
      <c r="C142" t="s">
        <v>336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4.5999999999999996</v>
      </c>
      <c r="AE142">
        <v>724</v>
      </c>
      <c r="AF142">
        <v>9.6716772040419983</v>
      </c>
      <c r="AG142">
        <v>11.79245283018868</v>
      </c>
      <c r="AH142">
        <f>15.7859696570003*1</f>
        <v>15.785969657000299</v>
      </c>
      <c r="AI142">
        <f>3.33465978532635*1</f>
        <v>3.33465978532635</v>
      </c>
      <c r="AJ142">
        <v>1</v>
      </c>
      <c r="AK142">
        <v>0</v>
      </c>
      <c r="AL142">
        <v>0</v>
      </c>
    </row>
    <row r="143" spans="1:38" hidden="1" x14ac:dyDescent="0.2">
      <c r="A143" t="s">
        <v>75</v>
      </c>
      <c r="B143" t="s">
        <v>338</v>
      </c>
      <c r="C143" t="s">
        <v>339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6</v>
      </c>
      <c r="AE143">
        <v>731</v>
      </c>
      <c r="AF143">
        <v>17.72727272727273</v>
      </c>
      <c r="AG143">
        <v>16.187396558284561</v>
      </c>
      <c r="AH143">
        <f>17.5085940789648*1</f>
        <v>17.508594078964801</v>
      </c>
      <c r="AI143">
        <f>3.50171883016116*1</f>
        <v>3.5017188301611601</v>
      </c>
      <c r="AJ143">
        <v>1</v>
      </c>
      <c r="AK143">
        <v>0</v>
      </c>
      <c r="AL143">
        <v>0</v>
      </c>
    </row>
    <row r="144" spans="1:38" hidden="1" x14ac:dyDescent="0.2">
      <c r="A144" t="s">
        <v>340</v>
      </c>
      <c r="B144" t="s">
        <v>341</v>
      </c>
      <c r="C144" t="s">
        <v>341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4.9000000000000004</v>
      </c>
      <c r="AE144">
        <v>733</v>
      </c>
      <c r="AF144">
        <v>18.499999999999989</v>
      </c>
      <c r="AG144">
        <v>16.668849370717819</v>
      </c>
      <c r="AH144">
        <f>17.7998821023001*1</f>
        <v>17.799882102300099</v>
      </c>
      <c r="AI144">
        <f>3.55997642136225*1</f>
        <v>3.5599764213622498</v>
      </c>
      <c r="AJ144">
        <v>1</v>
      </c>
      <c r="AK144">
        <v>0</v>
      </c>
      <c r="AL144">
        <v>0</v>
      </c>
    </row>
    <row r="145" spans="1:38" hidden="1" x14ac:dyDescent="0.2">
      <c r="A145" t="s">
        <v>342</v>
      </c>
      <c r="B145" t="s">
        <v>343</v>
      </c>
      <c r="C145" t="s">
        <v>343</v>
      </c>
      <c r="D145" t="s">
        <v>4</v>
      </c>
      <c r="E145">
        <v>0</v>
      </c>
      <c r="F145">
        <v>1</v>
      </c>
      <c r="G145">
        <v>0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4.5</v>
      </c>
      <c r="AE145">
        <v>735</v>
      </c>
      <c r="AF145">
        <v>16.56786398607327</v>
      </c>
      <c r="AG145">
        <v>15.47413793103448</v>
      </c>
      <c r="AH145">
        <f>17.0907396873516*1</f>
        <v>17.090739687351601</v>
      </c>
      <c r="AI145">
        <f>3.19608450186577*1</f>
        <v>3.1960845018657702</v>
      </c>
      <c r="AJ145">
        <v>1</v>
      </c>
      <c r="AK145">
        <v>0</v>
      </c>
      <c r="AL145">
        <v>0</v>
      </c>
    </row>
    <row r="146" spans="1:38" hidden="1" x14ac:dyDescent="0.2">
      <c r="A146" t="s">
        <v>344</v>
      </c>
      <c r="B146" t="s">
        <v>345</v>
      </c>
      <c r="C146" t="s">
        <v>249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5</v>
      </c>
      <c r="AE146">
        <v>737</v>
      </c>
      <c r="AF146">
        <v>10</v>
      </c>
      <c r="AG146">
        <v>11.66666666666667</v>
      </c>
      <c r="AH146">
        <f>15.2142480884333*1</f>
        <v>15.214248088433299</v>
      </c>
      <c r="AI146">
        <f>3.04284961768666*1</f>
        <v>3.04284961768666</v>
      </c>
      <c r="AJ146">
        <v>1</v>
      </c>
      <c r="AK146">
        <v>0</v>
      </c>
      <c r="AL146">
        <v>0</v>
      </c>
    </row>
    <row r="147" spans="1:38" hidden="1" x14ac:dyDescent="0.2">
      <c r="A147" t="s">
        <v>142</v>
      </c>
      <c r="B147" t="s">
        <v>346</v>
      </c>
      <c r="C147" t="s">
        <v>346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6</v>
      </c>
      <c r="AE147">
        <v>739</v>
      </c>
      <c r="AF147">
        <v>20.14149102963605</v>
      </c>
      <c r="AG147">
        <v>16.716666666666669</v>
      </c>
      <c r="AH147">
        <f>16.3661488889044*1</f>
        <v>16.366148888904402</v>
      </c>
      <c r="AI147">
        <f>2.76193722285586*1</f>
        <v>2.7619372228558601</v>
      </c>
      <c r="AJ147">
        <v>1</v>
      </c>
      <c r="AK147">
        <v>0</v>
      </c>
      <c r="AL147">
        <v>0</v>
      </c>
    </row>
    <row r="148" spans="1:38" hidden="1" x14ac:dyDescent="0.2">
      <c r="A148" t="s">
        <v>347</v>
      </c>
      <c r="B148" t="s">
        <v>348</v>
      </c>
      <c r="C148" t="s">
        <v>348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6.8</v>
      </c>
      <c r="AE148">
        <v>741</v>
      </c>
      <c r="AF148">
        <v>33.351374438217462</v>
      </c>
      <c r="AG148">
        <v>16.875</v>
      </c>
      <c r="AH148">
        <f>4.35139417869385*1</f>
        <v>4.3513941786938499</v>
      </c>
      <c r="AI148">
        <f>-1.76989585612854*1</f>
        <v>-1.7698958561285401</v>
      </c>
      <c r="AJ148">
        <v>1</v>
      </c>
      <c r="AK148">
        <v>0</v>
      </c>
      <c r="AL148">
        <v>0</v>
      </c>
    </row>
    <row r="149" spans="1:38" hidden="1" x14ac:dyDescent="0.2">
      <c r="A149" t="s">
        <v>349</v>
      </c>
      <c r="B149" t="s">
        <v>350</v>
      </c>
      <c r="C149" t="s">
        <v>350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4.5</v>
      </c>
      <c r="AE149">
        <v>753</v>
      </c>
      <c r="AF149">
        <v>15.11767125284036</v>
      </c>
      <c r="AG149">
        <v>13.95</v>
      </c>
      <c r="AH149">
        <f>19.6559160290429*1</f>
        <v>19.655916029042899</v>
      </c>
      <c r="AI149">
        <f>3.79200984744267*1</f>
        <v>3.79200984744267</v>
      </c>
      <c r="AJ149">
        <v>1</v>
      </c>
      <c r="AK149">
        <v>0</v>
      </c>
      <c r="AL149">
        <v>0</v>
      </c>
    </row>
    <row r="150" spans="1:38" hidden="1" x14ac:dyDescent="0.2">
      <c r="A150" t="s">
        <v>351</v>
      </c>
      <c r="B150" t="s">
        <v>352</v>
      </c>
      <c r="C150" t="s">
        <v>353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5.6</v>
      </c>
      <c r="AE150">
        <v>758</v>
      </c>
      <c r="AF150">
        <v>32.131937659858643</v>
      </c>
      <c r="AG150">
        <v>14.58333333333333</v>
      </c>
      <c r="AH150">
        <f>22.7546202780107*1</f>
        <v>22.754620278010702</v>
      </c>
      <c r="AI150">
        <f>4.5130348410367*1</f>
        <v>4.5130348410367001</v>
      </c>
      <c r="AJ150">
        <v>1</v>
      </c>
      <c r="AK150">
        <v>0</v>
      </c>
      <c r="AL150">
        <v>0</v>
      </c>
    </row>
    <row r="151" spans="1:38" hidden="1" x14ac:dyDescent="0.2">
      <c r="A151" t="s">
        <v>354</v>
      </c>
      <c r="B151" t="s">
        <v>355</v>
      </c>
      <c r="C151" t="s">
        <v>355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4.5</v>
      </c>
      <c r="AE151">
        <v>763</v>
      </c>
      <c r="AF151">
        <v>15.18518518518519</v>
      </c>
      <c r="AG151">
        <v>15.439186814138139</v>
      </c>
      <c r="AH151">
        <f>21.5452713040496*1</f>
        <v>21.545271304049599</v>
      </c>
      <c r="AI151">
        <f>4.25014068390684*1</f>
        <v>4.2501406839068396</v>
      </c>
      <c r="AJ151">
        <v>1</v>
      </c>
      <c r="AK151">
        <v>0</v>
      </c>
      <c r="AL151">
        <v>0</v>
      </c>
    </row>
    <row r="152" spans="1:38" hidden="1" x14ac:dyDescent="0.2">
      <c r="A152" t="s">
        <v>356</v>
      </c>
      <c r="B152" t="s">
        <v>357</v>
      </c>
      <c r="C152" t="s">
        <v>357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4.9000000000000004</v>
      </c>
      <c r="AE152">
        <v>765</v>
      </c>
      <c r="AF152">
        <v>11.26506024096386</v>
      </c>
      <c r="AG152">
        <v>12.61538461538461</v>
      </c>
      <c r="AH152">
        <f>17.4502573741468*1</f>
        <v>17.450257374146801</v>
      </c>
      <c r="AI152">
        <f>3.49005147482937*1</f>
        <v>3.4900514748293698</v>
      </c>
      <c r="AJ152">
        <v>1</v>
      </c>
      <c r="AK152">
        <v>0</v>
      </c>
      <c r="AL152">
        <v>0</v>
      </c>
    </row>
    <row r="153" spans="1:38" hidden="1" x14ac:dyDescent="0.2">
      <c r="A153" t="s">
        <v>358</v>
      </c>
      <c r="B153" t="s">
        <v>359</v>
      </c>
      <c r="C153" t="s">
        <v>360</v>
      </c>
      <c r="D153" t="s">
        <v>3</v>
      </c>
      <c r="E153">
        <v>1</v>
      </c>
      <c r="F153">
        <v>0</v>
      </c>
      <c r="G153">
        <v>0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5</v>
      </c>
      <c r="AE153">
        <v>768</v>
      </c>
      <c r="AF153">
        <v>18.471419805748521</v>
      </c>
      <c r="AG153">
        <v>17.39130434782609</v>
      </c>
      <c r="AH153">
        <f>24.454050029006*1</f>
        <v>24.454050029006002</v>
      </c>
      <c r="AI153">
        <f>4.79126978133622*1</f>
        <v>4.7912697813362204</v>
      </c>
      <c r="AJ153">
        <v>1</v>
      </c>
      <c r="AK153">
        <v>0</v>
      </c>
      <c r="AL153">
        <v>0</v>
      </c>
    </row>
    <row r="154" spans="1:38" hidden="1" x14ac:dyDescent="0.2">
      <c r="A154" t="s">
        <v>361</v>
      </c>
      <c r="B154" t="s">
        <v>362</v>
      </c>
      <c r="C154" t="s">
        <v>362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4.7</v>
      </c>
      <c r="AE154">
        <v>769</v>
      </c>
      <c r="AF154">
        <v>28.327845731433229</v>
      </c>
      <c r="AG154">
        <v>11.875</v>
      </c>
      <c r="AH154">
        <f>18.821075222629*1</f>
        <v>18.821075222628998</v>
      </c>
      <c r="AI154">
        <f>3.82210056068591*1</f>
        <v>3.82210056068591</v>
      </c>
      <c r="AJ154">
        <v>1</v>
      </c>
      <c r="AK154">
        <v>0</v>
      </c>
      <c r="AL154">
        <v>0</v>
      </c>
    </row>
    <row r="155" spans="1:38" hidden="1" x14ac:dyDescent="0.2">
      <c r="A155" t="s">
        <v>363</v>
      </c>
      <c r="B155" t="s">
        <v>364</v>
      </c>
      <c r="C155" t="s">
        <v>365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4.5</v>
      </c>
      <c r="AE155">
        <v>771</v>
      </c>
      <c r="AF155">
        <v>14.196428571428569</v>
      </c>
      <c r="AG155">
        <v>14.942319910528481</v>
      </c>
      <c r="AH155">
        <f>20.7843257242433*1</f>
        <v>20.784325724243299</v>
      </c>
      <c r="AI155">
        <f>4.15118621584644*1</f>
        <v>4.1511862158464403</v>
      </c>
      <c r="AJ155">
        <v>1</v>
      </c>
      <c r="AK155">
        <v>0</v>
      </c>
      <c r="AL155">
        <v>0</v>
      </c>
    </row>
    <row r="156" spans="1:38" hidden="1" x14ac:dyDescent="0.2">
      <c r="A156" t="s">
        <v>366</v>
      </c>
      <c r="B156" t="s">
        <v>367</v>
      </c>
      <c r="C156" t="s">
        <v>368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4.4000000000000004</v>
      </c>
      <c r="AE156">
        <v>772</v>
      </c>
      <c r="AF156">
        <v>12.43589743589744</v>
      </c>
      <c r="AG156">
        <v>12.41666666666667</v>
      </c>
      <c r="AH156">
        <f>17.3575682186846*1</f>
        <v>17.357568218684602</v>
      </c>
      <c r="AI156">
        <f>3.47151364373692*1</f>
        <v>3.4715136437369201</v>
      </c>
      <c r="AJ156">
        <v>1</v>
      </c>
      <c r="AK156">
        <v>0</v>
      </c>
      <c r="AL156">
        <v>0</v>
      </c>
    </row>
    <row r="157" spans="1:38" x14ac:dyDescent="0.2">
      <c r="A157" t="s">
        <v>187</v>
      </c>
      <c r="B157" t="s">
        <v>188</v>
      </c>
      <c r="C157" t="s">
        <v>188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19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4.5999999999999996</v>
      </c>
      <c r="AE157">
        <v>332</v>
      </c>
      <c r="AF157">
        <v>15.906986000063471</v>
      </c>
      <c r="AG157">
        <v>13.369565217391299</v>
      </c>
      <c r="AH157">
        <f>13.051164179419*1</f>
        <v>13.051164179419001</v>
      </c>
      <c r="AI157">
        <f>1.60013955711672*1</f>
        <v>1.6001395571167201</v>
      </c>
      <c r="AJ157">
        <v>1</v>
      </c>
      <c r="AK157">
        <v>1</v>
      </c>
      <c r="AL157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2024-01-29T22:41:36Z</dcterms:created>
  <dcterms:modified xsi:type="dcterms:W3CDTF">2024-01-29T22:45:16Z</dcterms:modified>
</cp:coreProperties>
</file>