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Calibrations/2023-24/"/>
    </mc:Choice>
  </mc:AlternateContent>
  <xr:revisionPtr revIDLastSave="0" documentId="13_ncr:1_{DD818581-F1B8-6E48-B7D7-CB64811B0147}" xr6:coauthVersionLast="47" xr6:coauthVersionMax="47" xr10:uidLastSave="{00000000-0000-0000-0000-000000000000}"/>
  <bookViews>
    <workbookView xWindow="4680" yWindow="1900" windowWidth="16100" windowHeight="9660" firstSheet="12" activeTab="19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0" l="1"/>
  <c r="F9" i="20" s="1"/>
  <c r="F8" i="20"/>
  <c r="D8" i="20"/>
  <c r="F7" i="20"/>
  <c r="D7" i="20"/>
  <c r="D6" i="20"/>
  <c r="F6" i="20" s="1"/>
  <c r="D5" i="20"/>
  <c r="F5" i="20" s="1"/>
  <c r="F4" i="20"/>
  <c r="D4" i="20"/>
  <c r="F3" i="20"/>
  <c r="D3" i="20"/>
  <c r="D2" i="20"/>
  <c r="F2" i="20" s="1"/>
  <c r="F10" i="19"/>
  <c r="D10" i="19"/>
  <c r="D9" i="19"/>
  <c r="F9" i="19" s="1"/>
  <c r="F8" i="19"/>
  <c r="D8" i="19"/>
  <c r="F7" i="19"/>
  <c r="D7" i="19"/>
  <c r="D6" i="19"/>
  <c r="F6" i="19" s="1"/>
  <c r="D5" i="19"/>
  <c r="F5" i="19" s="1"/>
  <c r="F4" i="19"/>
  <c r="D4" i="19"/>
  <c r="F3" i="19"/>
  <c r="D3" i="19"/>
  <c r="D2" i="19"/>
  <c r="F2" i="19" s="1"/>
  <c r="F9" i="18"/>
  <c r="D9" i="18"/>
  <c r="D8" i="18"/>
  <c r="F8" i="18" s="1"/>
  <c r="D7" i="18"/>
  <c r="F7" i="18" s="1"/>
  <c r="F6" i="18"/>
  <c r="D6" i="18"/>
  <c r="I5" i="18"/>
  <c r="F5" i="18"/>
  <c r="D5" i="18"/>
  <c r="D4" i="18"/>
  <c r="F4" i="18" s="1"/>
  <c r="F3" i="18"/>
  <c r="D3" i="18"/>
  <c r="F2" i="18"/>
  <c r="D2" i="18"/>
  <c r="I5" i="17"/>
  <c r="F3" i="17"/>
  <c r="D3" i="17"/>
  <c r="D2" i="17"/>
  <c r="F2" i="17" s="1"/>
  <c r="I7" i="17" s="1"/>
  <c r="D6" i="16"/>
  <c r="F6" i="16" s="1"/>
  <c r="D5" i="16"/>
  <c r="I5" i="16" s="1"/>
  <c r="F4" i="16"/>
  <c r="D4" i="16"/>
  <c r="D3" i="16"/>
  <c r="F3" i="16" s="1"/>
  <c r="F2" i="16"/>
  <c r="D2" i="16"/>
  <c r="F8" i="15"/>
  <c r="D8" i="15"/>
  <c r="F7" i="15"/>
  <c r="D7" i="15"/>
  <c r="F6" i="15"/>
  <c r="D6" i="15"/>
  <c r="I5" i="15"/>
  <c r="F5" i="15"/>
  <c r="D5" i="15"/>
  <c r="F4" i="15"/>
  <c r="D4" i="15"/>
  <c r="D3" i="15"/>
  <c r="F3" i="15" s="1"/>
  <c r="F2" i="15"/>
  <c r="I7" i="15" s="1"/>
  <c r="D2" i="15"/>
  <c r="D6" i="14"/>
  <c r="F6" i="14" s="1"/>
  <c r="F5" i="14"/>
  <c r="D5" i="14"/>
  <c r="I5" i="14" s="1"/>
  <c r="D4" i="14"/>
  <c r="F4" i="14" s="1"/>
  <c r="D3" i="14"/>
  <c r="F3" i="14" s="1"/>
  <c r="D2" i="14"/>
  <c r="F2" i="14" s="1"/>
  <c r="F13" i="13"/>
  <c r="D13" i="13"/>
  <c r="F12" i="13"/>
  <c r="D12" i="13"/>
  <c r="D11" i="13"/>
  <c r="F11" i="13" s="1"/>
  <c r="D10" i="13"/>
  <c r="F10" i="13" s="1"/>
  <c r="D9" i="13"/>
  <c r="F9" i="13" s="1"/>
  <c r="F8" i="13"/>
  <c r="D8" i="13"/>
  <c r="D7" i="13"/>
  <c r="F7" i="13" s="1"/>
  <c r="F6" i="13"/>
  <c r="D6" i="13"/>
  <c r="I5" i="13"/>
  <c r="D5" i="13"/>
  <c r="F5" i="13" s="1"/>
  <c r="F4" i="13"/>
  <c r="D4" i="13"/>
  <c r="F3" i="13"/>
  <c r="D3" i="13"/>
  <c r="D2" i="13"/>
  <c r="F2" i="13" s="1"/>
  <c r="I7" i="13" s="1"/>
  <c r="I5" i="12"/>
  <c r="D5" i="12"/>
  <c r="F5" i="12" s="1"/>
  <c r="F4" i="12"/>
  <c r="D4" i="12"/>
  <c r="F3" i="12"/>
  <c r="D3" i="12"/>
  <c r="D2" i="12"/>
  <c r="F2" i="12" s="1"/>
  <c r="I7" i="12" s="1"/>
  <c r="D8" i="11"/>
  <c r="F8" i="11" s="1"/>
  <c r="D7" i="11"/>
  <c r="F7" i="11" s="1"/>
  <c r="D6" i="11"/>
  <c r="F6" i="11" s="1"/>
  <c r="D5" i="11"/>
  <c r="I5" i="11" s="1"/>
  <c r="D4" i="11"/>
  <c r="F4" i="11" s="1"/>
  <c r="D3" i="11"/>
  <c r="F3" i="11" s="1"/>
  <c r="F2" i="11"/>
  <c r="D2" i="11"/>
  <c r="F10" i="10"/>
  <c r="D10" i="10"/>
  <c r="F9" i="10"/>
  <c r="D9" i="10"/>
  <c r="D8" i="10"/>
  <c r="F8" i="10" s="1"/>
  <c r="D7" i="10"/>
  <c r="F7" i="10" s="1"/>
  <c r="D6" i="10"/>
  <c r="F6" i="10" s="1"/>
  <c r="F5" i="10"/>
  <c r="D5" i="10"/>
  <c r="I5" i="10" s="1"/>
  <c r="D4" i="10"/>
  <c r="F4" i="10" s="1"/>
  <c r="D3" i="10"/>
  <c r="F3" i="10" s="1"/>
  <c r="F2" i="10"/>
  <c r="D2" i="10"/>
  <c r="F10" i="9"/>
  <c r="D10" i="9"/>
  <c r="F9" i="9"/>
  <c r="D9" i="9"/>
  <c r="D8" i="9"/>
  <c r="F8" i="9" s="1"/>
  <c r="D7" i="9"/>
  <c r="F7" i="9" s="1"/>
  <c r="D6" i="9"/>
  <c r="F6" i="9" s="1"/>
  <c r="F5" i="9"/>
  <c r="D5" i="9"/>
  <c r="I5" i="9" s="1"/>
  <c r="D4" i="9"/>
  <c r="F4" i="9" s="1"/>
  <c r="D3" i="9"/>
  <c r="F3" i="9" s="1"/>
  <c r="F2" i="9"/>
  <c r="I7" i="9" s="1"/>
  <c r="D2" i="9"/>
  <c r="F9" i="8"/>
  <c r="D9" i="8"/>
  <c r="F8" i="8"/>
  <c r="D8" i="8"/>
  <c r="F7" i="8"/>
  <c r="D7" i="8"/>
  <c r="D6" i="8"/>
  <c r="F6" i="8" s="1"/>
  <c r="F5" i="8"/>
  <c r="D5" i="8"/>
  <c r="I5" i="8" s="1"/>
  <c r="F4" i="8"/>
  <c r="D4" i="8"/>
  <c r="D3" i="8"/>
  <c r="F3" i="8" s="1"/>
  <c r="D2" i="8"/>
  <c r="F2" i="8" s="1"/>
  <c r="F9" i="7"/>
  <c r="D9" i="7"/>
  <c r="F8" i="7"/>
  <c r="D8" i="7"/>
  <c r="F7" i="7"/>
  <c r="D7" i="7"/>
  <c r="F6" i="7"/>
  <c r="D6" i="7"/>
  <c r="I5" i="7"/>
  <c r="F5" i="7"/>
  <c r="D5" i="7"/>
  <c r="F4" i="7"/>
  <c r="D4" i="7"/>
  <c r="F3" i="7"/>
  <c r="D3" i="7"/>
  <c r="D2" i="7"/>
  <c r="F2" i="7" s="1"/>
  <c r="I7" i="7" s="1"/>
  <c r="D6" i="6"/>
  <c r="F6" i="6" s="1"/>
  <c r="F5" i="6"/>
  <c r="D5" i="6"/>
  <c r="I5" i="6" s="1"/>
  <c r="F4" i="6"/>
  <c r="D4" i="6"/>
  <c r="D3" i="6"/>
  <c r="F3" i="6" s="1"/>
  <c r="D2" i="6"/>
  <c r="F2" i="6" s="1"/>
  <c r="F8" i="5"/>
  <c r="D8" i="5"/>
  <c r="D7" i="5"/>
  <c r="F7" i="5" s="1"/>
  <c r="D6" i="5"/>
  <c r="F6" i="5" s="1"/>
  <c r="I5" i="5"/>
  <c r="D5" i="5"/>
  <c r="F5" i="5" s="1"/>
  <c r="F4" i="5"/>
  <c r="D4" i="5"/>
  <c r="D3" i="5"/>
  <c r="F3" i="5" s="1"/>
  <c r="D2" i="5"/>
  <c r="F2" i="5" s="1"/>
  <c r="D12" i="4"/>
  <c r="F12" i="4" s="1"/>
  <c r="D11" i="4"/>
  <c r="F11" i="4" s="1"/>
  <c r="F10" i="4"/>
  <c r="D10" i="4"/>
  <c r="D9" i="4"/>
  <c r="F9" i="4" s="1"/>
  <c r="D8" i="4"/>
  <c r="F8" i="4" s="1"/>
  <c r="F7" i="4"/>
  <c r="D7" i="4"/>
  <c r="D6" i="4"/>
  <c r="F6" i="4" s="1"/>
  <c r="D5" i="4"/>
  <c r="I5" i="4" s="1"/>
  <c r="D4" i="4"/>
  <c r="F4" i="4" s="1"/>
  <c r="D3" i="4"/>
  <c r="F3" i="4" s="1"/>
  <c r="D2" i="4"/>
  <c r="F2" i="4" s="1"/>
  <c r="F11" i="3"/>
  <c r="D11" i="3"/>
  <c r="D10" i="3"/>
  <c r="F10" i="3" s="1"/>
  <c r="D9" i="3"/>
  <c r="F9" i="3" s="1"/>
  <c r="D8" i="3"/>
  <c r="F8" i="3" s="1"/>
  <c r="D7" i="3"/>
  <c r="F7" i="3" s="1"/>
  <c r="D6" i="3"/>
  <c r="F6" i="3" s="1"/>
  <c r="D5" i="3"/>
  <c r="I5" i="3" s="1"/>
  <c r="D4" i="3"/>
  <c r="F4" i="3" s="1"/>
  <c r="D3" i="3"/>
  <c r="F3" i="3" s="1"/>
  <c r="F2" i="3"/>
  <c r="D2" i="3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I5" i="2"/>
  <c r="D5" i="2"/>
  <c r="F5" i="2" s="1"/>
  <c r="D4" i="2"/>
  <c r="F4" i="2" s="1"/>
  <c r="F3" i="2"/>
  <c r="D3" i="2"/>
  <c r="D2" i="2"/>
  <c r="F2" i="2" s="1"/>
  <c r="D13" i="1"/>
  <c r="F13" i="1" s="1"/>
  <c r="D12" i="1"/>
  <c r="F12" i="1" s="1"/>
  <c r="D11" i="1"/>
  <c r="F11" i="1" s="1"/>
  <c r="F10" i="1"/>
  <c r="D10" i="1"/>
  <c r="F9" i="1"/>
  <c r="D9" i="1"/>
  <c r="D8" i="1"/>
  <c r="F8" i="1" s="1"/>
  <c r="F7" i="1"/>
  <c r="D7" i="1"/>
  <c r="D6" i="1"/>
  <c r="F6" i="1" s="1"/>
  <c r="F5" i="1"/>
  <c r="D5" i="1"/>
  <c r="I5" i="1" s="1"/>
  <c r="D4" i="1"/>
  <c r="F4" i="1" s="1"/>
  <c r="D3" i="1"/>
  <c r="F3" i="1" s="1"/>
  <c r="D2" i="1"/>
  <c r="F2" i="1" s="1"/>
  <c r="I7" i="1" s="1"/>
  <c r="I7" i="5" l="1"/>
  <c r="I7" i="6"/>
  <c r="I7" i="10"/>
  <c r="I7" i="18"/>
  <c r="I7" i="19"/>
  <c r="I7" i="2"/>
  <c r="I7" i="8"/>
  <c r="I7" i="11"/>
  <c r="I7" i="20"/>
  <c r="I7" i="14"/>
  <c r="I5" i="19"/>
  <c r="I5" i="20"/>
  <c r="F5" i="3"/>
  <c r="I7" i="3" s="1"/>
  <c r="F5" i="11"/>
  <c r="F5" i="16"/>
  <c r="I7" i="16" s="1"/>
  <c r="F5" i="4"/>
  <c r="I7" i="4" s="1"/>
</calcChain>
</file>

<file path=xl/sharedStrings.xml><?xml version="1.0" encoding="utf-8"?>
<sst xmlns="http://schemas.openxmlformats.org/spreadsheetml/2006/main" count="356" uniqueCount="166">
  <si>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</si>
  <si>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</si>
  <si>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</si>
  <si>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</si>
  <si>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</si>
  <si>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</si>
  <si>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</si>
  <si>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</si>
  <si>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</si>
  <si>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</si>
  <si>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</si>
  <si>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</si>
  <si>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</si>
  <si>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</si>
  <si>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</si>
  <si>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</si>
  <si>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</si>
  <si>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</si>
  <si>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</si>
  <si>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</si>
  <si>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</si>
  <si>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</si>
  <si>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Digne</t>
  </si>
  <si>
    <t>Tielemans</t>
  </si>
  <si>
    <t>Douglas Luiz</t>
  </si>
  <si>
    <t>McGinn</t>
  </si>
  <si>
    <t>Konsa</t>
  </si>
  <si>
    <t>Watkins</t>
  </si>
  <si>
    <t>Bailey</t>
  </si>
  <si>
    <t>Martinez</t>
  </si>
  <si>
    <t>Diaby</t>
  </si>
  <si>
    <t>Pau</t>
  </si>
  <si>
    <t>Smith</t>
  </si>
  <si>
    <t>L.Cook</t>
  </si>
  <si>
    <t>Solanke</t>
  </si>
  <si>
    <t>Christie</t>
  </si>
  <si>
    <t>Tavernier</t>
  </si>
  <si>
    <t>Senesi</t>
  </si>
  <si>
    <t>Neto</t>
  </si>
  <si>
    <t>Semenyo</t>
  </si>
  <si>
    <t>Zabarnyi</t>
  </si>
  <si>
    <t>Kluivert</t>
  </si>
  <si>
    <t>Nørgaard</t>
  </si>
  <si>
    <t>Pinnock</t>
  </si>
  <si>
    <t>Janelt</t>
  </si>
  <si>
    <t>Mbeumo</t>
  </si>
  <si>
    <t>Ajer</t>
  </si>
  <si>
    <t>Wissa</t>
  </si>
  <si>
    <t>Jensen</t>
  </si>
  <si>
    <t>Roerslev</t>
  </si>
  <si>
    <t>Collins</t>
  </si>
  <si>
    <t>Lewis-Potter</t>
  </si>
  <si>
    <t>Flekken</t>
  </si>
  <si>
    <t>Dunk</t>
  </si>
  <si>
    <t>Gross</t>
  </si>
  <si>
    <t>Welbeck</t>
  </si>
  <si>
    <t>João Pedro</t>
  </si>
  <si>
    <t>Van Hecke</t>
  </si>
  <si>
    <t>Buonanotte</t>
  </si>
  <si>
    <t>Adingra</t>
  </si>
  <si>
    <t>Berge</t>
  </si>
  <si>
    <t>Brownhill</t>
  </si>
  <si>
    <t>O'Shea</t>
  </si>
  <si>
    <t>Bruun Larsen</t>
  </si>
  <si>
    <t>Odobert</t>
  </si>
  <si>
    <t>Sterling</t>
  </si>
  <si>
    <t>Gallagher</t>
  </si>
  <si>
    <t>Palmer</t>
  </si>
  <si>
    <t>T.Silva</t>
  </si>
  <si>
    <t>Colwill</t>
  </si>
  <si>
    <t>Mudryk</t>
  </si>
  <si>
    <t>Enzo</t>
  </si>
  <si>
    <t>N.Jackson</t>
  </si>
  <si>
    <t>Schlupp</t>
  </si>
  <si>
    <t>Hughes</t>
  </si>
  <si>
    <t>J.Ayew</t>
  </si>
  <si>
    <t>Mitchell</t>
  </si>
  <si>
    <t>Eze</t>
  </si>
  <si>
    <t>Andersen</t>
  </si>
  <si>
    <t>Mateta</t>
  </si>
  <si>
    <t>Lerma</t>
  </si>
  <si>
    <t>A.Doucoure</t>
  </si>
  <si>
    <t>Gana</t>
  </si>
  <si>
    <t>Tarkowski</t>
  </si>
  <si>
    <t>Pickford</t>
  </si>
  <si>
    <t>Young</t>
  </si>
  <si>
    <t>Calvert-Lewin</t>
  </si>
  <si>
    <t>McNeil</t>
  </si>
  <si>
    <t>Garner</t>
  </si>
  <si>
    <t>Branthwaite</t>
  </si>
  <si>
    <t>Iwobi</t>
  </si>
  <si>
    <t>Leno</t>
  </si>
  <si>
    <t>Wilson</t>
  </si>
  <si>
    <t>Castagne</t>
  </si>
  <si>
    <t>Robinson</t>
  </si>
  <si>
    <t>J.Palhinha</t>
  </si>
  <si>
    <t>Andreas</t>
  </si>
  <si>
    <t>De Cordova-Reid</t>
  </si>
  <si>
    <t>Bassey</t>
  </si>
  <si>
    <t>A.Becker</t>
  </si>
  <si>
    <t>Salah</t>
  </si>
  <si>
    <t>Elliott</t>
  </si>
  <si>
    <t>Mac Allister</t>
  </si>
  <si>
    <t>Luis Díaz</t>
  </si>
  <si>
    <t>Darwin</t>
  </si>
  <si>
    <t>Gakpo</t>
  </si>
  <si>
    <t>Barkley</t>
  </si>
  <si>
    <t>Chong</t>
  </si>
  <si>
    <t>Ogbene</t>
  </si>
  <si>
    <t>Morris</t>
  </si>
  <si>
    <t>Ederson M.</t>
  </si>
  <si>
    <t>Walker</t>
  </si>
  <si>
    <t>Aké</t>
  </si>
  <si>
    <t>Foden</t>
  </si>
  <si>
    <t>Rodrigo</t>
  </si>
  <si>
    <t>Haaland</t>
  </si>
  <si>
    <t>Bernardo</t>
  </si>
  <si>
    <t>J.Alvarez</t>
  </si>
  <si>
    <t>Rúben</t>
  </si>
  <si>
    <t>Akanji</t>
  </si>
  <si>
    <t>Gvardiol</t>
  </si>
  <si>
    <t>Doku</t>
  </si>
  <si>
    <t>Rashford</t>
  </si>
  <si>
    <t>B.Fernandes</t>
  </si>
  <si>
    <t>Garnacho</t>
  </si>
  <si>
    <t>Casemiro</t>
  </si>
  <si>
    <t>Onana</t>
  </si>
  <si>
    <t>Trippier</t>
  </si>
  <si>
    <t>Schär</t>
  </si>
  <si>
    <t>Longstaff</t>
  </si>
  <si>
    <t>Burn</t>
  </si>
  <si>
    <t>Gordon</t>
  </si>
  <si>
    <t>Bruno G.</t>
  </si>
  <si>
    <t>Isak</t>
  </si>
  <si>
    <t>Wood</t>
  </si>
  <si>
    <t>Gibbs-White</t>
  </si>
  <si>
    <t>Hudson-Odoi</t>
  </si>
  <si>
    <t>Elanga</t>
  </si>
  <si>
    <t>Danilo</t>
  </si>
  <si>
    <t>Archer</t>
  </si>
  <si>
    <t>Hamer</t>
  </si>
  <si>
    <t>Maddison</t>
  </si>
  <si>
    <t>Richarlison</t>
  </si>
  <si>
    <t>Romero</t>
  </si>
  <si>
    <t>Johnson</t>
  </si>
  <si>
    <t>Son</t>
  </si>
  <si>
    <t>Pedro Porro</t>
  </si>
  <si>
    <t>Udogie</t>
  </si>
  <si>
    <t>Vicario</t>
  </si>
  <si>
    <t>Antonio</t>
  </si>
  <si>
    <t>Ward-Prowse</t>
  </si>
  <si>
    <t>Zouma</t>
  </si>
  <si>
    <t>Bowen</t>
  </si>
  <si>
    <t>Areola</t>
  </si>
  <si>
    <t>L.Paquetá</t>
  </si>
  <si>
    <t>Souček</t>
  </si>
  <si>
    <t>Álvarez</t>
  </si>
  <si>
    <t>Kudus</t>
  </si>
  <si>
    <t>Mario Jr.</t>
  </si>
  <si>
    <t>Dawson</t>
  </si>
  <si>
    <t>José Sá</t>
  </si>
  <si>
    <t>Toti</t>
  </si>
  <si>
    <t>Hee Chan</t>
  </si>
  <si>
    <t>Aït-Nouri</t>
  </si>
  <si>
    <t>Cunha</t>
  </si>
  <si>
    <t>Sarabia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</si>
</sst>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F13" totalsRowShown="0">
  <autoFilter ref="A1:F13" xr:uid="{00000000-0009-0000-0100-000001000000}"/>
  <tableColumns count="6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PP">
      <calculatedColumnFormula>TableARS[[#This Row],[ARIMAPP]]*$I$2+TableARS[[#This Row],[LSTMPP]]*$I$3</calculatedColumnFormula>
    </tableColumn>
    <tableColumn id="5" xr3:uid="{00000000-0010-0000-0000-000005000000}" name="AP"/>
    <tableColumn id="6" xr3:uid="{00000000-0010-0000-0000-000006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FUL" displayName="TableFUL" ref="A1:F10" totalsRowShown="0">
  <autoFilter ref="A1:F10" xr:uid="{00000000-0009-0000-0100-00000A000000}"/>
  <tableColumns count="6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PP">
      <calculatedColumnFormula>TableFUL[[#This Row],[ARIMAPP]]*$I$2+TableFUL[[#This Row],[LSTMPP]]*$I$3</calculatedColumnFormula>
    </tableColumn>
    <tableColumn id="5" xr3:uid="{00000000-0010-0000-0900-000005000000}" name="AP"/>
    <tableColumn id="6" xr3:uid="{00000000-0010-0000-0900-000006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LIV" displayName="TableLIV" ref="A1:F8" totalsRowShown="0">
  <autoFilter ref="A1:F8" xr:uid="{00000000-0009-0000-0100-00000B000000}"/>
  <tableColumns count="6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PP">
      <calculatedColumnFormula>TableLIV[[#This Row],[ARIMAPP]]*$I$2+TableLIV[[#This Row],[LSTMPP]]*$I$3</calculatedColumnFormula>
    </tableColumn>
    <tableColumn id="5" xr3:uid="{00000000-0010-0000-0A00-000005000000}" name="AP"/>
    <tableColumn id="6" xr3:uid="{00000000-0010-0000-0A00-000006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LUT" displayName="TableLUT" ref="A1:F5" totalsRowShown="0">
  <autoFilter ref="A1:F5" xr:uid="{00000000-0009-0000-0100-00000C000000}"/>
  <tableColumns count="6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PP">
      <calculatedColumnFormula>TableLUT[[#This Row],[ARIMAPP]]*$I$2+TableLUT[[#This Row],[LSTMPP]]*$I$3</calculatedColumnFormula>
    </tableColumn>
    <tableColumn id="5" xr3:uid="{00000000-0010-0000-0B00-000005000000}" name="AP"/>
    <tableColumn id="6" xr3:uid="{00000000-0010-0000-0B00-000006000000}" name="DIFF">
      <calculatedColumnFormula>ABS(TableLUT[[#This Row],[PP]]-TableLUT[[#This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MCI" displayName="TableMCI" ref="A1:F13" totalsRowShown="0">
  <autoFilter ref="A1:F13" xr:uid="{00000000-0009-0000-0100-00000D000000}"/>
  <tableColumns count="6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PP">
      <calculatedColumnFormula>TableMCI[[#This Row],[ARIMAPP]]*$I$2+TableMCI[[#This Row],[LSTMPP]]*$I$3</calculatedColumnFormula>
    </tableColumn>
    <tableColumn id="5" xr3:uid="{00000000-0010-0000-0C00-000005000000}" name="AP"/>
    <tableColumn id="6" xr3:uid="{00000000-0010-0000-0C00-000006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MUN" displayName="TableMUN" ref="A1:F6" totalsRowShown="0">
  <autoFilter ref="A1:F6" xr:uid="{00000000-0009-0000-0100-00000E000000}"/>
  <tableColumns count="6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PP">
      <calculatedColumnFormula>TableMUN[[#This Row],[ARIMAPP]]*$I$2+TableMUN[[#This Row],[LSTMPP]]*$I$3</calculatedColumnFormula>
    </tableColumn>
    <tableColumn id="5" xr3:uid="{00000000-0010-0000-0D00-000005000000}" name="AP"/>
    <tableColumn id="6" xr3:uid="{00000000-0010-0000-0D00-000006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NEW" displayName="TableNEW" ref="A1:F8" totalsRowShown="0">
  <autoFilter ref="A1:F8" xr:uid="{00000000-0009-0000-0100-00000F000000}"/>
  <tableColumns count="6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PP">
      <calculatedColumnFormula>TableNEW[[#This Row],[ARIMAPP]]*$I$2+TableNEW[[#This Row],[LSTMPP]]*$I$3</calculatedColumnFormula>
    </tableColumn>
    <tableColumn id="5" xr3:uid="{00000000-0010-0000-0E00-000005000000}" name="AP"/>
    <tableColumn id="6" xr3:uid="{00000000-0010-0000-0E00-000006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NFO" displayName="TableNFO" ref="A1:F6" totalsRowShown="0">
  <autoFilter ref="A1:F6" xr:uid="{00000000-0009-0000-0100-000010000000}"/>
  <tableColumns count="6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PP">
      <calculatedColumnFormula>TableNFO[[#This Row],[ARIMAPP]]*$I$2+TableNFO[[#This Row],[LSTMPP]]*$I$3</calculatedColumnFormula>
    </tableColumn>
    <tableColumn id="5" xr3:uid="{00000000-0010-0000-0F00-000005000000}" name="AP"/>
    <tableColumn id="6" xr3:uid="{00000000-0010-0000-0F00-000006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SHU" displayName="TableSHU" ref="A1:F3" totalsRowShown="0">
  <autoFilter ref="A1:F3" xr:uid="{00000000-0009-0000-0100-000011000000}"/>
  <tableColumns count="6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PP">
      <calculatedColumnFormula>TableSHU[[#This Row],[ARIMAPP]]*$I$2+TableSHU[[#This Row],[LSTMPP]]*$I$3</calculatedColumnFormula>
    </tableColumn>
    <tableColumn id="5" xr3:uid="{00000000-0010-0000-1000-000005000000}" name="AP"/>
    <tableColumn id="6" xr3:uid="{00000000-0010-0000-1000-000006000000}" name="DIFF">
      <calculatedColumnFormula>ABS(TableSHU[[#This Row],[PP]]-TableSHU[[#This Row],[AP]])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TOT" displayName="TableTOT" ref="A1:F9" totalsRowShown="0">
  <autoFilter ref="A1:F9" xr:uid="{00000000-0009-0000-0100-000012000000}"/>
  <tableColumns count="6">
    <tableColumn id="1" xr3:uid="{00000000-0010-0000-1100-000001000000}" name="Name"/>
    <tableColumn id="2" xr3:uid="{00000000-0010-0000-1100-000002000000}" name="ARIMAPP"/>
    <tableColumn id="3" xr3:uid="{00000000-0010-0000-1100-000003000000}" name="LSTMPP"/>
    <tableColumn id="4" xr3:uid="{00000000-0010-0000-1100-000004000000}" name="PP">
      <calculatedColumnFormula>TableTOT[[#This Row],[ARIMAPP]]*$I$2+TableTOT[[#This Row],[LSTMPP]]*$I$3</calculatedColumnFormula>
    </tableColumn>
    <tableColumn id="5" xr3:uid="{00000000-0010-0000-1100-000005000000}" name="AP"/>
    <tableColumn id="6" xr3:uid="{00000000-0010-0000-1100-000006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WHU" displayName="TableWHU" ref="A1:F10" totalsRowShown="0">
  <autoFilter ref="A1:F10" xr:uid="{00000000-0009-0000-0100-000013000000}"/>
  <tableColumns count="6">
    <tableColumn id="1" xr3:uid="{00000000-0010-0000-1200-000001000000}" name="Name"/>
    <tableColumn id="2" xr3:uid="{00000000-0010-0000-1200-000002000000}" name="ARIMAPP"/>
    <tableColumn id="3" xr3:uid="{00000000-0010-0000-1200-000003000000}" name="LSTMPP"/>
    <tableColumn id="4" xr3:uid="{00000000-0010-0000-1200-000004000000}" name="PP">
      <calculatedColumnFormula>TableWHU[[#This Row],[ARIMAPP]]*$I$2+TableWHU[[#This Row],[LSTMPP]]*$I$3</calculatedColumnFormula>
    </tableColumn>
    <tableColumn id="5" xr3:uid="{00000000-0010-0000-1200-000005000000}" name="AP"/>
    <tableColumn id="6" xr3:uid="{00000000-0010-0000-1200-000006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F11" totalsRowShown="0">
  <autoFilter ref="A1:F11" xr:uid="{00000000-0009-0000-0100-000002000000}"/>
  <tableColumns count="6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PP">
      <calculatedColumnFormula>TableAVL[[#This Row],[ARIMAPP]]*$I$2+TableAVL[[#This Row],[LSTMPP]]*$I$3</calculatedColumnFormula>
    </tableColumn>
    <tableColumn id="5" xr3:uid="{00000000-0010-0000-0100-000005000000}" name="AP"/>
    <tableColumn id="6" xr3:uid="{00000000-0010-0000-0100-000006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WOL" displayName="TableWOL" ref="A1:F9" totalsRowShown="0">
  <autoFilter ref="A1:F9" xr:uid="{00000000-0009-0000-0100-000014000000}"/>
  <tableColumns count="6">
    <tableColumn id="1" xr3:uid="{00000000-0010-0000-1300-000001000000}" name="Name"/>
    <tableColumn id="2" xr3:uid="{00000000-0010-0000-1300-000002000000}" name="ARIMAPP"/>
    <tableColumn id="3" xr3:uid="{00000000-0010-0000-1300-000003000000}" name="LSTMPP"/>
    <tableColumn id="4" xr3:uid="{00000000-0010-0000-1300-000004000000}" name="PP">
      <calculatedColumnFormula>TableWOL[[#This Row],[ARIMAPP]]*$I$2+TableWOL[[#This Row],[LSTMPP]]*$I$3</calculatedColumnFormula>
    </tableColumn>
    <tableColumn id="5" xr3:uid="{00000000-0010-0000-1300-000005000000}" name="AP"/>
    <tableColumn id="6" xr3:uid="{00000000-0010-0000-1300-000006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F11" totalsRowShown="0">
  <autoFilter ref="A1:F11" xr:uid="{00000000-0009-0000-0100-000003000000}"/>
  <tableColumns count="6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PP">
      <calculatedColumnFormula>TableBOU[[#This Row],[ARIMAPP]]*$I$2+TableBOU[[#This Row],[LSTMPP]]*$I$3</calculatedColumnFormula>
    </tableColumn>
    <tableColumn id="5" xr3:uid="{00000000-0010-0000-0200-000005000000}" name="AP"/>
    <tableColumn id="6" xr3:uid="{00000000-0010-0000-0200-000006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F12" totalsRowShown="0">
  <autoFilter ref="A1:F12" xr:uid="{00000000-0009-0000-0100-000004000000}"/>
  <tableColumns count="6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PP">
      <calculatedColumnFormula>TableBRE[[#This Row],[ARIMAPP]]*$I$2+TableBRE[[#This Row],[LSTMPP]]*$I$3</calculatedColumnFormula>
    </tableColumn>
    <tableColumn id="5" xr3:uid="{00000000-0010-0000-0300-000005000000}" name="AP"/>
    <tableColumn id="6" xr3:uid="{00000000-0010-0000-0300-000006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F8" totalsRowShown="0">
  <autoFilter ref="A1:F8" xr:uid="{00000000-0009-0000-0100-000005000000}"/>
  <tableColumns count="6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PP">
      <calculatedColumnFormula>TableBHA[[#This Row],[ARIMAPP]]*$I$2+TableBHA[[#This Row],[LSTMPP]]*$I$3</calculatedColumnFormula>
    </tableColumn>
    <tableColumn id="5" xr3:uid="{00000000-0010-0000-0400-000005000000}" name="AP"/>
    <tableColumn id="6" xr3:uid="{00000000-0010-0000-0400-000006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UR" displayName="TableBUR" ref="A1:F6" totalsRowShown="0">
  <autoFilter ref="A1:F6" xr:uid="{00000000-0009-0000-0100-000006000000}"/>
  <tableColumns count="6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PP">
      <calculatedColumnFormula>TableBUR[[#This Row],[ARIMAPP]]*$I$2+TableBUR[[#This Row],[LSTMPP]]*$I$3</calculatedColumnFormula>
    </tableColumn>
    <tableColumn id="5" xr3:uid="{00000000-0010-0000-0500-000005000000}" name="AP"/>
    <tableColumn id="6" xr3:uid="{00000000-0010-0000-0500-000006000000}" name="DIFF">
      <calculatedColumnFormula>ABS(TableBUR[[#This Row],[PP]]-TableBUR[[#This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HE" displayName="TableCHE" ref="A1:F9" totalsRowShown="0">
  <autoFilter ref="A1:F9" xr:uid="{00000000-0009-0000-0100-000007000000}"/>
  <tableColumns count="6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PP">
      <calculatedColumnFormula>TableCHE[[#This Row],[ARIMAPP]]*$I$2+TableCHE[[#This Row],[LSTMPP]]*$I$3</calculatedColumnFormula>
    </tableColumn>
    <tableColumn id="5" xr3:uid="{00000000-0010-0000-0600-000005000000}" name="AP"/>
    <tableColumn id="6" xr3:uid="{00000000-0010-0000-0600-000006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CRY" displayName="TableCRY" ref="A1:F9" totalsRowShown="0">
  <autoFilter ref="A1:F9" xr:uid="{00000000-0009-0000-0100-000008000000}"/>
  <tableColumns count="6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PP">
      <calculatedColumnFormula>TableCRY[[#This Row],[ARIMAPP]]*$I$2+TableCRY[[#This Row],[LSTMPP]]*$I$3</calculatedColumnFormula>
    </tableColumn>
    <tableColumn id="5" xr3:uid="{00000000-0010-0000-0700-000005000000}" name="AP"/>
    <tableColumn id="6" xr3:uid="{00000000-0010-0000-0700-000006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EVE" displayName="TableEVE" ref="A1:F10" totalsRowShown="0">
  <autoFilter ref="A1:F10" xr:uid="{00000000-0009-0000-0100-000009000000}"/>
  <tableColumns count="6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PP">
      <calculatedColumnFormula>TableEVE[[#This Row],[ARIMAPP]]*$I$2+TableEVE[[#This Row],[LSTMPP]]*$I$3</calculatedColumnFormula>
    </tableColumn>
    <tableColumn id="5" xr3:uid="{00000000-0010-0000-0800-000005000000}" name="AP"/>
    <tableColumn id="6" xr3:uid="{00000000-0010-0000-0800-000006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</v>
      </c>
      <c r="B2">
        <v>35.605772925370147</v>
      </c>
      <c r="C2">
        <v>26.468559041746449</v>
      </c>
      <c r="D2">
        <f>TableARS[[#This Row],[ARIMAPP]]*$I$2+TableARS[[#This Row],[LSTMPP]]*$I$3</f>
        <v>39.973624483519366</v>
      </c>
      <c r="E2">
        <v>58</v>
      </c>
      <c r="F2">
        <f>ABS(TableARS[[#This Row],[PP]]-TableARS[[#This Row],[AP]])</f>
        <v>18.026375516480634</v>
      </c>
      <c r="H2" t="s">
        <v>0</v>
      </c>
      <c r="I2">
        <v>0.93941966750999994</v>
      </c>
    </row>
    <row r="3" spans="1:9" x14ac:dyDescent="0.2">
      <c r="A3" t="s">
        <v>11</v>
      </c>
      <c r="B3">
        <v>40.258064516128997</v>
      </c>
      <c r="C3">
        <v>40.761162610450469</v>
      </c>
      <c r="D3">
        <f>TableARS[[#This Row],[ARIMAPP]]*$I$2+TableARS[[#This Row],[LSTMPP]]*$I$3</f>
        <v>47.867400587885015</v>
      </c>
      <c r="E3">
        <v>31</v>
      </c>
      <c r="F3">
        <f>ABS(TableARS[[#This Row],[PP]]-TableARS[[#This Row],[AP]])</f>
        <v>16.867400587885015</v>
      </c>
      <c r="H3" t="s">
        <v>1</v>
      </c>
      <c r="I3">
        <v>0.24651365079000001</v>
      </c>
    </row>
    <row r="4" spans="1:9" x14ac:dyDescent="0.2">
      <c r="A4" t="s">
        <v>12</v>
      </c>
      <c r="B4">
        <v>34.134615384615373</v>
      </c>
      <c r="C4">
        <v>32.345226411198503</v>
      </c>
      <c r="D4">
        <f>TableARS[[#This Row],[ARIMAPP]]*$I$2+TableARS[[#This Row],[LSTMPP]]*$I$3</f>
        <v>40.040268883450771</v>
      </c>
      <c r="E4">
        <v>35</v>
      </c>
      <c r="F4">
        <f>ABS(TableARS[[#This Row],[PP]]-TableARS[[#This Row],[AP]])</f>
        <v>5.0402688834507714</v>
      </c>
    </row>
    <row r="5" spans="1:9" x14ac:dyDescent="0.2">
      <c r="A5" t="s">
        <v>13</v>
      </c>
      <c r="B5">
        <v>64.621047757560291</v>
      </c>
      <c r="C5">
        <v>37.872010308373447</v>
      </c>
      <c r="D5">
        <f>TableARS[[#This Row],[ARIMAPP]]*$I$2+TableARS[[#This Row],[LSTMPP]]*$I$3</f>
        <v>70.042250722428761</v>
      </c>
      <c r="E5">
        <v>64</v>
      </c>
      <c r="F5">
        <f>ABS(TableARS[[#This Row],[PP]]-TableARS[[#This Row],[AP]])</f>
        <v>6.0422507224287614</v>
      </c>
      <c r="H5" t="s">
        <v>2</v>
      </c>
      <c r="I5">
        <f>SUM(ABS(TableARS[[#This Row],[PP]]-TableARS[[#This Row],[AP]]))</f>
        <v>6.0422507224287614</v>
      </c>
    </row>
    <row r="6" spans="1:9" x14ac:dyDescent="0.2">
      <c r="A6" t="s">
        <v>14</v>
      </c>
      <c r="B6">
        <v>38.315912939899732</v>
      </c>
      <c r="C6">
        <v>39.807983976200781</v>
      </c>
      <c r="D6">
        <f>TableARS[[#This Row],[ARIMAPP]]*$I$2+TableARS[[#This Row],[LSTMPP]]*$I$3</f>
        <v>45.807933654905789</v>
      </c>
      <c r="E6">
        <v>45</v>
      </c>
      <c r="F6">
        <f>ABS(TableARS[[#This Row],[PP]]-TableARS[[#This Row],[AP]])</f>
        <v>0.8079336549057885</v>
      </c>
    </row>
    <row r="7" spans="1:9" x14ac:dyDescent="0.2">
      <c r="A7" t="s">
        <v>15</v>
      </c>
      <c r="B7">
        <v>33.513513513513523</v>
      </c>
      <c r="C7">
        <v>29.68865576897165</v>
      </c>
      <c r="D7">
        <f>TableARS[[#This Row],[ARIMAPP]]*$I$2+TableARS[[#This Row],[LSTMPP]]*$I$3</f>
        <v>38.801912642613559</v>
      </c>
      <c r="E7">
        <v>82</v>
      </c>
      <c r="F7">
        <f>ABS(TableARS[[#This Row],[PP]]-TableARS[[#This Row],[AP]])</f>
        <v>43.198087357386441</v>
      </c>
      <c r="H7" t="s">
        <v>3</v>
      </c>
      <c r="I7">
        <f>AVERAGE(TableARS[DIFF])/10</f>
        <v>1.3995397610691975</v>
      </c>
    </row>
    <row r="8" spans="1:9" x14ac:dyDescent="0.2">
      <c r="A8" t="s">
        <v>16</v>
      </c>
      <c r="B8">
        <v>51.870123003730868</v>
      </c>
      <c r="C8">
        <v>45.388252600165799</v>
      </c>
      <c r="D8">
        <f>TableARS[[#This Row],[ARIMAPP]]*$I$2+TableARS[[#This Row],[LSTMPP]]*$I$3</f>
        <v>59.916637557313237</v>
      </c>
      <c r="E8">
        <v>51</v>
      </c>
      <c r="F8">
        <f>ABS(TableARS[[#This Row],[PP]]-TableARS[[#This Row],[AP]])</f>
        <v>8.916637557313237</v>
      </c>
    </row>
    <row r="9" spans="1:9" x14ac:dyDescent="0.2">
      <c r="A9" t="s">
        <v>17</v>
      </c>
      <c r="B9">
        <v>41.375</v>
      </c>
      <c r="C9">
        <v>39.717861296105909</v>
      </c>
      <c r="D9">
        <f>TableARS[[#This Row],[ARIMAPP]]*$I$2+TableARS[[#This Row],[LSTMPP]]*$I$3</f>
        <v>48.659483732900156</v>
      </c>
      <c r="E9">
        <v>44</v>
      </c>
      <c r="F9">
        <f>ABS(TableARS[[#This Row],[PP]]-TableARS[[#This Row],[AP]])</f>
        <v>4.6594837329001564</v>
      </c>
    </row>
    <row r="10" spans="1:9" x14ac:dyDescent="0.2">
      <c r="A10" t="s">
        <v>18</v>
      </c>
      <c r="B10">
        <v>41.884322071534093</v>
      </c>
      <c r="C10">
        <v>39.868240309479837</v>
      </c>
      <c r="D10">
        <f>TableARS[[#This Row],[ARIMAPP]]*$I$2+TableARS[[#This Row],[LSTMPP]]*$I$3</f>
        <v>49.175021383585225</v>
      </c>
      <c r="E10">
        <v>50</v>
      </c>
      <c r="F10">
        <f>ABS(TableARS[[#This Row],[PP]]-TableARS[[#This Row],[AP]])</f>
        <v>0.82497861641477499</v>
      </c>
    </row>
    <row r="11" spans="1:9" x14ac:dyDescent="0.2">
      <c r="A11" t="s">
        <v>19</v>
      </c>
      <c r="B11">
        <v>39.672131147540988</v>
      </c>
      <c r="C11">
        <v>36.939774528704369</v>
      </c>
      <c r="D11">
        <f>TableARS[[#This Row],[ARIMAPP]]*$I$2+TableARS[[#This Row],[LSTMPP]]*$I$3</f>
        <v>46.374938930466435</v>
      </c>
      <c r="E11">
        <v>79</v>
      </c>
      <c r="F11">
        <f>ABS(TableARS[[#This Row],[PP]]-TableARS[[#This Row],[AP]])</f>
        <v>32.625061069533565</v>
      </c>
    </row>
    <row r="12" spans="1:9" x14ac:dyDescent="0.2">
      <c r="A12" t="s">
        <v>20</v>
      </c>
      <c r="B12">
        <v>48.24561403508774</v>
      </c>
      <c r="C12">
        <v>41.990561025204897</v>
      </c>
      <c r="D12">
        <f>TableARS[[#This Row],[ARIMAPP]]*$I$2+TableARS[[#This Row],[LSTMPP]]*$I$3</f>
        <v>55.67412519270146</v>
      </c>
      <c r="E12">
        <v>25</v>
      </c>
      <c r="F12">
        <f>ABS(TableARS[[#This Row],[PP]]-TableARS[[#This Row],[AP]])</f>
        <v>30.67412519270146</v>
      </c>
    </row>
    <row r="13" spans="1:9" x14ac:dyDescent="0.2">
      <c r="A13" t="s">
        <v>21</v>
      </c>
      <c r="B13">
        <v>40.916554783864562</v>
      </c>
      <c r="C13">
        <v>31.740035982249861</v>
      </c>
      <c r="D13">
        <f>TableARS[[#This Row],[ARIMAPP]]*$I$2+TableARS[[#This Row],[LSTMPP]]*$I$3</f>
        <v>46.262168436903124</v>
      </c>
      <c r="E13">
        <v>46</v>
      </c>
      <c r="F13">
        <f>ABS(TableARS[[#This Row],[PP]]-TableARS[[#This Row],[AP]])</f>
        <v>0.2621684369031243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90</v>
      </c>
      <c r="B2">
        <v>27.719298245614009</v>
      </c>
      <c r="C2">
        <v>26.24078071168034</v>
      </c>
      <c r="D2">
        <f>TableFUL[[#This Row],[ARIMAPP]]*$I$2+TableFUL[[#This Row],[LSTMPP]]*$I$3</f>
        <v>29.983230758478882</v>
      </c>
      <c r="E2">
        <v>33</v>
      </c>
      <c r="F2">
        <f>ABS(TableFUL[[#This Row],[PP]]-TableFUL[[#This Row],[AP]])</f>
        <v>3.0167692415211178</v>
      </c>
      <c r="H2" t="s">
        <v>0</v>
      </c>
      <c r="I2">
        <v>0.68693840336000001</v>
      </c>
    </row>
    <row r="3" spans="1:9" x14ac:dyDescent="0.2">
      <c r="A3" t="s">
        <v>91</v>
      </c>
      <c r="B3">
        <v>35.870972023974261</v>
      </c>
      <c r="C3">
        <v>33.869244289627517</v>
      </c>
      <c r="D3">
        <f>TableFUL[[#This Row],[ARIMAPP]]*$I$2+TableFUL[[#This Row],[LSTMPP]]*$I$3</f>
        <v>38.763816065961997</v>
      </c>
      <c r="E3">
        <v>34</v>
      </c>
      <c r="F3">
        <f>ABS(TableFUL[[#This Row],[PP]]-TableFUL[[#This Row],[AP]])</f>
        <v>4.763816065961997</v>
      </c>
      <c r="H3" t="s">
        <v>1</v>
      </c>
      <c r="I3">
        <v>0.41697617154</v>
      </c>
    </row>
    <row r="4" spans="1:9" x14ac:dyDescent="0.2">
      <c r="A4" t="s">
        <v>92</v>
      </c>
      <c r="B4">
        <v>24.646512373510649</v>
      </c>
      <c r="C4">
        <v>23.313169138484849</v>
      </c>
      <c r="D4">
        <f>TableFUL[[#This Row],[ARIMAPP]]*$I$2+TableFUL[[#This Row],[LSTMPP]]*$I$3</f>
        <v>26.651671872081781</v>
      </c>
      <c r="E4">
        <v>24</v>
      </c>
      <c r="F4">
        <f>ABS(TableFUL[[#This Row],[PP]]-TableFUL[[#This Row],[AP]])</f>
        <v>2.6516718720817813</v>
      </c>
    </row>
    <row r="5" spans="1:9" x14ac:dyDescent="0.2">
      <c r="A5" t="s">
        <v>93</v>
      </c>
      <c r="B5">
        <v>31.752300814547411</v>
      </c>
      <c r="C5">
        <v>32.847556136202492</v>
      </c>
      <c r="D5">
        <f>TableFUL[[#This Row],[ARIMAPP]]*$I$2+TableFUL[[#This Row],[LSTMPP]]*$I$3</f>
        <v>35.508523026670574</v>
      </c>
      <c r="E5">
        <v>44</v>
      </c>
      <c r="F5">
        <f>ABS(TableFUL[[#This Row],[PP]]-TableFUL[[#This Row],[AP]])</f>
        <v>8.4914769733294264</v>
      </c>
      <c r="H5" t="s">
        <v>2</v>
      </c>
      <c r="I5">
        <f>SUM(ABS(TableFUL[[#This Row],[PP]]-TableFUL[[#This Row],[AP]]))</f>
        <v>8.4914769733294264</v>
      </c>
    </row>
    <row r="6" spans="1:9" x14ac:dyDescent="0.2">
      <c r="A6" t="s">
        <v>94</v>
      </c>
      <c r="B6">
        <v>25.000000000000011</v>
      </c>
      <c r="C6">
        <v>23.604183481730701</v>
      </c>
      <c r="D6">
        <f>TableFUL[[#This Row],[ARIMAPP]]*$I$2+TableFUL[[#This Row],[LSTMPP]]*$I$3</f>
        <v>27.015842144539782</v>
      </c>
      <c r="E6">
        <v>31</v>
      </c>
      <c r="F6">
        <f>ABS(TableFUL[[#This Row],[PP]]-TableFUL[[#This Row],[AP]])</f>
        <v>3.9841578554602179</v>
      </c>
    </row>
    <row r="7" spans="1:9" x14ac:dyDescent="0.2">
      <c r="A7" t="s">
        <v>95</v>
      </c>
      <c r="B7">
        <v>25.838991150925541</v>
      </c>
      <c r="C7">
        <v>28.612533382446738</v>
      </c>
      <c r="D7">
        <f>TableFUL[[#This Row],[ARIMAPP]]*$I$2+TableFUL[[#This Row],[LSTMPP]]*$I$3</f>
        <v>29.680539953523045</v>
      </c>
      <c r="E7">
        <v>26</v>
      </c>
      <c r="F7">
        <f>ABS(TableFUL[[#This Row],[PP]]-TableFUL[[#This Row],[AP]])</f>
        <v>3.680539953523045</v>
      </c>
      <c r="H7" t="s">
        <v>3</v>
      </c>
      <c r="I7">
        <f>AVERAGE(TableFUL[DIFF])/10</f>
        <v>0.46326735565079291</v>
      </c>
    </row>
    <row r="8" spans="1:9" x14ac:dyDescent="0.2">
      <c r="A8" t="s">
        <v>96</v>
      </c>
      <c r="B8">
        <v>34.745762711864387</v>
      </c>
      <c r="C8">
        <v>45.484401703438238</v>
      </c>
      <c r="D8">
        <f>TableFUL[[#This Row],[ARIMAPP]]*$I$2+TableFUL[[#This Row],[LSTMPP]]*$I$3</f>
        <v>42.834110447900677</v>
      </c>
      <c r="E8">
        <v>44</v>
      </c>
      <c r="F8">
        <f>ABS(TableFUL[[#This Row],[PP]]-TableFUL[[#This Row],[AP]])</f>
        <v>1.1658895520993227</v>
      </c>
    </row>
    <row r="9" spans="1:9" x14ac:dyDescent="0.2">
      <c r="A9" t="s">
        <v>97</v>
      </c>
      <c r="B9">
        <v>27.044875197215472</v>
      </c>
      <c r="C9">
        <v>26.211914639336701</v>
      </c>
      <c r="D9">
        <f>TableFUL[[#This Row],[ARIMAPP]]*$I$2+TableFUL[[#This Row],[LSTMPP]]*$I$3</f>
        <v>29.507907202089562</v>
      </c>
      <c r="E9">
        <v>20</v>
      </c>
      <c r="F9">
        <f>ABS(TableFUL[[#This Row],[PP]]-TableFUL[[#This Row],[AP]])</f>
        <v>9.5079072020895623</v>
      </c>
    </row>
    <row r="10" spans="1:9" x14ac:dyDescent="0.2">
      <c r="A10" t="s">
        <v>98</v>
      </c>
      <c r="B10">
        <v>21.462552240619551</v>
      </c>
      <c r="C10">
        <v>16.367159097096351</v>
      </c>
      <c r="D10">
        <f>TableFUL[[#This Row],[ARIMAPP]]*$I$2+TableFUL[[#This Row],[LSTMPP]]*$I$3</f>
        <v>21.568166707495106</v>
      </c>
      <c r="E10">
        <v>26</v>
      </c>
      <c r="F10">
        <f>ABS(TableFUL[[#This Row],[PP]]-TableFUL[[#This Row],[AP]])</f>
        <v>4.4318332925048942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99</v>
      </c>
      <c r="B2">
        <v>44.024395406365201</v>
      </c>
      <c r="C2">
        <v>39.768778727472188</v>
      </c>
      <c r="D2">
        <f>TableLIV[[#This Row],[ARIMAPP]]*$I$2+TableLIV[[#This Row],[LSTMPP]]*$I$3</f>
        <v>36.695203197531356</v>
      </c>
      <c r="E2">
        <v>28</v>
      </c>
      <c r="F2">
        <f>ABS(TableLIV[[#This Row],[PP]]-TableLIV[[#This Row],[AP]])</f>
        <v>8.695203197531356</v>
      </c>
      <c r="H2" t="s">
        <v>0</v>
      </c>
      <c r="I2">
        <v>0.38192095429</v>
      </c>
    </row>
    <row r="3" spans="1:9" x14ac:dyDescent="0.2">
      <c r="A3" t="s">
        <v>100</v>
      </c>
      <c r="B3">
        <v>69.374999999999986</v>
      </c>
      <c r="C3">
        <v>67.564018336762288</v>
      </c>
      <c r="D3">
        <f>TableLIV[[#This Row],[ARIMAPP]]*$I$2+TableLIV[[#This Row],[LSTMPP]]*$I$3</f>
        <v>60.272635674002061</v>
      </c>
      <c r="E3">
        <v>48</v>
      </c>
      <c r="F3">
        <f>ABS(TableLIV[[#This Row],[PP]]-TableLIV[[#This Row],[AP]])</f>
        <v>12.272635674002061</v>
      </c>
      <c r="H3" t="s">
        <v>1</v>
      </c>
      <c r="I3">
        <v>0.49992392847</v>
      </c>
    </row>
    <row r="4" spans="1:9" x14ac:dyDescent="0.2">
      <c r="A4" t="s">
        <v>101</v>
      </c>
      <c r="B4">
        <v>24.545779456062299</v>
      </c>
      <c r="C4">
        <v>16.888895205080029</v>
      </c>
      <c r="D4">
        <f>TableLIV[[#This Row],[ARIMAPP]]*$I$2+TableLIV[[#This Row],[LSTMPP]]*$I$3</f>
        <v>17.817710352092945</v>
      </c>
      <c r="E4">
        <v>31</v>
      </c>
      <c r="F4">
        <f>ABS(TableLIV[[#This Row],[PP]]-TableLIV[[#This Row],[AP]])</f>
        <v>13.182289647907055</v>
      </c>
    </row>
    <row r="5" spans="1:9" x14ac:dyDescent="0.2">
      <c r="A5" t="s">
        <v>102</v>
      </c>
      <c r="B5">
        <v>28.715596330275201</v>
      </c>
      <c r="C5">
        <v>30.401810499005229</v>
      </c>
      <c r="D5">
        <f>TableLIV[[#This Row],[ARIMAPP]]*$I$2+TableLIV[[#This Row],[LSTMPP]]*$I$3</f>
        <v>26.165680490728313</v>
      </c>
      <c r="E5">
        <v>41</v>
      </c>
      <c r="F5">
        <f>ABS(TableLIV[[#This Row],[PP]]-TableLIV[[#This Row],[AP]])</f>
        <v>14.834319509271687</v>
      </c>
      <c r="H5" t="s">
        <v>2</v>
      </c>
      <c r="I5">
        <f>SUM(ABS(TableLIV[[#This Row],[PP]]-TableLIV[[#This Row],[AP]]))</f>
        <v>14.834319509271687</v>
      </c>
    </row>
    <row r="6" spans="1:9" x14ac:dyDescent="0.2">
      <c r="A6" t="s">
        <v>103</v>
      </c>
      <c r="B6">
        <v>36.200000000000017</v>
      </c>
      <c r="C6">
        <v>34.297527453181019</v>
      </c>
      <c r="D6">
        <f>TableLIV[[#This Row],[ARIMAPP]]*$I$2+TableLIV[[#This Row],[LSTMPP]]*$I$3</f>
        <v>30.971693206499936</v>
      </c>
      <c r="E6">
        <v>40</v>
      </c>
      <c r="F6">
        <f>ABS(TableLIV[[#This Row],[PP]]-TableLIV[[#This Row],[AP]])</f>
        <v>9.0283067935000645</v>
      </c>
    </row>
    <row r="7" spans="1:9" x14ac:dyDescent="0.2">
      <c r="A7" t="s">
        <v>104</v>
      </c>
      <c r="B7">
        <v>39.019607843137273</v>
      </c>
      <c r="C7">
        <v>34.081232404156587</v>
      </c>
      <c r="D7">
        <f>TableLIV[[#This Row],[ARIMAPP]]*$I$2+TableLIV[[#This Row],[LSTMPP]]*$I$3</f>
        <v>31.940429454057579</v>
      </c>
      <c r="E7">
        <v>29</v>
      </c>
      <c r="F7">
        <f>ABS(TableLIV[[#This Row],[PP]]-TableLIV[[#This Row],[AP]])</f>
        <v>2.9404294540575791</v>
      </c>
      <c r="H7" t="s">
        <v>3</v>
      </c>
      <c r="I7">
        <f>AVERAGE(TableLIV[DIFF])/10</f>
        <v>0.99170931238055249</v>
      </c>
    </row>
    <row r="8" spans="1:9" x14ac:dyDescent="0.2">
      <c r="A8" t="s">
        <v>105</v>
      </c>
      <c r="B8">
        <v>32.195121951219512</v>
      </c>
      <c r="C8">
        <v>34.480327363591783</v>
      </c>
      <c r="D8">
        <f>TableLIV[[#This Row],[ARIMAPP]]*$I$2+TableLIV[[#This Row],[LSTMPP]]*$I$3</f>
        <v>29.533532409631128</v>
      </c>
      <c r="E8">
        <v>38</v>
      </c>
      <c r="F8">
        <f>ABS(TableLIV[[#This Row],[PP]]-TableLIV[[#This Row],[AP]])</f>
        <v>8.4664675903688718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106</v>
      </c>
      <c r="B2">
        <v>29.102530571233469</v>
      </c>
      <c r="C2">
        <v>27.037944293374359</v>
      </c>
      <c r="D2">
        <f>TableLUT[[#This Row],[ARIMAPP]]*$I$2+TableLUT[[#This Row],[LSTMPP]]*$I$3</f>
        <v>31.138393103349859</v>
      </c>
      <c r="E2">
        <v>30</v>
      </c>
      <c r="F2">
        <f>ABS(TableLUT[[#This Row],[PP]]-TableLUT[[#This Row],[AP]])</f>
        <v>1.1383931033498591</v>
      </c>
      <c r="H2" t="s">
        <v>0</v>
      </c>
      <c r="I2">
        <v>1.0699548284</v>
      </c>
    </row>
    <row r="3" spans="1:9" x14ac:dyDescent="0.2">
      <c r="A3" t="s">
        <v>107</v>
      </c>
      <c r="B3">
        <v>21.674758353374379</v>
      </c>
      <c r="C3">
        <v>15.087035781078249</v>
      </c>
      <c r="D3">
        <f>TableLUT[[#This Row],[ARIMAPP]]*$I$2+TableLUT[[#This Row],[LSTMPP]]*$I$3</f>
        <v>23.19101235459615</v>
      </c>
      <c r="E3">
        <v>31</v>
      </c>
      <c r="F3">
        <f>ABS(TableLUT[[#This Row],[PP]]-TableLUT[[#This Row],[AP]])</f>
        <v>7.8089876454038496</v>
      </c>
      <c r="H3" t="s">
        <v>1</v>
      </c>
      <c r="I3">
        <v>0</v>
      </c>
    </row>
    <row r="4" spans="1:9" x14ac:dyDescent="0.2">
      <c r="A4" t="s">
        <v>108</v>
      </c>
      <c r="B4">
        <v>20.625</v>
      </c>
      <c r="C4">
        <v>12.88199646583465</v>
      </c>
      <c r="D4">
        <f>TableLUT[[#This Row],[ARIMAPP]]*$I$2+TableLUT[[#This Row],[LSTMPP]]*$I$3</f>
        <v>22.067818335750001</v>
      </c>
      <c r="E4">
        <v>37</v>
      </c>
      <c r="F4">
        <f>ABS(TableLUT[[#This Row],[PP]]-TableLUT[[#This Row],[AP]])</f>
        <v>14.932181664249999</v>
      </c>
    </row>
    <row r="5" spans="1:9" x14ac:dyDescent="0.2">
      <c r="A5" t="s">
        <v>109</v>
      </c>
      <c r="B5">
        <v>38.750000000000007</v>
      </c>
      <c r="C5">
        <v>35.822315297519417</v>
      </c>
      <c r="D5">
        <f>TableLUT[[#This Row],[ARIMAPP]]*$I$2+TableLUT[[#This Row],[LSTMPP]]*$I$3</f>
        <v>41.460749600500009</v>
      </c>
      <c r="E5">
        <v>30</v>
      </c>
      <c r="F5">
        <f>ABS(TableLUT[[#This Row],[PP]]-TableLUT[[#This Row],[AP]])</f>
        <v>11.460749600500009</v>
      </c>
      <c r="H5" t="s">
        <v>2</v>
      </c>
      <c r="I5">
        <f>SUM(ABS(TableLUT[[#This Row],[PP]]-TableLUT[[#This Row],[AP]]))</f>
        <v>11.460749600500009</v>
      </c>
    </row>
    <row r="7" spans="1:9" x14ac:dyDescent="0.2">
      <c r="H7" t="s">
        <v>3</v>
      </c>
      <c r="I7">
        <f>AVERAGE(TableLUT[DIFF])/10</f>
        <v>0.88350780033759302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3"/>
  <sheetViews>
    <sheetView workbookViewId="0">
      <selection activeCell="I3" sqref="H2: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110</v>
      </c>
      <c r="B2">
        <v>38.795811518324562</v>
      </c>
      <c r="C2">
        <v>40.477268527930207</v>
      </c>
      <c r="D2">
        <f>TableMCI[[#This Row],[ARIMAPP]]*$I$2+TableMCI[[#This Row],[LSTMPP]]*$I$3</f>
        <v>44.886443601270834</v>
      </c>
      <c r="E2">
        <v>43</v>
      </c>
      <c r="F2">
        <f>ABS(TableMCI[[#This Row],[PP]]-TableMCI[[#This Row],[AP]])</f>
        <v>1.8864436012708339</v>
      </c>
      <c r="H2" t="s">
        <v>0</v>
      </c>
      <c r="I2">
        <v>1.1316682864000001</v>
      </c>
    </row>
    <row r="3" spans="1:9" x14ac:dyDescent="0.2">
      <c r="A3" t="s">
        <v>111</v>
      </c>
      <c r="B3">
        <v>32.217655963512733</v>
      </c>
      <c r="C3">
        <v>41.869460894535713</v>
      </c>
      <c r="D3">
        <f>TableMCI[[#This Row],[ARIMAPP]]*$I$2+TableMCI[[#This Row],[LSTMPP]]*$I$3</f>
        <v>37.475944519153181</v>
      </c>
      <c r="E3">
        <v>49</v>
      </c>
      <c r="F3">
        <f>ABS(TableMCI[[#This Row],[PP]]-TableMCI[[#This Row],[AP]])</f>
        <v>11.524055480846819</v>
      </c>
      <c r="H3" t="s">
        <v>1</v>
      </c>
      <c r="I3">
        <v>2.4271747985000001E-2</v>
      </c>
    </row>
    <row r="4" spans="1:9" x14ac:dyDescent="0.2">
      <c r="A4" t="s">
        <v>112</v>
      </c>
      <c r="B4">
        <v>32.406015037594031</v>
      </c>
      <c r="C4">
        <v>28.736906765208651</v>
      </c>
      <c r="D4">
        <f>TableMCI[[#This Row],[ARIMAPP]]*$I$2+TableMCI[[#This Row],[LSTMPP]]*$I$3</f>
        <v>37.370354465520258</v>
      </c>
      <c r="E4">
        <v>39</v>
      </c>
      <c r="F4">
        <f>ABS(TableMCI[[#This Row],[PP]]-TableMCI[[#This Row],[AP]])</f>
        <v>1.6296455344797423</v>
      </c>
    </row>
    <row r="5" spans="1:9" x14ac:dyDescent="0.2">
      <c r="A5" t="s">
        <v>113</v>
      </c>
      <c r="B5">
        <v>61.583259642622053</v>
      </c>
      <c r="C5">
        <v>37.957167984842442</v>
      </c>
      <c r="D5">
        <f>TableMCI[[#This Row],[ARIMAPP]]*$I$2+TableMCI[[#This Row],[LSTMPP]]*$I$3</f>
        <v>70.613108726244789</v>
      </c>
      <c r="E5">
        <v>80</v>
      </c>
      <c r="F5">
        <f>ABS(TableMCI[[#This Row],[PP]]-TableMCI[[#This Row],[AP]])</f>
        <v>9.3868912737552108</v>
      </c>
      <c r="H5" t="s">
        <v>2</v>
      </c>
      <c r="I5">
        <f>SUM(ABS(TableMCI[[#This Row],[PP]]-TableMCI[[#This Row],[AP]]))</f>
        <v>9.3868912737552108</v>
      </c>
    </row>
    <row r="6" spans="1:9" x14ac:dyDescent="0.2">
      <c r="A6" t="s">
        <v>114</v>
      </c>
      <c r="B6">
        <v>36.135594301844947</v>
      </c>
      <c r="C6">
        <v>29.557182257795588</v>
      </c>
      <c r="D6">
        <f>TableMCI[[#This Row],[ARIMAPP]]*$I$2+TableMCI[[#This Row],[LSTMPP]]*$I$3</f>
        <v>41.610910560522406</v>
      </c>
      <c r="E6">
        <v>53</v>
      </c>
      <c r="F6">
        <f>ABS(TableMCI[[#This Row],[PP]]-TableMCI[[#This Row],[AP]])</f>
        <v>11.389089439477594</v>
      </c>
    </row>
    <row r="7" spans="1:9" x14ac:dyDescent="0.2">
      <c r="A7" t="s">
        <v>115</v>
      </c>
      <c r="B7">
        <v>79.183673469387742</v>
      </c>
      <c r="C7">
        <v>74.81604263891046</v>
      </c>
      <c r="D7">
        <f>TableMCI[[#This Row],[ARIMAPP]]*$I$2+TableMCI[[#This Row],[LSTMPP]]*$I$3</f>
        <v>91.425568198125816</v>
      </c>
      <c r="E7">
        <v>80</v>
      </c>
      <c r="F7">
        <f>ABS(TableMCI[[#This Row],[PP]]-TableMCI[[#This Row],[AP]])</f>
        <v>11.425568198125816</v>
      </c>
      <c r="H7" t="s">
        <v>3</v>
      </c>
      <c r="I7">
        <f>AVERAGE(TableMCI[DIFF])/10</f>
        <v>1.1945322153219702</v>
      </c>
    </row>
    <row r="8" spans="1:9" x14ac:dyDescent="0.2">
      <c r="A8" t="s">
        <v>116</v>
      </c>
      <c r="B8">
        <v>38.431372549019613</v>
      </c>
      <c r="C8">
        <v>43.346137246937722</v>
      </c>
      <c r="D8">
        <f>TableMCI[[#This Row],[ARIMAPP]]*$I$2+TableMCI[[#This Row],[LSTMPP]]*$I$3</f>
        <v>44.543652035929924</v>
      </c>
      <c r="E8">
        <v>25</v>
      </c>
      <c r="F8">
        <f>ABS(TableMCI[[#This Row],[PP]]-TableMCI[[#This Row],[AP]])</f>
        <v>19.543652035929924</v>
      </c>
    </row>
    <row r="9" spans="1:9" x14ac:dyDescent="0.2">
      <c r="A9" t="s">
        <v>117</v>
      </c>
      <c r="B9">
        <v>38.490566037735839</v>
      </c>
      <c r="C9">
        <v>35.87417631060076</v>
      </c>
      <c r="D9">
        <f>TableMCI[[#This Row],[ARIMAPP]]*$I$2+TableMCI[[#This Row],[LSTMPP]]*$I$3</f>
        <v>44.429281877070913</v>
      </c>
      <c r="E9">
        <v>30</v>
      </c>
      <c r="F9">
        <f>ABS(TableMCI[[#This Row],[PP]]-TableMCI[[#This Row],[AP]])</f>
        <v>14.429281877070913</v>
      </c>
    </row>
    <row r="10" spans="1:9" x14ac:dyDescent="0.2">
      <c r="A10" t="s">
        <v>118</v>
      </c>
      <c r="B10">
        <v>28.04878048780488</v>
      </c>
      <c r="C10">
        <v>8.6489959279059931</v>
      </c>
      <c r="D10">
        <f>TableMCI[[#This Row],[ARIMAPP]]*$I$2+TableMCI[[#This Row],[LSTMPP]]*$I$3</f>
        <v>31.951841599729335</v>
      </c>
      <c r="E10">
        <v>41</v>
      </c>
      <c r="F10">
        <f>ABS(TableMCI[[#This Row],[PP]]-TableMCI[[#This Row],[AP]])</f>
        <v>9.0481584002706654</v>
      </c>
    </row>
    <row r="11" spans="1:9" x14ac:dyDescent="0.2">
      <c r="A11" t="s">
        <v>119</v>
      </c>
      <c r="B11">
        <v>31.86046511627908</v>
      </c>
      <c r="C11">
        <v>32.439354204204363</v>
      </c>
      <c r="D11">
        <f>TableMCI[[#This Row],[ARIMAPP]]*$I$2+TableMCI[[#This Row],[LSTMPP]]*$I$3</f>
        <v>36.842837792087124</v>
      </c>
      <c r="E11">
        <v>43</v>
      </c>
      <c r="F11">
        <f>ABS(TableMCI[[#This Row],[PP]]-TableMCI[[#This Row],[AP]])</f>
        <v>6.1571622079128758</v>
      </c>
    </row>
    <row r="12" spans="1:9" x14ac:dyDescent="0.2">
      <c r="A12" t="s">
        <v>120</v>
      </c>
      <c r="B12">
        <v>17.994613620452402</v>
      </c>
      <c r="C12">
        <v>25.276533580146531</v>
      </c>
      <c r="D12">
        <f>TableMCI[[#This Row],[ARIMAPP]]*$I$2+TableMCI[[#This Row],[LSTMPP]]*$I$3</f>
        <v>20.977439213279176</v>
      </c>
      <c r="E12">
        <v>60</v>
      </c>
      <c r="F12">
        <f>ABS(TableMCI[[#This Row],[PP]]-TableMCI[[#This Row],[AP]])</f>
        <v>39.022560786720824</v>
      </c>
    </row>
    <row r="13" spans="1:9" x14ac:dyDescent="0.2">
      <c r="A13" t="s">
        <v>121</v>
      </c>
      <c r="B13">
        <v>35.625000000000007</v>
      </c>
      <c r="C13">
        <v>24.129877260473229</v>
      </c>
      <c r="D13">
        <f>TableMCI[[#This Row],[ARIMAPP]]*$I$2+TableMCI[[#This Row],[LSTMPP]]*$I$3</f>
        <v>40.901357002775192</v>
      </c>
      <c r="E13">
        <v>33</v>
      </c>
      <c r="F13">
        <f>ABS(TableMCI[[#This Row],[PP]]-TableMCI[[#This Row],[AP]])</f>
        <v>7.9013570027751925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122</v>
      </c>
      <c r="B2">
        <v>45.470032811176573</v>
      </c>
      <c r="C2">
        <v>49.083152552419563</v>
      </c>
      <c r="D2">
        <f>TableMUN[[#This Row],[ARIMAPP]]*$I$2+TableMUN[[#This Row],[LSTMPP]]*$I$3</f>
        <v>52.521463309548231</v>
      </c>
      <c r="E2">
        <v>30</v>
      </c>
      <c r="F2">
        <f>ABS(TableMUN[[#This Row],[PP]]-TableMUN[[#This Row],[AP]])</f>
        <v>22.521463309548231</v>
      </c>
      <c r="H2" t="s">
        <v>0</v>
      </c>
      <c r="I2">
        <v>0.18563863929999999</v>
      </c>
    </row>
    <row r="3" spans="1:9" x14ac:dyDescent="0.2">
      <c r="A3" t="s">
        <v>123</v>
      </c>
      <c r="B3">
        <v>40.357142857142847</v>
      </c>
      <c r="C3">
        <v>56.828939737284259</v>
      </c>
      <c r="D3">
        <f>TableMUN[[#This Row],[ARIMAPP]]*$I$2+TableMUN[[#This Row],[LSTMPP]]*$I$3</f>
        <v>58.528629517171595</v>
      </c>
      <c r="E3">
        <v>81</v>
      </c>
      <c r="F3">
        <f>ABS(TableMUN[[#This Row],[PP]]-TableMUN[[#This Row],[AP]])</f>
        <v>22.471370482828405</v>
      </c>
      <c r="H3" t="s">
        <v>1</v>
      </c>
      <c r="I3">
        <v>0.89807736457999998</v>
      </c>
    </row>
    <row r="4" spans="1:9" x14ac:dyDescent="0.2">
      <c r="A4" t="s">
        <v>124</v>
      </c>
      <c r="B4">
        <v>62.539148885266698</v>
      </c>
      <c r="C4">
        <v>26.121111177881321</v>
      </c>
      <c r="D4">
        <f>TableMUN[[#This Row],[ARIMAPP]]*$I$2+TableMUN[[#This Row],[LSTMPP]]*$I$3</f>
        <v>35.068461188573856</v>
      </c>
      <c r="E4">
        <v>43</v>
      </c>
      <c r="F4">
        <f>ABS(TableMUN[[#This Row],[PP]]-TableMUN[[#This Row],[AP]])</f>
        <v>7.9315388114261438</v>
      </c>
    </row>
    <row r="5" spans="1:9" x14ac:dyDescent="0.2">
      <c r="A5" t="s">
        <v>125</v>
      </c>
      <c r="B5">
        <v>26.052631578947381</v>
      </c>
      <c r="C5">
        <v>27.717862884822019</v>
      </c>
      <c r="D5">
        <f>TableMUN[[#This Row],[ARIMAPP]]*$I$2+TableMUN[[#This Row],[LSTMPP]]*$I$3</f>
        <v>29.729160327890757</v>
      </c>
      <c r="E5">
        <v>21</v>
      </c>
      <c r="F5">
        <f>ABS(TableMUN[[#This Row],[PP]]-TableMUN[[#This Row],[AP]])</f>
        <v>8.7291603278907566</v>
      </c>
      <c r="H5" t="s">
        <v>2</v>
      </c>
      <c r="I5">
        <f>SUM(ABS(TableMUN[[#This Row],[PP]]-TableMUN[[#This Row],[AP]]))</f>
        <v>8.7291603278907566</v>
      </c>
    </row>
    <row r="6" spans="1:9" x14ac:dyDescent="0.2">
      <c r="A6" t="s">
        <v>126</v>
      </c>
      <c r="B6">
        <v>35.384615384615373</v>
      </c>
      <c r="C6">
        <v>31.96957443297541</v>
      </c>
      <c r="D6">
        <f>TableMUN[[#This Row],[ARIMAPP]]*$I$2+TableMUN[[#This Row],[LSTMPP]]*$I$3</f>
        <v>35.279903005664544</v>
      </c>
      <c r="E6">
        <v>31</v>
      </c>
      <c r="F6">
        <f>ABS(TableMUN[[#This Row],[PP]]-TableMUN[[#This Row],[AP]])</f>
        <v>4.2799030056645435</v>
      </c>
    </row>
    <row r="7" spans="1:9" x14ac:dyDescent="0.2">
      <c r="H7" t="s">
        <v>3</v>
      </c>
      <c r="I7">
        <f>AVERAGE(TableMUN[DIFF])/10</f>
        <v>1.3186687187471615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127</v>
      </c>
      <c r="B2">
        <v>47.798701155710773</v>
      </c>
      <c r="C2">
        <v>35.42161523033932</v>
      </c>
      <c r="D2">
        <f>TableNEW[[#This Row],[ARIMAPP]]*$I$2+TableNEW[[#This Row],[LSTMPP]]*$I$3</f>
        <v>51.9917419124384</v>
      </c>
      <c r="E2">
        <v>27</v>
      </c>
      <c r="F2">
        <f>ABS(TableNEW[[#This Row],[PP]]-TableNEW[[#This Row],[AP]])</f>
        <v>24.9917419124384</v>
      </c>
      <c r="H2" t="s">
        <v>0</v>
      </c>
      <c r="I2">
        <v>0.57187089429000004</v>
      </c>
    </row>
    <row r="3" spans="1:9" x14ac:dyDescent="0.2">
      <c r="A3" t="s">
        <v>128</v>
      </c>
      <c r="B3">
        <v>33.271152309633599</v>
      </c>
      <c r="C3">
        <v>33.423769359703911</v>
      </c>
      <c r="D3">
        <f>TableNEW[[#This Row],[ARIMAPP]]*$I$2+TableNEW[[#This Row],[LSTMPP]]*$I$3</f>
        <v>42.293155127292394</v>
      </c>
      <c r="E3">
        <v>38</v>
      </c>
      <c r="F3">
        <f>ABS(TableNEW[[#This Row],[PP]]-TableNEW[[#This Row],[AP]])</f>
        <v>4.293155127292394</v>
      </c>
      <c r="H3" t="s">
        <v>1</v>
      </c>
      <c r="I3">
        <v>0.69610196419000003</v>
      </c>
    </row>
    <row r="4" spans="1:9" x14ac:dyDescent="0.2">
      <c r="A4" t="s">
        <v>129</v>
      </c>
      <c r="B4">
        <v>29.66896554893324</v>
      </c>
      <c r="C4">
        <v>21.78390129123639</v>
      </c>
      <c r="D4">
        <f>TableNEW[[#This Row],[ARIMAPP]]*$I$2+TableNEW[[#This Row],[LSTMPP]]*$I$3</f>
        <v>32.130634337678387</v>
      </c>
      <c r="E4">
        <v>27</v>
      </c>
      <c r="F4">
        <f>ABS(TableNEW[[#This Row],[PP]]-TableNEW[[#This Row],[AP]])</f>
        <v>5.1306343376783872</v>
      </c>
    </row>
    <row r="5" spans="1:9" x14ac:dyDescent="0.2">
      <c r="A5" t="s">
        <v>130</v>
      </c>
      <c r="B5">
        <v>30.463656398813342</v>
      </c>
      <c r="C5">
        <v>30.526992318827261</v>
      </c>
      <c r="D5">
        <f>TableNEW[[#This Row],[ARIMAPP]]*$I$2+TableNEW[[#This Row],[LSTMPP]]*$I$3</f>
        <v>38.671177742081369</v>
      </c>
      <c r="E5">
        <v>30</v>
      </c>
      <c r="F5">
        <f>ABS(TableNEW[[#This Row],[PP]]-TableNEW[[#This Row],[AP]])</f>
        <v>8.6711777420813689</v>
      </c>
      <c r="H5" t="s">
        <v>2</v>
      </c>
      <c r="I5">
        <f>SUM(ABS(TableNEW[[#This Row],[PP]]-TableNEW[[#This Row],[AP]]))</f>
        <v>8.6711777420813689</v>
      </c>
    </row>
    <row r="6" spans="1:9" x14ac:dyDescent="0.2">
      <c r="A6" t="s">
        <v>131</v>
      </c>
      <c r="B6">
        <v>44.741289250159753</v>
      </c>
      <c r="C6">
        <v>23.52363798794849</v>
      </c>
      <c r="D6">
        <f>TableNEW[[#This Row],[ARIMAPP]]*$I$2+TableNEW[[#This Row],[LSTMPP]]*$I$3</f>
        <v>41.96109170348187</v>
      </c>
      <c r="E6">
        <v>62</v>
      </c>
      <c r="F6">
        <f>ABS(TableNEW[[#This Row],[PP]]-TableNEW[[#This Row],[AP]])</f>
        <v>20.03890829651813</v>
      </c>
    </row>
    <row r="7" spans="1:9" x14ac:dyDescent="0.2">
      <c r="A7" t="s">
        <v>132</v>
      </c>
      <c r="B7">
        <v>34.202898550724619</v>
      </c>
      <c r="C7">
        <v>32.357543694349907</v>
      </c>
      <c r="D7">
        <f>TableNEW[[#This Row],[ARIMAPP]]*$I$2+TableNEW[[#This Row],[LSTMPP]]*$I$3</f>
        <v>42.083791903513756</v>
      </c>
      <c r="E7">
        <v>53</v>
      </c>
      <c r="F7">
        <f>ABS(TableNEW[[#This Row],[PP]]-TableNEW[[#This Row],[AP]])</f>
        <v>10.916208096486244</v>
      </c>
      <c r="H7" t="s">
        <v>3</v>
      </c>
      <c r="I7">
        <f>AVERAGE(TableNEW[DIFF])/10</f>
        <v>1.2086967258017702</v>
      </c>
    </row>
    <row r="8" spans="1:9" x14ac:dyDescent="0.2">
      <c r="A8" t="s">
        <v>133</v>
      </c>
      <c r="B8">
        <v>45.789473684210527</v>
      </c>
      <c r="C8">
        <v>54.945093404554079</v>
      </c>
      <c r="D8">
        <f>TableNEW[[#This Row],[ARIMAPP]]*$I$2+TableNEW[[#This Row],[LSTMPP]]*$I$3</f>
        <v>64.43305470637101</v>
      </c>
      <c r="E8">
        <v>75</v>
      </c>
      <c r="F8">
        <f>ABS(TableNEW[[#This Row],[PP]]-TableNEW[[#This Row],[AP]])</f>
        <v>10.56694529362899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134</v>
      </c>
      <c r="B2">
        <v>34.140765442021497</v>
      </c>
      <c r="C2">
        <v>35.958972631717259</v>
      </c>
      <c r="D2">
        <f>TableNFO[[#This Row],[ARIMAPP]]*$I$2+TableNFO[[#This Row],[LSTMPP]]*$I$3</f>
        <v>43.509472058382862</v>
      </c>
      <c r="E2">
        <v>43</v>
      </c>
      <c r="F2">
        <f>ABS(TableNFO[[#This Row],[PP]]-TableNFO[[#This Row],[AP]])</f>
        <v>0.5094720583828618</v>
      </c>
      <c r="H2" t="s">
        <v>0</v>
      </c>
      <c r="I2">
        <v>1.2744140764</v>
      </c>
    </row>
    <row r="3" spans="1:9" x14ac:dyDescent="0.2">
      <c r="A3" t="s">
        <v>135</v>
      </c>
      <c r="B3">
        <v>34.285997890865339</v>
      </c>
      <c r="C3">
        <v>23.569639621485301</v>
      </c>
      <c r="D3">
        <f>TableNFO[[#This Row],[ARIMAPP]]*$I$2+TableNFO[[#This Row],[LSTMPP]]*$I$3</f>
        <v>43.694558335539497</v>
      </c>
      <c r="E3">
        <v>56</v>
      </c>
      <c r="F3">
        <f>ABS(TableNFO[[#This Row],[PP]]-TableNFO[[#This Row],[AP]])</f>
        <v>12.305441664460503</v>
      </c>
      <c r="H3" t="s">
        <v>1</v>
      </c>
      <c r="I3">
        <v>0</v>
      </c>
    </row>
    <row r="4" spans="1:9" x14ac:dyDescent="0.2">
      <c r="A4" t="s">
        <v>136</v>
      </c>
      <c r="B4">
        <v>28.47058823529412</v>
      </c>
      <c r="C4">
        <v>26.67643288054083</v>
      </c>
      <c r="D4">
        <f>TableNFO[[#This Row],[ARIMAPP]]*$I$2+TableNFO[[#This Row],[LSTMPP]]*$I$3</f>
        <v>36.283318410447059</v>
      </c>
      <c r="E4">
        <v>41</v>
      </c>
      <c r="F4">
        <f>ABS(TableNFO[[#This Row],[PP]]-TableNFO[[#This Row],[AP]])</f>
        <v>4.716681589552941</v>
      </c>
    </row>
    <row r="5" spans="1:9" x14ac:dyDescent="0.2">
      <c r="A5" t="s">
        <v>137</v>
      </c>
      <c r="B5">
        <v>28.666666666666679</v>
      </c>
      <c r="C5">
        <v>24.46074882166133</v>
      </c>
      <c r="D5">
        <f>TableNFO[[#This Row],[ARIMAPP]]*$I$2+TableNFO[[#This Row],[LSTMPP]]*$I$3</f>
        <v>36.533203523466682</v>
      </c>
      <c r="E5">
        <v>20</v>
      </c>
      <c r="F5">
        <f>ABS(TableNFO[[#This Row],[PP]]-TableNFO[[#This Row],[AP]])</f>
        <v>16.533203523466682</v>
      </c>
      <c r="H5" t="s">
        <v>2</v>
      </c>
      <c r="I5">
        <f>SUM(ABS(TableNFO[[#This Row],[PP]]-TableNFO[[#This Row],[AP]]))</f>
        <v>16.533203523466682</v>
      </c>
    </row>
    <row r="6" spans="1:9" x14ac:dyDescent="0.2">
      <c r="A6" t="s">
        <v>138</v>
      </c>
      <c r="B6">
        <v>25.533041798397772</v>
      </c>
      <c r="C6">
        <v>34.091681852220468</v>
      </c>
      <c r="D6">
        <f>TableNFO[[#This Row],[ARIMAPP]]*$I$2+TableNFO[[#This Row],[LSTMPP]]*$I$3</f>
        <v>32.53966788118769</v>
      </c>
      <c r="E6">
        <v>30</v>
      </c>
      <c r="F6">
        <f>ABS(TableNFO[[#This Row],[PP]]-TableNFO[[#This Row],[AP]])</f>
        <v>2.5396678811876896</v>
      </c>
    </row>
    <row r="7" spans="1:9" x14ac:dyDescent="0.2">
      <c r="H7" t="s">
        <v>3</v>
      </c>
      <c r="I7">
        <f>AVERAGE(TableNFO[DIFF])/10</f>
        <v>0.73208933434101353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139</v>
      </c>
      <c r="B2">
        <v>25.26761050326785</v>
      </c>
      <c r="C2">
        <v>23.457981624850959</v>
      </c>
      <c r="D2">
        <f>TableSHU[[#This Row],[ARIMAPP]]*$I$2+TableSHU[[#This Row],[LSTMPP]]*$I$3</f>
        <v>29.331536405043693</v>
      </c>
      <c r="E2">
        <v>23</v>
      </c>
      <c r="F2">
        <f>ABS(TableSHU[[#This Row],[PP]]-TableSHU[[#This Row],[AP]])</f>
        <v>6.3315364050436926</v>
      </c>
      <c r="H2" t="s">
        <v>0</v>
      </c>
      <c r="I2">
        <v>0</v>
      </c>
    </row>
    <row r="3" spans="1:9" x14ac:dyDescent="0.2">
      <c r="A3" t="s">
        <v>140</v>
      </c>
      <c r="B3">
        <v>24.378145487746611</v>
      </c>
      <c r="C3">
        <v>23.800262709240169</v>
      </c>
      <c r="D3">
        <f>TableSHU[[#This Row],[ARIMAPP]]*$I$2+TableSHU[[#This Row],[LSTMPP]]*$I$3</f>
        <v>29.759519948047416</v>
      </c>
      <c r="E3">
        <v>36</v>
      </c>
      <c r="F3">
        <f>ABS(TableSHU[[#This Row],[PP]]-TableSHU[[#This Row],[AP]])</f>
        <v>6.2404800519525843</v>
      </c>
      <c r="H3" t="s">
        <v>1</v>
      </c>
      <c r="I3">
        <v>1.2503861958</v>
      </c>
    </row>
    <row r="5" spans="1:9" x14ac:dyDescent="0.2">
      <c r="H5" t="s">
        <v>2</v>
      </c>
      <c r="I5" t="e">
        <f>SUM(ABS(TableSHU[[#This Row],[PP]]-TableSHU[[#This Row],[AP]]))</f>
        <v>#VALUE!</v>
      </c>
    </row>
    <row r="7" spans="1:9" x14ac:dyDescent="0.2">
      <c r="H7" t="s">
        <v>3</v>
      </c>
      <c r="I7">
        <f>AVERAGE(TableSHU[DIFF])/10</f>
        <v>0.62860082284981389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141</v>
      </c>
      <c r="B2">
        <v>43.737220704208553</v>
      </c>
      <c r="C2">
        <v>40.058373828906987</v>
      </c>
      <c r="D2">
        <f>TableTOT[[#This Row],[ARIMAPP]]*$I$2+TableTOT[[#This Row],[LSTMPP]]*$I$3</f>
        <v>42.590289435992595</v>
      </c>
      <c r="E2">
        <v>27</v>
      </c>
      <c r="F2">
        <f>ABS(TableTOT[[#This Row],[PP]]-TableTOT[[#This Row],[AP]])</f>
        <v>15.590289435992595</v>
      </c>
      <c r="H2" t="s">
        <v>0</v>
      </c>
      <c r="I2">
        <v>0.31881097470999997</v>
      </c>
    </row>
    <row r="3" spans="1:9" x14ac:dyDescent="0.2">
      <c r="A3" t="s">
        <v>142</v>
      </c>
      <c r="B3">
        <v>35.611325907224902</v>
      </c>
      <c r="C3">
        <v>36.958306742147229</v>
      </c>
      <c r="D3">
        <f>TableTOT[[#This Row],[ARIMAPP]]*$I$2+TableTOT[[#This Row],[LSTMPP]]*$I$3</f>
        <v>37.782757465976012</v>
      </c>
      <c r="E3">
        <v>48</v>
      </c>
      <c r="F3">
        <f>ABS(TableTOT[[#This Row],[PP]]-TableTOT[[#This Row],[AP]])</f>
        <v>10.217242534023988</v>
      </c>
      <c r="H3" t="s">
        <v>1</v>
      </c>
      <c r="I3">
        <v>0.71511598534999998</v>
      </c>
    </row>
    <row r="4" spans="1:9" x14ac:dyDescent="0.2">
      <c r="A4" t="s">
        <v>143</v>
      </c>
      <c r="B4">
        <v>29.696969696969699</v>
      </c>
      <c r="C4">
        <v>26.761594207414682</v>
      </c>
      <c r="D4">
        <f>TableTOT[[#This Row],[ARIMAPP]]*$I$2+TableTOT[[#This Row],[LSTMPP]]*$I$3</f>
        <v>28.605363666196443</v>
      </c>
      <c r="E4">
        <v>24</v>
      </c>
      <c r="F4">
        <f>ABS(TableTOT[[#This Row],[PP]]-TableTOT[[#This Row],[AP]])</f>
        <v>4.6053636661964426</v>
      </c>
    </row>
    <row r="5" spans="1:9" x14ac:dyDescent="0.2">
      <c r="A5" t="s">
        <v>144</v>
      </c>
      <c r="B5">
        <v>32.11475039295658</v>
      </c>
      <c r="C5">
        <v>28.721587622796712</v>
      </c>
      <c r="D5">
        <f>TableTOT[[#This Row],[ARIMAPP]]*$I$2+TableTOT[[#This Row],[LSTMPP]]*$I$3</f>
        <v>30.777801309039475</v>
      </c>
      <c r="E5">
        <v>47</v>
      </c>
      <c r="F5">
        <f>ABS(TableTOT[[#This Row],[PP]]-TableTOT[[#This Row],[AP]])</f>
        <v>16.222198690960525</v>
      </c>
      <c r="H5" t="s">
        <v>2</v>
      </c>
      <c r="I5">
        <f>SUM(ABS(TableTOT[[#This Row],[PP]]-TableTOT[[#This Row],[AP]]))</f>
        <v>16.222198690960525</v>
      </c>
    </row>
    <row r="6" spans="1:9" x14ac:dyDescent="0.2">
      <c r="A6" t="s">
        <v>145</v>
      </c>
      <c r="B6">
        <v>51.228070175438617</v>
      </c>
      <c r="C6">
        <v>47.110006406161297</v>
      </c>
      <c r="D6">
        <f>TableTOT[[#This Row],[ARIMAPP]]*$I$2+TableTOT[[#This Row],[LSTMPP]]*$I$3</f>
        <v>50.021189636130714</v>
      </c>
      <c r="E6">
        <v>55</v>
      </c>
      <c r="F6">
        <f>ABS(TableTOT[[#This Row],[PP]]-TableTOT[[#This Row],[AP]])</f>
        <v>4.978810363869286</v>
      </c>
    </row>
    <row r="7" spans="1:9" x14ac:dyDescent="0.2">
      <c r="A7" t="s">
        <v>146</v>
      </c>
      <c r="B7">
        <v>38.918918918918941</v>
      </c>
      <c r="C7">
        <v>27.775338559925089</v>
      </c>
      <c r="D7">
        <f>TableTOT[[#This Row],[ARIMAPP]]*$I$2+TableTOT[[#This Row],[LSTMPP]]*$I$3</f>
        <v>32.270367077910684</v>
      </c>
      <c r="E7">
        <v>27</v>
      </c>
      <c r="F7">
        <f>ABS(TableTOT[[#This Row],[PP]]-TableTOT[[#This Row],[AP]])</f>
        <v>5.2703670779106844</v>
      </c>
      <c r="H7" t="s">
        <v>3</v>
      </c>
      <c r="I7">
        <f>AVERAGE(TableTOT[DIFF])/10</f>
        <v>0.77156889038585486</v>
      </c>
    </row>
    <row r="8" spans="1:9" x14ac:dyDescent="0.2">
      <c r="A8" t="s">
        <v>147</v>
      </c>
      <c r="B8">
        <v>24.731519734482362</v>
      </c>
      <c r="C8">
        <v>38.986244233592863</v>
      </c>
      <c r="D8">
        <f>TableTOT[[#This Row],[ARIMAPP]]*$I$2+TableTOT[[#This Row],[LSTMPP]]*$I$3</f>
        <v>35.764366372811438</v>
      </c>
      <c r="E8">
        <v>31</v>
      </c>
      <c r="F8">
        <f>ABS(TableTOT[[#This Row],[PP]]-TableTOT[[#This Row],[AP]])</f>
        <v>4.7643663728114376</v>
      </c>
    </row>
    <row r="9" spans="1:9" x14ac:dyDescent="0.2">
      <c r="A9" t="s">
        <v>148</v>
      </c>
      <c r="B9">
        <v>22.270770649955161</v>
      </c>
      <c r="C9">
        <v>23.524800391936179</v>
      </c>
      <c r="D9">
        <f>TableTOT[[#This Row],[ARIMAPP]]*$I$2+TableTOT[[#This Row],[LSTMPP]]*$I$3</f>
        <v>23.923126910896571</v>
      </c>
      <c r="E9">
        <v>24</v>
      </c>
      <c r="F9">
        <f>ABS(TableTOT[[#This Row],[PP]]-TableTOT[[#This Row],[AP]])</f>
        <v>7.6873089103429493E-2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149</v>
      </c>
      <c r="B2">
        <v>31.040330362154808</v>
      </c>
      <c r="C2">
        <v>34.420273591542824</v>
      </c>
      <c r="D2">
        <f>TableWHU[[#This Row],[ARIMAPP]]*$I$2+TableWHU[[#This Row],[LSTMPP]]*$I$3</f>
        <v>29.98626014524665</v>
      </c>
      <c r="E2">
        <v>36</v>
      </c>
      <c r="F2">
        <f>ABS(TableWHU[[#This Row],[PP]]-TableWHU[[#This Row],[AP]])</f>
        <v>6.01373985475335</v>
      </c>
      <c r="H2" t="s">
        <v>0</v>
      </c>
      <c r="I2">
        <v>0.96604191371000003</v>
      </c>
    </row>
    <row r="3" spans="1:9" x14ac:dyDescent="0.2">
      <c r="A3" t="s">
        <v>150</v>
      </c>
      <c r="B3">
        <v>39.063268318390747</v>
      </c>
      <c r="C3">
        <v>36.225107620562582</v>
      </c>
      <c r="D3">
        <f>TableWHU[[#This Row],[ARIMAPP]]*$I$2+TableWHU[[#This Row],[LSTMPP]]*$I$3</f>
        <v>37.736754482065415</v>
      </c>
      <c r="E3">
        <v>30</v>
      </c>
      <c r="F3">
        <f>ABS(TableWHU[[#This Row],[PP]]-TableWHU[[#This Row],[AP]])</f>
        <v>7.7367544820654146</v>
      </c>
      <c r="H3" t="s">
        <v>1</v>
      </c>
      <c r="I3">
        <v>0</v>
      </c>
    </row>
    <row r="4" spans="1:9" x14ac:dyDescent="0.2">
      <c r="A4" t="s">
        <v>151</v>
      </c>
      <c r="B4">
        <v>29.775598947627682</v>
      </c>
      <c r="C4">
        <v>35.988685449743308</v>
      </c>
      <c r="D4">
        <f>TableWHU[[#This Row],[ARIMAPP]]*$I$2+TableWHU[[#This Row],[LSTMPP]]*$I$3</f>
        <v>28.764476589227709</v>
      </c>
      <c r="E4">
        <v>26</v>
      </c>
      <c r="F4">
        <f>ABS(TableWHU[[#This Row],[PP]]-TableWHU[[#This Row],[AP]])</f>
        <v>2.7644765892277086</v>
      </c>
    </row>
    <row r="5" spans="1:9" x14ac:dyDescent="0.2">
      <c r="A5" t="s">
        <v>152</v>
      </c>
      <c r="B5">
        <v>44.050443219358627</v>
      </c>
      <c r="C5">
        <v>43.191820468415372</v>
      </c>
      <c r="D5">
        <f>TableWHU[[#This Row],[ARIMAPP]]*$I$2+TableWHU[[#This Row],[LSTMPP]]*$I$3</f>
        <v>42.554574467402901</v>
      </c>
      <c r="E5">
        <v>62</v>
      </c>
      <c r="F5">
        <f>ABS(TableWHU[[#This Row],[PP]]-TableWHU[[#This Row],[AP]])</f>
        <v>19.445425532597099</v>
      </c>
      <c r="H5" t="s">
        <v>2</v>
      </c>
      <c r="I5">
        <f>SUM(ABS(TableWHU[[#This Row],[PP]]-TableWHU[[#This Row],[AP]]))</f>
        <v>19.445425532597099</v>
      </c>
    </row>
    <row r="6" spans="1:9" x14ac:dyDescent="0.2">
      <c r="A6" t="s">
        <v>153</v>
      </c>
      <c r="B6">
        <v>33.728813559322013</v>
      </c>
      <c r="C6">
        <v>30.055103320048289</v>
      </c>
      <c r="D6">
        <f>TableWHU[[#This Row],[ARIMAPP]]*$I$2+TableWHU[[#This Row],[LSTMPP]]*$I$3</f>
        <v>32.583447598015233</v>
      </c>
      <c r="E6">
        <v>31</v>
      </c>
      <c r="F6">
        <f>ABS(TableWHU[[#This Row],[PP]]-TableWHU[[#This Row],[AP]])</f>
        <v>1.5834475980152334</v>
      </c>
    </row>
    <row r="7" spans="1:9" x14ac:dyDescent="0.2">
      <c r="A7" t="s">
        <v>154</v>
      </c>
      <c r="B7">
        <v>34.782608695652179</v>
      </c>
      <c r="C7">
        <v>41.518966876973892</v>
      </c>
      <c r="D7">
        <f>TableWHU[[#This Row],[ARIMAPP]]*$I$2+TableWHU[[#This Row],[LSTMPP]]*$I$3</f>
        <v>33.601457868173917</v>
      </c>
      <c r="E7">
        <v>31</v>
      </c>
      <c r="F7">
        <f>ABS(TableWHU[[#This Row],[PP]]-TableWHU[[#This Row],[AP]])</f>
        <v>2.6014578681739167</v>
      </c>
      <c r="H7" t="s">
        <v>3</v>
      </c>
      <c r="I7">
        <f>AVERAGE(TableWHU[DIFF])/10</f>
        <v>0.66421994913545868</v>
      </c>
    </row>
    <row r="8" spans="1:9" x14ac:dyDescent="0.2">
      <c r="A8" t="s">
        <v>155</v>
      </c>
      <c r="B8">
        <v>34.943478188459068</v>
      </c>
      <c r="C8">
        <v>33.041564584482387</v>
      </c>
      <c r="D8">
        <f>TableWHU[[#This Row],[ARIMAPP]]*$I$2+TableWHU[[#This Row],[LSTMPP]]*$I$3</f>
        <v>33.756864540862644</v>
      </c>
      <c r="E8">
        <v>25</v>
      </c>
      <c r="F8">
        <f>ABS(TableWHU[[#This Row],[PP]]-TableWHU[[#This Row],[AP]])</f>
        <v>8.7568645408626438</v>
      </c>
    </row>
    <row r="9" spans="1:9" x14ac:dyDescent="0.2">
      <c r="A9" t="s">
        <v>156</v>
      </c>
      <c r="B9">
        <v>19.499999999999989</v>
      </c>
      <c r="C9">
        <v>21.397091692450839</v>
      </c>
      <c r="D9">
        <f>TableWHU[[#This Row],[ARIMAPP]]*$I$2+TableWHU[[#This Row],[LSTMPP]]*$I$3</f>
        <v>18.837817317344989</v>
      </c>
      <c r="E9">
        <v>23</v>
      </c>
      <c r="F9">
        <f>ABS(TableWHU[[#This Row],[PP]]-TableWHU[[#This Row],[AP]])</f>
        <v>4.1621826826550112</v>
      </c>
    </row>
    <row r="10" spans="1:9" x14ac:dyDescent="0.2">
      <c r="A10" t="s">
        <v>157</v>
      </c>
      <c r="B10">
        <v>43.18181818181818</v>
      </c>
      <c r="C10">
        <v>52.30024790721928</v>
      </c>
      <c r="D10">
        <f>TableWHU[[#This Row],[ARIMAPP]]*$I$2+TableWHU[[#This Row],[LSTMPP]]*$I$3</f>
        <v>41.715446273840911</v>
      </c>
      <c r="E10">
        <v>35</v>
      </c>
      <c r="F10">
        <f>ABS(TableWHU[[#This Row],[PP]]-TableWHU[[#This Row],[AP]])</f>
        <v>6.7154462738409109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22</v>
      </c>
      <c r="B2">
        <v>26.000258674868491</v>
      </c>
      <c r="C2">
        <v>33.846402212142742</v>
      </c>
      <c r="D2">
        <f>TableAVL[[#This Row],[ARIMAPP]]*$I$2+TableAVL[[#This Row],[LSTMPP]]*$I$3</f>
        <v>30.999851100235173</v>
      </c>
      <c r="E2">
        <v>20</v>
      </c>
      <c r="F2">
        <f>ABS(TableAVL[[#This Row],[PP]]-TableAVL[[#This Row],[AP]])</f>
        <v>10.999851100235173</v>
      </c>
      <c r="H2" t="s">
        <v>0</v>
      </c>
      <c r="I2">
        <v>0.37890336938000002</v>
      </c>
    </row>
    <row r="3" spans="1:9" x14ac:dyDescent="0.2">
      <c r="A3" t="s">
        <v>23</v>
      </c>
      <c r="B3">
        <v>25.46640221648742</v>
      </c>
      <c r="C3">
        <v>33.121666082353372</v>
      </c>
      <c r="D3">
        <f>TableAVL[[#This Row],[ARIMAPP]]*$I$2+TableAVL[[#This Row],[LSTMPP]]*$I$3</f>
        <v>30.344733828215766</v>
      </c>
      <c r="E3">
        <v>30</v>
      </c>
      <c r="F3">
        <f>ABS(TableAVL[[#This Row],[PP]]-TableAVL[[#This Row],[AP]])</f>
        <v>0.34473382821576593</v>
      </c>
      <c r="H3" t="s">
        <v>1</v>
      </c>
      <c r="I3">
        <v>0.62483053150000001</v>
      </c>
    </row>
    <row r="4" spans="1:9" x14ac:dyDescent="0.2">
      <c r="A4" t="s">
        <v>24</v>
      </c>
      <c r="B4">
        <v>48.783313288185262</v>
      </c>
      <c r="C4">
        <v>24.78866901093264</v>
      </c>
      <c r="D4">
        <f>TableAVL[[#This Row],[ARIMAPP]]*$I$2+TableAVL[[#This Row],[LSTMPP]]*$I$3</f>
        <v>33.972879007692143</v>
      </c>
      <c r="E4">
        <v>32</v>
      </c>
      <c r="F4">
        <f>ABS(TableAVL[[#This Row],[PP]]-TableAVL[[#This Row],[AP]])</f>
        <v>1.9728790076921427</v>
      </c>
    </row>
    <row r="5" spans="1:9" x14ac:dyDescent="0.2">
      <c r="A5" t="s">
        <v>25</v>
      </c>
      <c r="B5">
        <v>30.728476821192071</v>
      </c>
      <c r="C5">
        <v>28.283534691603009</v>
      </c>
      <c r="D5">
        <f>TableAVL[[#This Row],[ARIMAPP]]*$I$2+TableAVL[[#This Row],[LSTMPP]]*$I$3</f>
        <v>29.315539417517904</v>
      </c>
      <c r="E5">
        <v>26</v>
      </c>
      <c r="F5">
        <f>ABS(TableAVL[[#This Row],[PP]]-TableAVL[[#This Row],[AP]])</f>
        <v>3.315539417517904</v>
      </c>
      <c r="H5" t="s">
        <v>2</v>
      </c>
      <c r="I5">
        <f>SUM(ABS(TableAVL[[#This Row],[PP]]-TableAVL[[#This Row],[AP]]))</f>
        <v>3.315539417517904</v>
      </c>
    </row>
    <row r="6" spans="1:9" x14ac:dyDescent="0.2">
      <c r="A6" t="s">
        <v>26</v>
      </c>
      <c r="B6">
        <v>28.013698630137</v>
      </c>
      <c r="C6">
        <v>28.4030415802203</v>
      </c>
      <c r="D6">
        <f>TableAVL[[#This Row],[ARIMAPP]]*$I$2+TableAVL[[#This Row],[LSTMPP]]*$I$3</f>
        <v>28.36157236654045</v>
      </c>
      <c r="E6">
        <v>31</v>
      </c>
      <c r="F6">
        <f>ABS(TableAVL[[#This Row],[PP]]-TableAVL[[#This Row],[AP]])</f>
        <v>2.6384276334595498</v>
      </c>
    </row>
    <row r="7" spans="1:9" x14ac:dyDescent="0.2">
      <c r="A7" t="s">
        <v>27</v>
      </c>
      <c r="B7">
        <v>61.053167536727891</v>
      </c>
      <c r="C7">
        <v>42.669487560002651</v>
      </c>
      <c r="D7">
        <f>TableAVL[[#This Row],[ARIMAPP]]*$I$2+TableAVL[[#This Row],[LSTMPP]]*$I$3</f>
        <v>49.79444948193693</v>
      </c>
      <c r="E7">
        <v>56</v>
      </c>
      <c r="F7">
        <f>ABS(TableAVL[[#This Row],[PP]]-TableAVL[[#This Row],[AP]])</f>
        <v>6.2055505180630703</v>
      </c>
      <c r="H7" t="s">
        <v>3</v>
      </c>
      <c r="I7">
        <f>AVERAGE(TableAVL[DIFF])/10</f>
        <v>0.5655828675709782</v>
      </c>
    </row>
    <row r="8" spans="1:9" x14ac:dyDescent="0.2">
      <c r="A8" t="s">
        <v>28</v>
      </c>
      <c r="B8">
        <v>55.551357273605099</v>
      </c>
      <c r="C8">
        <v>27.25341566376488</v>
      </c>
      <c r="D8">
        <f>TableAVL[[#This Row],[ARIMAPP]]*$I$2+TableAVL[[#This Row],[LSTMPP]]*$I$3</f>
        <v>38.077362638981782</v>
      </c>
      <c r="E8">
        <v>37</v>
      </c>
      <c r="F8">
        <f>ABS(TableAVL[[#This Row],[PP]]-TableAVL[[#This Row],[AP]])</f>
        <v>1.0773626389817821</v>
      </c>
    </row>
    <row r="9" spans="1:9" x14ac:dyDescent="0.2">
      <c r="A9" t="s">
        <v>29</v>
      </c>
      <c r="B9">
        <v>35.254237288135577</v>
      </c>
      <c r="C9">
        <v>38.226332803207157</v>
      </c>
      <c r="D9">
        <f>TableAVL[[#This Row],[ARIMAPP]]*$I$2+TableAVL[[#This Row],[LSTMPP]]*$I$3</f>
        <v>37.242929136120416</v>
      </c>
      <c r="E9">
        <v>31</v>
      </c>
      <c r="F9">
        <f>ABS(TableAVL[[#This Row],[PP]]-TableAVL[[#This Row],[AP]])</f>
        <v>6.2429291361204164</v>
      </c>
    </row>
    <row r="10" spans="1:9" x14ac:dyDescent="0.2">
      <c r="A10" t="s">
        <v>30</v>
      </c>
      <c r="B10">
        <v>18.556037002478799</v>
      </c>
      <c r="C10">
        <v>23.27818043668924</v>
      </c>
      <c r="D10">
        <f>TableAVL[[#This Row],[ARIMAPP]]*$I$2+TableAVL[[#This Row],[LSTMPP]]*$I$3</f>
        <v>21.575862797188613</v>
      </c>
      <c r="E10">
        <v>43</v>
      </c>
      <c r="F10">
        <f>ABS(TableAVL[[#This Row],[PP]]-TableAVL[[#This Row],[AP]])</f>
        <v>21.424137202811387</v>
      </c>
    </row>
    <row r="11" spans="1:9" x14ac:dyDescent="0.2">
      <c r="A11" t="s">
        <v>31</v>
      </c>
      <c r="B11">
        <v>33.157894736842117</v>
      </c>
      <c r="C11">
        <v>18.842290258128621</v>
      </c>
      <c r="D11">
        <f>TableAVL[[#This Row],[ARIMAPP]]*$I$2+TableAVL[[#This Row],[LSTMPP]]*$I$3</f>
        <v>24.336876274000627</v>
      </c>
      <c r="E11">
        <v>22</v>
      </c>
      <c r="F11">
        <f>ABS(TableAVL[[#This Row],[PP]]-TableAVL[[#This Row],[AP]])</f>
        <v>2.3368762740006268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9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158</v>
      </c>
      <c r="B2">
        <v>22.38636363636363</v>
      </c>
      <c r="C2">
        <v>16.321478563843119</v>
      </c>
      <c r="D2">
        <f>TableWOL[[#This Row],[ARIMAPP]]*$I$2+TableWOL[[#This Row],[LSTMPP]]*$I$3</f>
        <v>20.10147522119507</v>
      </c>
      <c r="E2">
        <v>23</v>
      </c>
      <c r="F2">
        <f>ABS(TableWOL[[#This Row],[PP]]-TableWOL[[#This Row],[AP]])</f>
        <v>2.89852477880493</v>
      </c>
      <c r="H2" t="s">
        <v>0</v>
      </c>
      <c r="I2">
        <v>0</v>
      </c>
    </row>
    <row r="3" spans="1:9" x14ac:dyDescent="0.2">
      <c r="A3" t="s">
        <v>159</v>
      </c>
      <c r="B3">
        <v>26.598450343323549</v>
      </c>
      <c r="C3">
        <v>25.588649392102841</v>
      </c>
      <c r="D3">
        <f>TableWOL[[#This Row],[ARIMAPP]]*$I$2+TableWOL[[#This Row],[LSTMPP]]*$I$3</f>
        <v>31.514890007495012</v>
      </c>
      <c r="E3">
        <v>41</v>
      </c>
      <c r="F3">
        <f>ABS(TableWOL[[#This Row],[PP]]-TableWOL[[#This Row],[AP]])</f>
        <v>9.485109992504988</v>
      </c>
      <c r="H3" t="s">
        <v>1</v>
      </c>
      <c r="I3">
        <v>1.23159646</v>
      </c>
    </row>
    <row r="4" spans="1:9" x14ac:dyDescent="0.2">
      <c r="A4" t="s">
        <v>160</v>
      </c>
      <c r="B4">
        <v>38.234715557646886</v>
      </c>
      <c r="C4">
        <v>41.590780515803942</v>
      </c>
      <c r="D4">
        <f>TableWOL[[#This Row],[ARIMAPP]]*$I$2+TableWOL[[#This Row],[LSTMPP]]*$I$3</f>
        <v>51.223058051901113</v>
      </c>
      <c r="E4">
        <v>33</v>
      </c>
      <c r="F4">
        <f>ABS(TableWOL[[#This Row],[PP]]-TableWOL[[#This Row],[AP]])</f>
        <v>18.223058051901113</v>
      </c>
    </row>
    <row r="5" spans="1:9" x14ac:dyDescent="0.2">
      <c r="A5" t="s">
        <v>161</v>
      </c>
      <c r="B5">
        <v>24.318181818181809</v>
      </c>
      <c r="C5">
        <v>20.27367467393054</v>
      </c>
      <c r="D5">
        <f>TableWOL[[#This Row],[ARIMAPP]]*$I$2+TableWOL[[#This Row],[LSTMPP]]*$I$3</f>
        <v>24.968985959604506</v>
      </c>
      <c r="E5">
        <v>24</v>
      </c>
      <c r="F5">
        <f>ABS(TableWOL[[#This Row],[PP]]-TableWOL[[#This Row],[AP]])</f>
        <v>0.96898595960450606</v>
      </c>
      <c r="H5" t="s">
        <v>2</v>
      </c>
      <c r="I5">
        <f>SUM(ABS(TableWOL[[#This Row],[PP]]-TableWOL[[#This Row],[AP]]))</f>
        <v>0.96898595960450606</v>
      </c>
    </row>
    <row r="6" spans="1:9" x14ac:dyDescent="0.2">
      <c r="A6" t="s">
        <v>162</v>
      </c>
      <c r="B6">
        <v>44.077453045114957</v>
      </c>
      <c r="C6">
        <v>30.357496647846311</v>
      </c>
      <c r="D6">
        <f>TableWOL[[#This Row],[ARIMAPP]]*$I$2+TableWOL[[#This Row],[LSTMPP]]*$I$3</f>
        <v>37.388185405949386</v>
      </c>
      <c r="E6">
        <v>45</v>
      </c>
      <c r="F6">
        <f>ABS(TableWOL[[#This Row],[PP]]-TableWOL[[#This Row],[AP]])</f>
        <v>7.6118145940506139</v>
      </c>
    </row>
    <row r="7" spans="1:9" x14ac:dyDescent="0.2">
      <c r="A7" t="s">
        <v>163</v>
      </c>
      <c r="B7">
        <v>18.184367328541089</v>
      </c>
      <c r="C7">
        <v>18.355211995220831</v>
      </c>
      <c r="D7">
        <f>TableWOL[[#This Row],[ARIMAPP]]*$I$2+TableWOL[[#This Row],[LSTMPP]]*$I$3</f>
        <v>22.606214115863512</v>
      </c>
      <c r="E7">
        <v>40</v>
      </c>
      <c r="F7">
        <f>ABS(TableWOL[[#This Row],[PP]]-TableWOL[[#This Row],[AP]])</f>
        <v>17.393785884136488</v>
      </c>
      <c r="H7" t="s">
        <v>3</v>
      </c>
      <c r="I7">
        <f>AVERAGE(TableWOL[DIFF])/10</f>
        <v>0.96748878773332314</v>
      </c>
    </row>
    <row r="8" spans="1:9" x14ac:dyDescent="0.2">
      <c r="A8" t="s">
        <v>164</v>
      </c>
      <c r="B8">
        <v>50.908721521847333</v>
      </c>
      <c r="C8">
        <v>30.938624262389769</v>
      </c>
      <c r="D8">
        <f>TableWOL[[#This Row],[ARIMAPP]]*$I$2+TableWOL[[#This Row],[LSTMPP]]*$I$3</f>
        <v>38.103900118829351</v>
      </c>
      <c r="E8">
        <v>47</v>
      </c>
      <c r="F8">
        <f>ABS(TableWOL[[#This Row],[PP]]-TableWOL[[#This Row],[AP]])</f>
        <v>8.8960998811706489</v>
      </c>
    </row>
    <row r="9" spans="1:9" x14ac:dyDescent="0.2">
      <c r="A9" t="s">
        <v>165</v>
      </c>
      <c r="B9">
        <v>60.683192998834201</v>
      </c>
      <c r="C9">
        <v>28.354842686453139</v>
      </c>
      <c r="D9">
        <f>TableWOL[[#This Row],[ARIMAPP]]*$I$2+TableWOL[[#This Row],[LSTMPP]]*$I$3</f>
        <v>34.921723876492578</v>
      </c>
      <c r="E9">
        <v>23</v>
      </c>
      <c r="F9">
        <f>ABS(TableWOL[[#This Row],[PP]]-TableWOL[[#This Row],[AP]])</f>
        <v>11.921723876492578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32</v>
      </c>
      <c r="B2">
        <v>22.871287128712879</v>
      </c>
      <c r="C2">
        <v>21.144944769441</v>
      </c>
      <c r="D2">
        <f>TableBOU[[#This Row],[ARIMAPP]]*$I$2+TableBOU[[#This Row],[LSTMPP]]*$I$3</f>
        <v>25.743435443204177</v>
      </c>
      <c r="E2">
        <v>40</v>
      </c>
      <c r="F2">
        <f>ABS(TableBOU[[#This Row],[PP]]-TableBOU[[#This Row],[AP]])</f>
        <v>14.256564556795823</v>
      </c>
      <c r="H2" t="s">
        <v>0</v>
      </c>
      <c r="I2">
        <v>0.72826171326</v>
      </c>
    </row>
    <row r="3" spans="1:9" x14ac:dyDescent="0.2">
      <c r="A3" t="s">
        <v>33</v>
      </c>
      <c r="B3">
        <v>17.073202745394759</v>
      </c>
      <c r="C3">
        <v>14.55044193847246</v>
      </c>
      <c r="D3">
        <f>TableBOU[[#This Row],[ARIMAPP]]*$I$2+TableBOU[[#This Row],[LSTMPP]]*$I$3</f>
        <v>18.686889843396116</v>
      </c>
      <c r="E3">
        <v>32</v>
      </c>
      <c r="F3">
        <f>ABS(TableBOU[[#This Row],[PP]]-TableBOU[[#This Row],[AP]])</f>
        <v>13.313110156603884</v>
      </c>
      <c r="H3" t="s">
        <v>1</v>
      </c>
      <c r="I3">
        <v>0.42975532892000001</v>
      </c>
    </row>
    <row r="4" spans="1:9" x14ac:dyDescent="0.2">
      <c r="A4" t="s">
        <v>34</v>
      </c>
      <c r="B4">
        <v>52.637357434752282</v>
      </c>
      <c r="C4">
        <v>29.308206396223412</v>
      </c>
      <c r="D4">
        <f>TableBOU[[#This Row],[ARIMAPP]]*$I$2+TableBOU[[#This Row],[LSTMPP]]*$I$3</f>
        <v>50.929129986775934</v>
      </c>
      <c r="E4">
        <v>40</v>
      </c>
      <c r="F4">
        <f>ABS(TableBOU[[#This Row],[PP]]-TableBOU[[#This Row],[AP]])</f>
        <v>10.929129986775934</v>
      </c>
    </row>
    <row r="5" spans="1:9" x14ac:dyDescent="0.2">
      <c r="A5" t="s">
        <v>35</v>
      </c>
      <c r="B5">
        <v>20.72727272727272</v>
      </c>
      <c r="C5">
        <v>22.31472106385494</v>
      </c>
      <c r="D5">
        <f>TableBOU[[#This Row],[ARIMAPP]]*$I$2+TableBOU[[#This Row],[LSTMPP]]*$I$3</f>
        <v>24.684749438125934</v>
      </c>
      <c r="E5">
        <v>25</v>
      </c>
      <c r="F5">
        <f>ABS(TableBOU[[#This Row],[PP]]-TableBOU[[#This Row],[AP]])</f>
        <v>0.31525056187406619</v>
      </c>
      <c r="H5" t="s">
        <v>2</v>
      </c>
      <c r="I5">
        <f>SUM(ABS(TableBOU[[#This Row],[PP]]-TableBOU[[#This Row],[AP]]))</f>
        <v>0.31525056187406619</v>
      </c>
    </row>
    <row r="6" spans="1:9" x14ac:dyDescent="0.2">
      <c r="A6" t="s">
        <v>36</v>
      </c>
      <c r="B6">
        <v>38.304509214221348</v>
      </c>
      <c r="C6">
        <v>46.126062890614598</v>
      </c>
      <c r="D6">
        <f>TableBOU[[#This Row],[ARIMAPP]]*$I$2+TableBOU[[#This Row],[LSTMPP]]*$I$3</f>
        <v>47.71862883527298</v>
      </c>
      <c r="E6">
        <v>22</v>
      </c>
      <c r="F6">
        <f>ABS(TableBOU[[#This Row],[PP]]-TableBOU[[#This Row],[AP]])</f>
        <v>25.71862883527298</v>
      </c>
    </row>
    <row r="7" spans="1:9" x14ac:dyDescent="0.2">
      <c r="A7" t="s">
        <v>37</v>
      </c>
      <c r="B7">
        <v>23.7216671103149</v>
      </c>
      <c r="C7">
        <v>19.95847721618313</v>
      </c>
      <c r="D7">
        <f>TableBOU[[#This Row],[ARIMAPP]]*$I$2+TableBOU[[#This Row],[LSTMPP]]*$I$3</f>
        <v>25.852843871924428</v>
      </c>
      <c r="E7">
        <v>43</v>
      </c>
      <c r="F7">
        <f>ABS(TableBOU[[#This Row],[PP]]-TableBOU[[#This Row],[AP]])</f>
        <v>17.147156128075572</v>
      </c>
      <c r="H7" t="s">
        <v>3</v>
      </c>
      <c r="I7">
        <f>AVERAGE(TableBOU[DIFF])/10</f>
        <v>1.3907253216164244</v>
      </c>
    </row>
    <row r="8" spans="1:9" x14ac:dyDescent="0.2">
      <c r="A8" t="s">
        <v>38</v>
      </c>
      <c r="B8">
        <v>36.763139466437799</v>
      </c>
      <c r="C8">
        <v>34.49695415163994</v>
      </c>
      <c r="D8">
        <f>TableBOU[[#This Row],[ARIMAPP]]*$I$2+TableBOU[[#This Row],[LSTMPP]]*$I$3</f>
        <v>41.598436810820495</v>
      </c>
      <c r="E8">
        <v>30</v>
      </c>
      <c r="F8">
        <f>ABS(TableBOU[[#This Row],[PP]]-TableBOU[[#This Row],[AP]])</f>
        <v>11.598436810820495</v>
      </c>
    </row>
    <row r="9" spans="1:9" x14ac:dyDescent="0.2">
      <c r="A9" t="s">
        <v>39</v>
      </c>
      <c r="B9">
        <v>25.333333333333329</v>
      </c>
      <c r="C9">
        <v>27.200984043610049</v>
      </c>
      <c r="D9">
        <f>TableBOU[[#This Row],[ARIMAPP]]*$I$2+TableBOU[[#This Row],[LSTMPP]]*$I$3</f>
        <v>30.139064580529308</v>
      </c>
      <c r="E9">
        <v>44</v>
      </c>
      <c r="F9">
        <f>ABS(TableBOU[[#This Row],[PP]]-TableBOU[[#This Row],[AP]])</f>
        <v>13.860935419470692</v>
      </c>
    </row>
    <row r="10" spans="1:9" x14ac:dyDescent="0.2">
      <c r="A10" t="s">
        <v>40</v>
      </c>
      <c r="B10">
        <v>18.620689655172409</v>
      </c>
      <c r="C10">
        <v>12.38034529002047</v>
      </c>
      <c r="D10">
        <f>TableBOU[[#This Row],[ARIMAPP]]*$I$2+TableBOU[[#This Row],[LSTMPP]]*$I$3</f>
        <v>18.881254712614538</v>
      </c>
      <c r="E10">
        <v>35</v>
      </c>
      <c r="F10">
        <f>ABS(TableBOU[[#This Row],[PP]]-TableBOU[[#This Row],[AP]])</f>
        <v>16.118745287385462</v>
      </c>
    </row>
    <row r="11" spans="1:9" x14ac:dyDescent="0.2">
      <c r="A11" t="s">
        <v>41</v>
      </c>
      <c r="B11">
        <v>23.324829480627422</v>
      </c>
      <c r="C11">
        <v>30.712464544751199</v>
      </c>
      <c r="D11">
        <f>TableBOU[[#This Row],[ARIMAPP]]*$I$2+TableBOU[[#This Row],[LSTMPP]]*$I$3</f>
        <v>30.185425581432476</v>
      </c>
      <c r="E11">
        <v>46</v>
      </c>
      <c r="F11">
        <f>ABS(TableBOU[[#This Row],[PP]]-TableBOU[[#This Row],[AP]])</f>
        <v>15.814574418567524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42</v>
      </c>
      <c r="B2">
        <v>28.888888888888861</v>
      </c>
      <c r="C2">
        <v>31.68919078173359</v>
      </c>
      <c r="D2">
        <f>TableBRE[[#This Row],[ARIMAPP]]*$I$2+TableBRE[[#This Row],[LSTMPP]]*$I$3</f>
        <v>32.51938638577775</v>
      </c>
      <c r="E2">
        <v>27</v>
      </c>
      <c r="F2">
        <f>ABS(TableBRE[[#This Row],[PP]]-TableBRE[[#This Row],[AP]])</f>
        <v>5.5193863857777501</v>
      </c>
      <c r="H2" t="s">
        <v>0</v>
      </c>
      <c r="I2">
        <v>1.1256710672000001</v>
      </c>
    </row>
    <row r="3" spans="1:9" x14ac:dyDescent="0.2">
      <c r="A3" t="s">
        <v>43</v>
      </c>
      <c r="B3">
        <v>31.44736842105263</v>
      </c>
      <c r="C3">
        <v>30.262192524907661</v>
      </c>
      <c r="D3">
        <f>TableBRE[[#This Row],[ARIMAPP]]*$I$2+TableBRE[[#This Row],[LSTMPP]]*$I$3</f>
        <v>35.399392771157899</v>
      </c>
      <c r="E3">
        <v>28</v>
      </c>
      <c r="F3">
        <f>ABS(TableBRE[[#This Row],[PP]]-TableBRE[[#This Row],[AP]])</f>
        <v>7.3993927711578991</v>
      </c>
      <c r="H3" t="s">
        <v>1</v>
      </c>
      <c r="I3">
        <v>0</v>
      </c>
    </row>
    <row r="4" spans="1:9" x14ac:dyDescent="0.2">
      <c r="A4" t="s">
        <v>44</v>
      </c>
      <c r="B4">
        <v>25.842696629213471</v>
      </c>
      <c r="C4">
        <v>29.248500402842371</v>
      </c>
      <c r="D4">
        <f>TableBRE[[#This Row],[ARIMAPP]]*$I$2+TableBRE[[#This Row],[LSTMPP]]*$I$3</f>
        <v>29.090375893932574</v>
      </c>
      <c r="E4">
        <v>24</v>
      </c>
      <c r="F4">
        <f>ABS(TableBRE[[#This Row],[PP]]-TableBRE[[#This Row],[AP]])</f>
        <v>5.0903758939325741</v>
      </c>
    </row>
    <row r="5" spans="1:9" x14ac:dyDescent="0.2">
      <c r="A5" t="s">
        <v>45</v>
      </c>
      <c r="B5">
        <v>40.119047619047599</v>
      </c>
      <c r="C5">
        <v>35.207379123105618</v>
      </c>
      <c r="D5">
        <f>TableBRE[[#This Row],[ARIMAPP]]*$I$2+TableBRE[[#This Row],[LSTMPP]]*$I$3</f>
        <v>45.160851148380935</v>
      </c>
      <c r="E5">
        <v>44</v>
      </c>
      <c r="F5">
        <f>ABS(TableBRE[[#This Row],[PP]]-TableBRE[[#This Row],[AP]])</f>
        <v>1.1608511483809352</v>
      </c>
      <c r="H5" t="s">
        <v>2</v>
      </c>
      <c r="I5">
        <f>SUM(ABS(TableBRE[[#This Row],[PP]]-TableBRE[[#This Row],[AP]]))</f>
        <v>1.1608511483809352</v>
      </c>
    </row>
    <row r="6" spans="1:9" x14ac:dyDescent="0.2">
      <c r="A6" t="s">
        <v>46</v>
      </c>
      <c r="B6">
        <v>27.600000000000009</v>
      </c>
      <c r="C6">
        <v>12.968836298945019</v>
      </c>
      <c r="D6">
        <f>TableBRE[[#This Row],[ARIMAPP]]*$I$2+TableBRE[[#This Row],[LSTMPP]]*$I$3</f>
        <v>31.068521454720013</v>
      </c>
      <c r="E6">
        <v>40</v>
      </c>
      <c r="F6">
        <f>ABS(TableBRE[[#This Row],[PP]]-TableBRE[[#This Row],[AP]])</f>
        <v>8.9314785452799867</v>
      </c>
    </row>
    <row r="7" spans="1:9" x14ac:dyDescent="0.2">
      <c r="A7" t="s">
        <v>47</v>
      </c>
      <c r="B7">
        <v>31.099704178483229</v>
      </c>
      <c r="C7">
        <v>34.960977558569347</v>
      </c>
      <c r="D7">
        <f>TableBRE[[#This Row],[ARIMAPP]]*$I$2+TableBRE[[#This Row],[LSTMPP]]*$I$3</f>
        <v>35.00803719219752</v>
      </c>
      <c r="E7">
        <v>44</v>
      </c>
      <c r="F7">
        <f>ABS(TableBRE[[#This Row],[PP]]-TableBRE[[#This Row],[AP]])</f>
        <v>8.99196280780248</v>
      </c>
      <c r="H7" t="s">
        <v>3</v>
      </c>
      <c r="I7">
        <f>AVERAGE(TableBRE[DIFF])/10</f>
        <v>0.63128445017663237</v>
      </c>
    </row>
    <row r="8" spans="1:9" x14ac:dyDescent="0.2">
      <c r="A8" t="s">
        <v>48</v>
      </c>
      <c r="B8">
        <v>31.07367108923988</v>
      </c>
      <c r="C8">
        <v>28.62189690716988</v>
      </c>
      <c r="D8">
        <f>TableBRE[[#This Row],[ARIMAPP]]*$I$2+TableBRE[[#This Row],[LSTMPP]]*$I$3</f>
        <v>34.978732496846447</v>
      </c>
      <c r="E8">
        <v>21</v>
      </c>
      <c r="F8">
        <f>ABS(TableBRE[[#This Row],[PP]]-TableBRE[[#This Row],[AP]])</f>
        <v>13.978732496846447</v>
      </c>
    </row>
    <row r="9" spans="1:9" x14ac:dyDescent="0.2">
      <c r="A9" t="s">
        <v>49</v>
      </c>
      <c r="B9">
        <v>20.16393442622951</v>
      </c>
      <c r="C9">
        <v>16.834839210167662</v>
      </c>
      <c r="D9">
        <f>TableBRE[[#This Row],[ARIMAPP]]*$I$2+TableBRE[[#This Row],[LSTMPP]]*$I$3</f>
        <v>22.697957584524595</v>
      </c>
      <c r="E9">
        <v>24</v>
      </c>
      <c r="F9">
        <f>ABS(TableBRE[[#This Row],[PP]]-TableBRE[[#This Row],[AP]])</f>
        <v>1.3020424154754053</v>
      </c>
    </row>
    <row r="10" spans="1:9" x14ac:dyDescent="0.2">
      <c r="A10" t="s">
        <v>50</v>
      </c>
      <c r="B10">
        <v>23.538461538461551</v>
      </c>
      <c r="C10">
        <v>23.744117471672471</v>
      </c>
      <c r="D10">
        <f>TableBRE[[#This Row],[ARIMAPP]]*$I$2+TableBRE[[#This Row],[LSTMPP]]*$I$3</f>
        <v>26.496565120246171</v>
      </c>
      <c r="E10">
        <v>31</v>
      </c>
      <c r="F10">
        <f>ABS(TableBRE[[#This Row],[PP]]-TableBRE[[#This Row],[AP]])</f>
        <v>4.5034348797538293</v>
      </c>
    </row>
    <row r="11" spans="1:9" x14ac:dyDescent="0.2">
      <c r="A11" t="s">
        <v>51</v>
      </c>
      <c r="B11">
        <v>20.689655172413779</v>
      </c>
      <c r="C11">
        <v>24.99872363568916</v>
      </c>
      <c r="D11">
        <f>TableBRE[[#This Row],[ARIMAPP]]*$I$2+TableBRE[[#This Row],[LSTMPP]]*$I$3</f>
        <v>23.289746217931022</v>
      </c>
      <c r="E11">
        <v>26</v>
      </c>
      <c r="F11">
        <f>ABS(TableBRE[[#This Row],[PP]]-TableBRE[[#This Row],[AP]])</f>
        <v>2.7102537820689783</v>
      </c>
    </row>
    <row r="12" spans="1:9" x14ac:dyDescent="0.2">
      <c r="A12" t="s">
        <v>52</v>
      </c>
      <c r="B12">
        <v>29.44609892967739</v>
      </c>
      <c r="C12">
        <v>29.8305707892541</v>
      </c>
      <c r="D12">
        <f>TableBRE[[#This Row],[ARIMAPP]]*$I$2+TableBRE[[#This Row],[LSTMPP]]*$I$3</f>
        <v>33.146621607046725</v>
      </c>
      <c r="E12">
        <v>43</v>
      </c>
      <c r="F12">
        <f>ABS(TableBRE[[#This Row],[PP]]-TableBRE[[#This Row],[AP]])</f>
        <v>9.8533783929532746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53</v>
      </c>
      <c r="B2">
        <v>31.868131868131851</v>
      </c>
      <c r="C2">
        <v>29.973083405194568</v>
      </c>
      <c r="D2">
        <f>TableBHA[[#This Row],[ARIMAPP]]*$I$2+TableBHA[[#This Row],[LSTMPP]]*$I$3</f>
        <v>23.568733472041714</v>
      </c>
      <c r="E2">
        <v>27</v>
      </c>
      <c r="F2">
        <f>ABS(TableBHA[[#This Row],[PP]]-TableBHA[[#This Row],[AP]])</f>
        <v>3.4312665279582859</v>
      </c>
      <c r="H2" t="s">
        <v>0</v>
      </c>
      <c r="I2">
        <v>0.44405758399</v>
      </c>
    </row>
    <row r="3" spans="1:9" x14ac:dyDescent="0.2">
      <c r="A3" t="s">
        <v>54</v>
      </c>
      <c r="B3">
        <v>47.79494645641747</v>
      </c>
      <c r="C3">
        <v>31.962295448838251</v>
      </c>
      <c r="D3">
        <f>TableBHA[[#This Row],[ARIMAPP]]*$I$2+TableBHA[[#This Row],[LSTMPP]]*$I$3</f>
        <v>31.266160399549804</v>
      </c>
      <c r="E3">
        <v>26</v>
      </c>
      <c r="F3">
        <f>ABS(TableBHA[[#This Row],[PP]]-TableBHA[[#This Row],[AP]])</f>
        <v>5.2661603995498041</v>
      </c>
      <c r="H3" t="s">
        <v>1</v>
      </c>
      <c r="I3">
        <v>0.31419683123999997</v>
      </c>
    </row>
    <row r="4" spans="1:9" x14ac:dyDescent="0.2">
      <c r="A4" t="s">
        <v>55</v>
      </c>
      <c r="B4">
        <v>31.070548933477511</v>
      </c>
      <c r="C4">
        <v>32.172662733753398</v>
      </c>
      <c r="D4">
        <f>TableBHA[[#This Row],[ARIMAPP]]*$I$2+TableBHA[[#This Row],[LSTMPP]]*$I$3</f>
        <v>23.905661576141647</v>
      </c>
      <c r="E4">
        <v>24</v>
      </c>
      <c r="F4">
        <f>ABS(TableBHA[[#This Row],[PP]]-TableBHA[[#This Row],[AP]])</f>
        <v>9.4338423858353337E-2</v>
      </c>
    </row>
    <row r="5" spans="1:9" x14ac:dyDescent="0.2">
      <c r="A5" t="s">
        <v>56</v>
      </c>
      <c r="B5">
        <v>43.808977719793042</v>
      </c>
      <c r="C5">
        <v>21.949999311357502</v>
      </c>
      <c r="D5">
        <f>TableBHA[[#This Row],[ARIMAPP]]*$I$2+TableBHA[[#This Row],[LSTMPP]]*$I$3</f>
        <v>26.350329032671748</v>
      </c>
      <c r="E5">
        <v>31</v>
      </c>
      <c r="F5">
        <f>ABS(TableBHA[[#This Row],[PP]]-TableBHA[[#This Row],[AP]])</f>
        <v>4.6496709673282517</v>
      </c>
      <c r="H5" t="s">
        <v>2</v>
      </c>
      <c r="I5">
        <f>SUM(ABS(TableBHA[[#This Row],[PP]]-TableBHA[[#This Row],[AP]]))</f>
        <v>4.6496709673282517</v>
      </c>
    </row>
    <row r="6" spans="1:9" x14ac:dyDescent="0.2">
      <c r="A6" t="s">
        <v>57</v>
      </c>
      <c r="B6">
        <v>17.3393630080446</v>
      </c>
      <c r="C6">
        <v>12.147394727681739</v>
      </c>
      <c r="D6">
        <f>TableBHA[[#This Row],[ARIMAPP]]*$I$2+TableBHA[[#This Row],[LSTMPP]]*$I$3</f>
        <v>11.516348576536949</v>
      </c>
      <c r="E6">
        <v>24</v>
      </c>
      <c r="F6">
        <f>ABS(TableBHA[[#This Row],[PP]]-TableBHA[[#This Row],[AP]])</f>
        <v>12.483651423463051</v>
      </c>
    </row>
    <row r="7" spans="1:9" x14ac:dyDescent="0.2">
      <c r="A7" t="s">
        <v>58</v>
      </c>
      <c r="B7">
        <v>21.538461538461529</v>
      </c>
      <c r="C7">
        <v>22.174033583381391</v>
      </c>
      <c r="D7">
        <f>TableBHA[[#This Row],[ARIMAPP]]*$I$2+TableBHA[[#This Row],[LSTMPP]]*$I$3</f>
        <v>16.531328281338538</v>
      </c>
      <c r="E7">
        <v>23</v>
      </c>
      <c r="F7">
        <f>ABS(TableBHA[[#This Row],[PP]]-TableBHA[[#This Row],[AP]])</f>
        <v>6.4686717186614615</v>
      </c>
      <c r="H7" t="s">
        <v>3</v>
      </c>
      <c r="I7">
        <f>AVERAGE(TableBHA[DIFF])/10</f>
        <v>0.60264364673128101</v>
      </c>
    </row>
    <row r="8" spans="1:9" x14ac:dyDescent="0.2">
      <c r="A8" t="s">
        <v>59</v>
      </c>
      <c r="B8">
        <v>42.901827001556143</v>
      </c>
      <c r="C8">
        <v>34.183712550233821</v>
      </c>
      <c r="D8">
        <f>TableBHA[[#This Row],[ARIMAPP]]*$I$2+TableBHA[[#This Row],[LSTMPP]]*$I$3</f>
        <v>29.791295810370453</v>
      </c>
      <c r="E8">
        <v>20</v>
      </c>
      <c r="F8">
        <f>ABS(TableBHA[[#This Row],[PP]]-TableBHA[[#This Row],[AP]])</f>
        <v>9.7912958103704533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60</v>
      </c>
      <c r="B2">
        <v>22.264150943396221</v>
      </c>
      <c r="C2">
        <v>23.999222781829761</v>
      </c>
      <c r="D2">
        <f>TableBUR[[#This Row],[ARIMAPP]]*$I$2+TableBUR[[#This Row],[LSTMPP]]*$I$3</f>
        <v>27.522580011815453</v>
      </c>
      <c r="E2">
        <v>20</v>
      </c>
      <c r="F2">
        <f>ABS(TableBUR[[#This Row],[PP]]-TableBUR[[#This Row],[AP]])</f>
        <v>7.5225800118154531</v>
      </c>
      <c r="H2" t="s">
        <v>0</v>
      </c>
      <c r="I2">
        <v>0</v>
      </c>
    </row>
    <row r="3" spans="1:9" x14ac:dyDescent="0.2">
      <c r="A3" t="s">
        <v>61</v>
      </c>
      <c r="B3">
        <v>23.660261486705721</v>
      </c>
      <c r="C3">
        <v>21.114996246473719</v>
      </c>
      <c r="D3">
        <f>TableBUR[[#This Row],[ARIMAPP]]*$I$2+TableBUR[[#This Row],[LSTMPP]]*$I$3</f>
        <v>24.214916413157624</v>
      </c>
      <c r="E3">
        <v>21</v>
      </c>
      <c r="F3">
        <f>ABS(TableBUR[[#This Row],[PP]]-TableBUR[[#This Row],[AP]])</f>
        <v>3.2149164131576242</v>
      </c>
      <c r="H3" t="s">
        <v>1</v>
      </c>
      <c r="I3">
        <v>1.1468113056</v>
      </c>
    </row>
    <row r="4" spans="1:9" x14ac:dyDescent="0.2">
      <c r="A4" t="s">
        <v>62</v>
      </c>
      <c r="B4">
        <v>15.625000000000011</v>
      </c>
      <c r="C4">
        <v>14.45255336896505</v>
      </c>
      <c r="D4">
        <f>TableBUR[[#This Row],[ARIMAPP]]*$I$2+TableBUR[[#This Row],[LSTMPP]]*$I$3</f>
        <v>16.57435159831649</v>
      </c>
      <c r="E4">
        <v>26</v>
      </c>
      <c r="F4">
        <f>ABS(TableBUR[[#This Row],[PP]]-TableBUR[[#This Row],[AP]])</f>
        <v>9.4256484016835103</v>
      </c>
    </row>
    <row r="5" spans="1:9" x14ac:dyDescent="0.2">
      <c r="A5" t="s">
        <v>63</v>
      </c>
      <c r="B5">
        <v>17.5</v>
      </c>
      <c r="C5">
        <v>18.758222761708701</v>
      </c>
      <c r="D5">
        <f>TableBUR[[#This Row],[ARIMAPP]]*$I$2+TableBUR[[#This Row],[LSTMPP]]*$I$3</f>
        <v>21.512141936090792</v>
      </c>
      <c r="E5">
        <v>45</v>
      </c>
      <c r="F5">
        <f>ABS(TableBUR[[#This Row],[PP]]-TableBUR[[#This Row],[AP]])</f>
        <v>23.487858063909208</v>
      </c>
      <c r="H5" t="s">
        <v>2</v>
      </c>
      <c r="I5">
        <f>SUM(ABS(TableBUR[[#This Row],[PP]]-TableBUR[[#This Row],[AP]]))</f>
        <v>23.487858063909208</v>
      </c>
    </row>
    <row r="6" spans="1:9" x14ac:dyDescent="0.2">
      <c r="A6" t="s">
        <v>64</v>
      </c>
      <c r="B6">
        <v>30.555555555555561</v>
      </c>
      <c r="C6">
        <v>31.028405278018859</v>
      </c>
      <c r="D6">
        <f>TableBUR[[#This Row],[ARIMAPP]]*$I$2+TableBUR[[#This Row],[LSTMPP]]*$I$3</f>
        <v>35.583725967570736</v>
      </c>
      <c r="E6">
        <v>25</v>
      </c>
      <c r="F6">
        <f>ABS(TableBUR[[#This Row],[PP]]-TableBUR[[#This Row],[AP]])</f>
        <v>10.583725967570736</v>
      </c>
    </row>
    <row r="7" spans="1:9" x14ac:dyDescent="0.2">
      <c r="H7" t="s">
        <v>3</v>
      </c>
      <c r="I7">
        <f>AVERAGE(TableBUR[DIFF])/10</f>
        <v>1.0846945771627305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65</v>
      </c>
      <c r="B2">
        <v>44.216759437027108</v>
      </c>
      <c r="C2">
        <v>54.012854732847813</v>
      </c>
      <c r="D2">
        <f>TableCHE[[#This Row],[ARIMAPP]]*$I$2+TableCHE[[#This Row],[LSTMPP]]*$I$3</f>
        <v>55.000802627044187</v>
      </c>
      <c r="E2">
        <v>21</v>
      </c>
      <c r="F2">
        <f>ABS(TableCHE[[#This Row],[PP]]-TableCHE[[#This Row],[AP]])</f>
        <v>34.000802627044187</v>
      </c>
      <c r="H2" t="s">
        <v>0</v>
      </c>
      <c r="I2">
        <v>1.243890401</v>
      </c>
    </row>
    <row r="3" spans="1:9" x14ac:dyDescent="0.2">
      <c r="A3" t="s">
        <v>66</v>
      </c>
      <c r="B3">
        <v>27.620016607529671</v>
      </c>
      <c r="C3">
        <v>25.892507076323209</v>
      </c>
      <c r="D3">
        <f>TableCHE[[#This Row],[ARIMAPP]]*$I$2+TableCHE[[#This Row],[LSTMPP]]*$I$3</f>
        <v>34.356273533566743</v>
      </c>
      <c r="E3">
        <v>41</v>
      </c>
      <c r="F3">
        <f>ABS(TableCHE[[#This Row],[PP]]-TableCHE[[#This Row],[AP]])</f>
        <v>6.6437264664332574</v>
      </c>
      <c r="H3" t="s">
        <v>1</v>
      </c>
      <c r="I3">
        <v>0</v>
      </c>
    </row>
    <row r="4" spans="1:9" x14ac:dyDescent="0.2">
      <c r="A4" t="s">
        <v>67</v>
      </c>
      <c r="B4">
        <v>77.155838194758871</v>
      </c>
      <c r="C4">
        <v>36.069691103245518</v>
      </c>
      <c r="D4">
        <f>TableCHE[[#This Row],[ARIMAPP]]*$I$2+TableCHE[[#This Row],[LSTMPP]]*$I$3</f>
        <v>95.973406511569735</v>
      </c>
      <c r="E4">
        <v>108</v>
      </c>
      <c r="F4">
        <f>ABS(TableCHE[[#This Row],[PP]]-TableCHE[[#This Row],[AP]])</f>
        <v>12.026593488430265</v>
      </c>
    </row>
    <row r="5" spans="1:9" x14ac:dyDescent="0.2">
      <c r="A5" t="s">
        <v>68</v>
      </c>
      <c r="B5">
        <v>26.767281429081962</v>
      </c>
      <c r="C5">
        <v>32.869845692945233</v>
      </c>
      <c r="D5">
        <f>TableCHE[[#This Row],[ARIMAPP]]*$I$2+TableCHE[[#This Row],[LSTMPP]]*$I$3</f>
        <v>33.295564430500612</v>
      </c>
      <c r="E5">
        <v>44</v>
      </c>
      <c r="F5">
        <f>ABS(TableCHE[[#This Row],[PP]]-TableCHE[[#This Row],[AP]])</f>
        <v>10.704435569499388</v>
      </c>
      <c r="H5" t="s">
        <v>2</v>
      </c>
      <c r="I5">
        <f>SUM(ABS(TableCHE[[#This Row],[PP]]-TableCHE[[#This Row],[AP]]))</f>
        <v>10.704435569499388</v>
      </c>
    </row>
    <row r="6" spans="1:9" x14ac:dyDescent="0.2">
      <c r="A6" t="s">
        <v>69</v>
      </c>
      <c r="B6">
        <v>28.275862068965509</v>
      </c>
      <c r="C6">
        <v>18.17068954856715</v>
      </c>
      <c r="D6">
        <f>TableCHE[[#This Row],[ARIMAPP]]*$I$2+TableCHE[[#This Row],[LSTMPP]]*$I$3</f>
        <v>35.172073407586197</v>
      </c>
      <c r="E6">
        <v>23</v>
      </c>
      <c r="F6">
        <f>ABS(TableCHE[[#This Row],[PP]]-TableCHE[[#This Row],[AP]])</f>
        <v>12.172073407586197</v>
      </c>
    </row>
    <row r="7" spans="1:9" x14ac:dyDescent="0.2">
      <c r="A7" t="s">
        <v>70</v>
      </c>
      <c r="B7">
        <v>25.625</v>
      </c>
      <c r="C7">
        <v>27.050099996528569</v>
      </c>
      <c r="D7">
        <f>TableCHE[[#This Row],[ARIMAPP]]*$I$2+TableCHE[[#This Row],[LSTMPP]]*$I$3</f>
        <v>31.874691525625</v>
      </c>
      <c r="E7">
        <v>27</v>
      </c>
      <c r="F7">
        <f>ABS(TableCHE[[#This Row],[PP]]-TableCHE[[#This Row],[AP]])</f>
        <v>4.8746915256249999</v>
      </c>
      <c r="H7" t="s">
        <v>3</v>
      </c>
      <c r="I7">
        <f>AVERAGE(TableCHE[DIFF])/10</f>
        <v>1.2622092277676216</v>
      </c>
    </row>
    <row r="8" spans="1:9" x14ac:dyDescent="0.2">
      <c r="A8" t="s">
        <v>71</v>
      </c>
      <c r="B8">
        <v>25.588235294117641</v>
      </c>
      <c r="C8">
        <v>23.121900224962491</v>
      </c>
      <c r="D8">
        <f>TableCHE[[#This Row],[ARIMAPP]]*$I$2+TableCHE[[#This Row],[LSTMPP]]*$I$3</f>
        <v>31.828960260882347</v>
      </c>
      <c r="E8">
        <v>30</v>
      </c>
      <c r="F8">
        <f>ABS(TableCHE[[#This Row],[PP]]-TableCHE[[#This Row],[AP]])</f>
        <v>1.8289602608823472</v>
      </c>
    </row>
    <row r="9" spans="1:9" x14ac:dyDescent="0.2">
      <c r="A9" t="s">
        <v>72</v>
      </c>
      <c r="B9">
        <v>33.181818181818173</v>
      </c>
      <c r="C9">
        <v>38.30614976510342</v>
      </c>
      <c r="D9">
        <f>TableCHE[[#This Row],[ARIMAPP]]*$I$2+TableCHE[[#This Row],[LSTMPP]]*$I$3</f>
        <v>41.274545124090899</v>
      </c>
      <c r="E9">
        <v>60</v>
      </c>
      <c r="F9">
        <f>ABS(TableCHE[[#This Row],[PP]]-TableCHE[[#This Row],[AP]])</f>
        <v>18.725454875909101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73</v>
      </c>
      <c r="B2">
        <v>26.666666666666639</v>
      </c>
      <c r="C2">
        <v>22.672479628693178</v>
      </c>
      <c r="D2">
        <f>TableCRY[[#This Row],[ARIMAPP]]*$I$2+TableCRY[[#This Row],[LSTMPP]]*$I$3</f>
        <v>35.217322855999967</v>
      </c>
      <c r="E2">
        <v>20</v>
      </c>
      <c r="F2">
        <f>ABS(TableCRY[[#This Row],[PP]]-TableCRY[[#This Row],[AP]])</f>
        <v>15.217322855999967</v>
      </c>
      <c r="H2" t="s">
        <v>0</v>
      </c>
      <c r="I2">
        <v>1.3206496071</v>
      </c>
    </row>
    <row r="3" spans="1:9" x14ac:dyDescent="0.2">
      <c r="A3" t="s">
        <v>74</v>
      </c>
      <c r="B3">
        <v>18.343249383046381</v>
      </c>
      <c r="C3">
        <v>19.076318301531511</v>
      </c>
      <c r="D3">
        <f>TableCRY[[#This Row],[ARIMAPP]]*$I$2+TableCRY[[#This Row],[LSTMPP]]*$I$3</f>
        <v>24.225005090657518</v>
      </c>
      <c r="E3">
        <v>23</v>
      </c>
      <c r="F3">
        <f>ABS(TableCRY[[#This Row],[PP]]-TableCRY[[#This Row],[AP]])</f>
        <v>1.2250050906575183</v>
      </c>
      <c r="H3" t="s">
        <v>1</v>
      </c>
      <c r="I3">
        <v>0</v>
      </c>
    </row>
    <row r="4" spans="1:9" x14ac:dyDescent="0.2">
      <c r="A4" t="s">
        <v>75</v>
      </c>
      <c r="B4">
        <v>27.79661016949149</v>
      </c>
      <c r="C4">
        <v>26.502159426925409</v>
      </c>
      <c r="D4">
        <f>TableCRY[[#This Row],[ARIMAPP]]*$I$2+TableCRY[[#This Row],[LSTMPP]]*$I$3</f>
        <v>36.709582299050801</v>
      </c>
      <c r="E4">
        <v>35</v>
      </c>
      <c r="F4">
        <f>ABS(TableCRY[[#This Row],[PP]]-TableCRY[[#This Row],[AP]])</f>
        <v>1.7095822990508012</v>
      </c>
    </row>
    <row r="5" spans="1:9" x14ac:dyDescent="0.2">
      <c r="A5" t="s">
        <v>76</v>
      </c>
      <c r="B5">
        <v>28.29921502644498</v>
      </c>
      <c r="C5">
        <v>27.846133739450568</v>
      </c>
      <c r="D5">
        <f>TableCRY[[#This Row],[ARIMAPP]]*$I$2+TableCRY[[#This Row],[LSTMPP]]*$I$3</f>
        <v>37.373347205912978</v>
      </c>
      <c r="E5">
        <v>42</v>
      </c>
      <c r="F5">
        <f>ABS(TableCRY[[#This Row],[PP]]-TableCRY[[#This Row],[AP]])</f>
        <v>4.6266527940870219</v>
      </c>
      <c r="H5" t="s">
        <v>2</v>
      </c>
      <c r="I5">
        <f>SUM(ABS(TableCRY[[#This Row],[PP]]-TableCRY[[#This Row],[AP]]))</f>
        <v>4.6266527940870219</v>
      </c>
    </row>
    <row r="6" spans="1:9" x14ac:dyDescent="0.2">
      <c r="A6" t="s">
        <v>77</v>
      </c>
      <c r="B6">
        <v>36.31578947368422</v>
      </c>
      <c r="C6">
        <v>32.473077289438642</v>
      </c>
      <c r="D6">
        <f>TableCRY[[#This Row],[ARIMAPP]]*$I$2+TableCRY[[#This Row],[LSTMPP]]*$I$3</f>
        <v>47.96043309994738</v>
      </c>
      <c r="E6">
        <v>56</v>
      </c>
      <c r="F6">
        <f>ABS(TableCRY[[#This Row],[PP]]-TableCRY[[#This Row],[AP]])</f>
        <v>8.0395669000526198</v>
      </c>
    </row>
    <row r="7" spans="1:9" x14ac:dyDescent="0.2">
      <c r="A7" t="s">
        <v>78</v>
      </c>
      <c r="B7">
        <v>30.2596999942457</v>
      </c>
      <c r="C7">
        <v>31.216136728587291</v>
      </c>
      <c r="D7">
        <f>TableCRY[[#This Row],[ARIMAPP]]*$I$2+TableCRY[[#This Row],[LSTMPP]]*$I$3</f>
        <v>39.962460908364456</v>
      </c>
      <c r="E7">
        <v>30</v>
      </c>
      <c r="F7">
        <f>ABS(TableCRY[[#This Row],[PP]]-TableCRY[[#This Row],[AP]])</f>
        <v>9.9624609083644557</v>
      </c>
      <c r="H7" t="s">
        <v>3</v>
      </c>
      <c r="I7">
        <f>AVERAGE(TableCRY[DIFF])/10</f>
        <v>0.97828387543511153</v>
      </c>
    </row>
    <row r="8" spans="1:9" x14ac:dyDescent="0.2">
      <c r="A8" t="s">
        <v>79</v>
      </c>
      <c r="B8">
        <v>23.589743589743581</v>
      </c>
      <c r="C8">
        <v>21.833923540221392</v>
      </c>
      <c r="D8">
        <f>TableCRY[[#This Row],[ARIMAPP]]*$I$2+TableCRY[[#This Row],[LSTMPP]]*$I$3</f>
        <v>31.153785603384602</v>
      </c>
      <c r="E8">
        <v>58</v>
      </c>
      <c r="F8">
        <f>ABS(TableCRY[[#This Row],[PP]]-TableCRY[[#This Row],[AP]])</f>
        <v>26.846214396615398</v>
      </c>
    </row>
    <row r="9" spans="1:9" x14ac:dyDescent="0.2">
      <c r="A9" t="s">
        <v>80</v>
      </c>
      <c r="B9">
        <v>26.226415094339622</v>
      </c>
      <c r="C9">
        <v>28.351504834786059</v>
      </c>
      <c r="D9">
        <f>TableCRY[[#This Row],[ARIMAPP]]*$I$2+TableCRY[[#This Row],[LSTMPP]]*$I$3</f>
        <v>34.635904789981133</v>
      </c>
      <c r="E9">
        <v>24</v>
      </c>
      <c r="F9">
        <f>ABS(TableCRY[[#This Row],[PP]]-TableCRY[[#This Row],[AP]])</f>
        <v>10.635904789981133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81</v>
      </c>
      <c r="B2">
        <v>31.026682261189048</v>
      </c>
      <c r="C2">
        <v>30.3986135335191</v>
      </c>
      <c r="D2">
        <f>TableEVE[[#This Row],[ARIMAPP]]*$I$2+TableEVE[[#This Row],[LSTMPP]]*$I$3</f>
        <v>34.838714643908752</v>
      </c>
      <c r="E2">
        <v>26</v>
      </c>
      <c r="F2">
        <f>ABS(TableEVE[[#This Row],[PP]]-TableEVE[[#This Row],[AP]])</f>
        <v>8.8387146439087516</v>
      </c>
      <c r="H2" t="s">
        <v>0</v>
      </c>
      <c r="I2">
        <v>1.1228630361</v>
      </c>
    </row>
    <row r="3" spans="1:9" x14ac:dyDescent="0.2">
      <c r="A3" t="s">
        <v>82</v>
      </c>
      <c r="B3">
        <v>22.78569353213021</v>
      </c>
      <c r="C3">
        <v>24.698518222205092</v>
      </c>
      <c r="D3">
        <f>TableEVE[[#This Row],[ARIMAPP]]*$I$2+TableEVE[[#This Row],[LSTMPP]]*$I$3</f>
        <v>25.585213019131864</v>
      </c>
      <c r="E3">
        <v>26</v>
      </c>
      <c r="F3">
        <f>ABS(TableEVE[[#This Row],[PP]]-TableEVE[[#This Row],[AP]])</f>
        <v>0.41478698086813637</v>
      </c>
      <c r="H3" t="s">
        <v>1</v>
      </c>
      <c r="I3">
        <v>0</v>
      </c>
    </row>
    <row r="4" spans="1:9" x14ac:dyDescent="0.2">
      <c r="A4" t="s">
        <v>83</v>
      </c>
      <c r="B4">
        <v>30.854765818719731</v>
      </c>
      <c r="C4">
        <v>30.067343634525649</v>
      </c>
      <c r="D4">
        <f>TableEVE[[#This Row],[ARIMAPP]]*$I$2+TableEVE[[#This Row],[LSTMPP]]*$I$3</f>
        <v>34.645676025362143</v>
      </c>
      <c r="E4">
        <v>29</v>
      </c>
      <c r="F4">
        <f>ABS(TableEVE[[#This Row],[PP]]-TableEVE[[#This Row],[AP]])</f>
        <v>5.6456760253621425</v>
      </c>
    </row>
    <row r="5" spans="1:9" x14ac:dyDescent="0.2">
      <c r="A5" t="s">
        <v>84</v>
      </c>
      <c r="B5">
        <v>35.555555555555557</v>
      </c>
      <c r="C5">
        <v>32.905796813007363</v>
      </c>
      <c r="D5">
        <f>TableEVE[[#This Row],[ARIMAPP]]*$I$2+TableEVE[[#This Row],[LSTMPP]]*$I$3</f>
        <v>39.92401906133334</v>
      </c>
      <c r="E5">
        <v>47</v>
      </c>
      <c r="F5">
        <f>ABS(TableEVE[[#This Row],[PP]]-TableEVE[[#This Row],[AP]])</f>
        <v>7.0759809386666603</v>
      </c>
      <c r="H5" t="s">
        <v>2</v>
      </c>
      <c r="I5">
        <f>SUM(ABS(TableEVE[[#This Row],[PP]]-TableEVE[[#This Row],[AP]]))</f>
        <v>7.0759809386666603</v>
      </c>
    </row>
    <row r="6" spans="1:9" x14ac:dyDescent="0.2">
      <c r="A6" t="s">
        <v>85</v>
      </c>
      <c r="B6">
        <v>23.727272727272709</v>
      </c>
      <c r="C6">
        <v>25.440677020313569</v>
      </c>
      <c r="D6">
        <f>TableEVE[[#This Row],[ARIMAPP]]*$I$2+TableEVE[[#This Row],[LSTMPP]]*$I$3</f>
        <v>26.642477492918161</v>
      </c>
      <c r="E6">
        <v>28</v>
      </c>
      <c r="F6">
        <f>ABS(TableEVE[[#This Row],[PP]]-TableEVE[[#This Row],[AP]])</f>
        <v>1.3575225070818391</v>
      </c>
    </row>
    <row r="7" spans="1:9" x14ac:dyDescent="0.2">
      <c r="A7" t="s">
        <v>86</v>
      </c>
      <c r="B7">
        <v>33.749276131547212</v>
      </c>
      <c r="C7">
        <v>34.872015728841149</v>
      </c>
      <c r="D7">
        <f>TableEVE[[#This Row],[ARIMAPP]]*$I$2+TableEVE[[#This Row],[LSTMPP]]*$I$3</f>
        <v>37.895814663246369</v>
      </c>
      <c r="E7">
        <v>41</v>
      </c>
      <c r="F7">
        <f>ABS(TableEVE[[#This Row],[PP]]-TableEVE[[#This Row],[AP]])</f>
        <v>3.1041853367536305</v>
      </c>
      <c r="H7" t="s">
        <v>3</v>
      </c>
      <c r="I7">
        <f>AVERAGE(TableEVE[DIFF])/10</f>
        <v>0.49212662787358064</v>
      </c>
    </row>
    <row r="8" spans="1:9" x14ac:dyDescent="0.2">
      <c r="A8" t="s">
        <v>87</v>
      </c>
      <c r="B8">
        <v>31.703296703296662</v>
      </c>
      <c r="C8">
        <v>29.052556747592369</v>
      </c>
      <c r="D8">
        <f>TableEVE[[#This Row],[ARIMAPP]]*$I$2+TableEVE[[#This Row],[LSTMPP]]*$I$3</f>
        <v>35.598459990642809</v>
      </c>
      <c r="E8">
        <v>29</v>
      </c>
      <c r="F8">
        <f>ABS(TableEVE[[#This Row],[PP]]-TableEVE[[#This Row],[AP]])</f>
        <v>6.5984599906428087</v>
      </c>
    </row>
    <row r="9" spans="1:9" x14ac:dyDescent="0.2">
      <c r="A9" t="s">
        <v>88</v>
      </c>
      <c r="B9">
        <v>20.697674418604649</v>
      </c>
      <c r="C9">
        <v>21.613492065799321</v>
      </c>
      <c r="D9">
        <f>TableEVE[[#This Row],[ARIMAPP]]*$I$2+TableEVE[[#This Row],[LSTMPP]]*$I$3</f>
        <v>23.24065353788372</v>
      </c>
      <c r="E9">
        <v>22</v>
      </c>
      <c r="F9">
        <f>ABS(TableEVE[[#This Row],[PP]]-TableEVE[[#This Row],[AP]])</f>
        <v>1.2406535378837198</v>
      </c>
    </row>
    <row r="10" spans="1:9" x14ac:dyDescent="0.2">
      <c r="A10" t="s">
        <v>89</v>
      </c>
      <c r="B10">
        <v>28.48484848484847</v>
      </c>
      <c r="C10">
        <v>24.226881454686499</v>
      </c>
      <c r="D10">
        <f>TableEVE[[#This Row],[ARIMAPP]]*$I$2+TableEVE[[#This Row],[LSTMPP]]*$I$3</f>
        <v>31.98458345254544</v>
      </c>
      <c r="E10">
        <v>42</v>
      </c>
      <c r="F10">
        <f>ABS(TableEVE[[#This Row],[PP]]-TableEVE[[#This Row],[AP]])</f>
        <v>10.01541654745456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2024-05-18T14:57:59Z</dcterms:created>
  <dcterms:modified xsi:type="dcterms:W3CDTF">2024-05-18T15:02:45Z</dcterms:modified>
</cp:coreProperties>
</file>