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Predictions/2023-24/"/>
    </mc:Choice>
  </mc:AlternateContent>
  <xr:revisionPtr revIDLastSave="0" documentId="13_ncr:1_{63CA421A-67C6-744F-9778-061CB6D73FC7}" xr6:coauthVersionLast="47" xr6:coauthVersionMax="47" xr10:uidLastSave="{00000000-0000-0000-0000-000000000000}"/>
  <bookViews>
    <workbookView xWindow="240" yWindow="760" windowWidth="25900" windowHeight="19360" xr2:uid="{00000000-000D-0000-FFFF-FFFF00000000}"/>
  </bookViews>
  <sheets>
    <sheet name="Sheet1" sheetId="1" r:id="rId1"/>
  </sheets>
  <definedNames>
    <definedName name="solver_adj" localSheetId="0" hidden="1">Sheet1!$AJ$2:$AJ$142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Sheet1!$AJ$2:$AJ$142</definedName>
    <definedName name="solver_lhs2" localSheetId="0" hidden="1">Sheet1!$AM$11:$AM$30</definedName>
    <definedName name="solver_lhs3" localSheetId="0" hidden="1">Sheet1!$AM$4</definedName>
    <definedName name="solver_lhs4" localSheetId="0" hidden="1">Sheet1!$AM$6:$AM$9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Sheet1!$AM$2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Sheet1!$AN$11:$AN$30</definedName>
    <definedName name="solver_rhs3" localSheetId="0" hidden="1">Sheet1!$AN$4</definedName>
    <definedName name="solver_rhs4" localSheetId="0" hidden="1">Sheet1!$AN$6:$AN$9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42" i="1" l="1"/>
  <c r="AH141" i="1"/>
  <c r="AH138" i="1"/>
  <c r="AH139" i="1"/>
  <c r="AH118" i="1"/>
  <c r="AH137" i="1"/>
  <c r="AH136" i="1"/>
  <c r="AH135" i="1"/>
  <c r="AH134" i="1"/>
  <c r="AH133" i="1"/>
  <c r="AH132" i="1"/>
  <c r="AH131" i="1"/>
  <c r="AH130" i="1"/>
  <c r="AH129" i="1"/>
  <c r="AH128" i="1"/>
  <c r="AH122" i="1"/>
  <c r="AH126" i="1"/>
  <c r="AH125" i="1"/>
  <c r="AH124" i="1"/>
  <c r="AH123" i="1"/>
  <c r="AH43" i="1"/>
  <c r="AH121" i="1"/>
  <c r="AH120" i="1"/>
  <c r="AH119" i="1"/>
  <c r="AH20" i="1"/>
  <c r="AH117" i="1"/>
  <c r="AH45" i="1"/>
  <c r="AH104" i="1"/>
  <c r="AH106" i="1"/>
  <c r="AH113" i="1"/>
  <c r="AH112" i="1"/>
  <c r="AH111" i="1"/>
  <c r="AH110" i="1"/>
  <c r="AH109" i="1"/>
  <c r="AH108" i="1"/>
  <c r="AH107" i="1"/>
  <c r="AH103" i="1"/>
  <c r="AH105" i="1"/>
  <c r="AH11" i="1"/>
  <c r="AH7" i="1"/>
  <c r="AH102" i="1"/>
  <c r="AH101" i="1"/>
  <c r="AH100" i="1"/>
  <c r="AH99" i="1"/>
  <c r="AH98" i="1"/>
  <c r="AH97" i="1"/>
  <c r="AH96" i="1"/>
  <c r="AH95" i="1"/>
  <c r="AH94" i="1"/>
  <c r="AH116" i="1"/>
  <c r="AH115" i="1"/>
  <c r="AH26" i="1"/>
  <c r="AH90" i="1"/>
  <c r="AH89" i="1"/>
  <c r="AH88" i="1"/>
  <c r="AH87" i="1"/>
  <c r="AH86" i="1"/>
  <c r="AH85" i="1"/>
  <c r="AH84" i="1"/>
  <c r="AH83" i="1"/>
  <c r="AH82" i="1"/>
  <c r="AH93" i="1"/>
  <c r="AH80" i="1"/>
  <c r="AH79" i="1"/>
  <c r="AH78" i="1"/>
  <c r="AH77" i="1"/>
  <c r="AH76" i="1"/>
  <c r="AH75" i="1"/>
  <c r="AH74" i="1"/>
  <c r="AH73" i="1"/>
  <c r="AH72" i="1"/>
  <c r="AH71" i="1"/>
  <c r="AH70" i="1"/>
  <c r="AH127" i="1"/>
  <c r="AH68" i="1"/>
  <c r="AH67" i="1"/>
  <c r="AH9" i="1"/>
  <c r="AH65" i="1"/>
  <c r="AH64" i="1"/>
  <c r="AH63" i="1"/>
  <c r="AH62" i="1"/>
  <c r="AH61" i="1"/>
  <c r="AH6" i="1"/>
  <c r="AH59" i="1"/>
  <c r="AH58" i="1"/>
  <c r="AH57" i="1"/>
  <c r="AH56" i="1"/>
  <c r="AH55" i="1"/>
  <c r="AH54" i="1"/>
  <c r="AH66" i="1"/>
  <c r="AH52" i="1"/>
  <c r="AH51" i="1"/>
  <c r="AH50" i="1"/>
  <c r="AH49" i="1"/>
  <c r="AH48" i="1"/>
  <c r="AH47" i="1"/>
  <c r="AH46" i="1"/>
  <c r="AH140" i="1"/>
  <c r="AH44" i="1"/>
  <c r="AH69" i="1"/>
  <c r="AH42" i="1"/>
  <c r="AH41" i="1"/>
  <c r="AH40" i="1"/>
  <c r="AH39" i="1"/>
  <c r="AH38" i="1"/>
  <c r="AM30" i="1"/>
  <c r="AH37" i="1"/>
  <c r="AM29" i="1"/>
  <c r="AH36" i="1"/>
  <c r="AM28" i="1"/>
  <c r="AH35" i="1"/>
  <c r="AM27" i="1"/>
  <c r="AH34" i="1"/>
  <c r="AM26" i="1"/>
  <c r="AH33" i="1"/>
  <c r="AM25" i="1"/>
  <c r="AH32" i="1"/>
  <c r="AM24" i="1"/>
  <c r="AH31" i="1"/>
  <c r="AM23" i="1"/>
  <c r="AH30" i="1"/>
  <c r="AM22" i="1"/>
  <c r="AH29" i="1"/>
  <c r="AM21" i="1"/>
  <c r="AH28" i="1"/>
  <c r="AM20" i="1"/>
  <c r="AH27" i="1"/>
  <c r="AM19" i="1"/>
  <c r="AH53" i="1"/>
  <c r="AM18" i="1"/>
  <c r="AH25" i="1"/>
  <c r="AM17" i="1"/>
  <c r="AH24" i="1"/>
  <c r="AM16" i="1"/>
  <c r="AH23" i="1"/>
  <c r="AM15" i="1"/>
  <c r="AH22" i="1"/>
  <c r="AM14" i="1"/>
  <c r="AH21" i="1"/>
  <c r="AM13" i="1"/>
  <c r="AH91" i="1"/>
  <c r="AM12" i="1"/>
  <c r="AH19" i="1"/>
  <c r="AM11" i="1"/>
  <c r="AH18" i="1"/>
  <c r="AH17" i="1"/>
  <c r="AH16" i="1"/>
  <c r="AH15" i="1"/>
  <c r="AH14" i="1"/>
  <c r="AH13" i="1"/>
  <c r="AH12" i="1"/>
  <c r="AH60" i="1"/>
  <c r="AH10" i="1"/>
  <c r="AM9" i="1"/>
  <c r="AH81" i="1"/>
  <c r="AM8" i="1"/>
  <c r="AH8" i="1"/>
  <c r="AM7" i="1"/>
  <c r="AH114" i="1"/>
  <c r="AM6" i="1"/>
  <c r="AH92" i="1"/>
  <c r="AH5" i="1"/>
  <c r="AM4" i="1"/>
  <c r="AH4" i="1"/>
  <c r="AH3" i="1"/>
  <c r="AH2" i="1"/>
  <c r="AM2" i="1" l="1"/>
</calcChain>
</file>

<file path=xl/sharedStrings.xml><?xml version="1.0" encoding="utf-8"?>
<sst xmlns="http://schemas.openxmlformats.org/spreadsheetml/2006/main" count="768" uniqueCount="339">
  <si>
    <t>Total Points</t>
  </si>
  <si>
    <t>MAX</t>
  </si>
  <si>
    <t>Total Cost</t>
  </si>
  <si>
    <t>GKP</t>
  </si>
  <si>
    <t>DEF</t>
  </si>
  <si>
    <t>MID</t>
  </si>
  <si>
    <t>FWD</t>
  </si>
  <si>
    <t>Cost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</si>
  <si>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</si>
  <si>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</si>
  <si>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</si>
  <si>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</si>
  <si>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</si>
  <si>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</si>
  <si>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</si>
  <si>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</si>
  <si>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</si>
  <si>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</si>
  <si>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</si>
  <si>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</si>
  <si>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</si>
  <si>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</si>
  <si>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</si>
  <si>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</si>
  <si>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</si>
  <si>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</si>
  <si>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</si>
  <si>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</si>
  <si>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</si>
  <si>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</si>
  <si>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</si>
  <si>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</si>
  <si>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</si>
  <si>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</si>
  <si>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</si>
  <si>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</si>
  <si>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</si>
  <si>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Health</t>
  </si>
  <si>
    <t>Selected</t>
  </si>
  <si>
    <t>Gabriel</t>
  </si>
  <si>
    <t>dos Santos Magalhães</t>
  </si>
  <si>
    <t>Kai</t>
  </si>
  <si>
    <t>Havertz</t>
  </si>
  <si>
    <t>Fernando de Jesus</t>
  </si>
  <si>
    <t>G.Jesus</t>
  </si>
  <si>
    <t>Martin</t>
  </si>
  <si>
    <t>Ødegaard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</si>
  <si>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</si>
  <si>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</si>
  <si>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</si>
  <si>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</si>
  <si>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</si>
  <si>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</si>
  <si>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</si>
  <si>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</si>
  <si>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</si>
  <si>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</si>
  <si>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David</t>
  </si>
  <si>
    <t>Raya Martin</t>
  </si>
  <si>
    <t>Raya</t>
  </si>
  <si>
    <t>Declan</t>
  </si>
  <si>
    <t>Rice</t>
  </si>
  <si>
    <t>Leon</t>
  </si>
  <si>
    <t>Bailey</t>
  </si>
  <si>
    <t>Diego Carlos</t>
  </si>
  <si>
    <t>Santos Silva</t>
  </si>
  <si>
    <t>Lucas</t>
  </si>
  <si>
    <t>Digne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</si>
  <si>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</si>
  <si>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</si>
  <si>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</si>
  <si>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</si>
  <si>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</si>
  <si>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</si>
  <si>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</si>
  <si>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</si>
  <si>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Youri</t>
  </si>
  <si>
    <t>Tielemans</t>
  </si>
  <si>
    <t>Ollie</t>
  </si>
  <si>
    <t>Watkins</t>
  </si>
  <si>
    <t>Pau</t>
  </si>
  <si>
    <t>Torres</t>
  </si>
  <si>
    <t>Moussa</t>
  </si>
  <si>
    <t>Diaby</t>
  </si>
  <si>
    <t>Ryan</t>
  </si>
  <si>
    <t>Christie</t>
  </si>
  <si>
    <t>Lewis</t>
  </si>
  <si>
    <t>Cook</t>
  </si>
  <si>
    <t>L.Cook</t>
  </si>
  <si>
    <t>Justin</t>
  </si>
  <si>
    <t>Kluivert</t>
  </si>
  <si>
    <t>Norberto</t>
  </si>
  <si>
    <t>Murara Neto</t>
  </si>
  <si>
    <t>Neto</t>
  </si>
  <si>
    <t>Antoine</t>
  </si>
  <si>
    <t>Semenyo</t>
  </si>
  <si>
    <t>Marcos</t>
  </si>
  <si>
    <t>Senesi</t>
  </si>
  <si>
    <t>Adam</t>
  </si>
  <si>
    <t>Smith</t>
  </si>
  <si>
    <t>Dominic</t>
  </si>
  <si>
    <t>Solanke</t>
  </si>
  <si>
    <t>Marcus</t>
  </si>
  <si>
    <t>Tavernier</t>
  </si>
  <si>
    <t>Illia</t>
  </si>
  <si>
    <t>Zabarnyi</t>
  </si>
  <si>
    <t>Milos</t>
  </si>
  <si>
    <t>Kerkez</t>
  </si>
  <si>
    <t>Kristoffer</t>
  </si>
  <si>
    <t>Ajer</t>
  </si>
  <si>
    <t>Nathan</t>
  </si>
  <si>
    <t>Collins</t>
  </si>
  <si>
    <t>Mark</t>
  </si>
  <si>
    <t>Flekken</t>
  </si>
  <si>
    <t>Vitaly</t>
  </si>
  <si>
    <t>Janelt</t>
  </si>
  <si>
    <t>Mathias</t>
  </si>
  <si>
    <t>Jensen</t>
  </si>
  <si>
    <t>Keane</t>
  </si>
  <si>
    <t>Lewis-Potter</t>
  </si>
  <si>
    <t>Bryan</t>
  </si>
  <si>
    <t>Mbeumo</t>
  </si>
  <si>
    <t>Christian</t>
  </si>
  <si>
    <t>Nørgaard</t>
  </si>
  <si>
    <t>Ethan</t>
  </si>
  <si>
    <t>Pinnock</t>
  </si>
  <si>
    <t>Yoane</t>
  </si>
  <si>
    <t>Wissa</t>
  </si>
  <si>
    <t>Dunk</t>
  </si>
  <si>
    <t>Pascal</t>
  </si>
  <si>
    <t>Groß</t>
  </si>
  <si>
    <t>Gross</t>
  </si>
  <si>
    <t>João Pedro</t>
  </si>
  <si>
    <t>Junqueira de Jesus</t>
  </si>
  <si>
    <t>Danny</t>
  </si>
  <si>
    <t>Welbeck</t>
  </si>
  <si>
    <t>Josh</t>
  </si>
  <si>
    <t>Brownhill</t>
  </si>
  <si>
    <t>Dara</t>
  </si>
  <si>
    <t>O'Shea</t>
  </si>
  <si>
    <t>Sander</t>
  </si>
  <si>
    <t>Berge</t>
  </si>
  <si>
    <t>Zeki</t>
  </si>
  <si>
    <t>Amdouni</t>
  </si>
  <si>
    <t>Jacob</t>
  </si>
  <si>
    <t>Bruun Larsen</t>
  </si>
  <si>
    <t>Wilson</t>
  </si>
  <si>
    <t>Odobert</t>
  </si>
  <si>
    <t>Levi</t>
  </si>
  <si>
    <t>Colwill</t>
  </si>
  <si>
    <t>Enzo</t>
  </si>
  <si>
    <t>Fernández</t>
  </si>
  <si>
    <t>Conor</t>
  </si>
  <si>
    <t>Gallagher</t>
  </si>
  <si>
    <t>Mykhailo</t>
  </si>
  <si>
    <t>Mudryk</t>
  </si>
  <si>
    <t>Nicolas</t>
  </si>
  <si>
    <t>Jackson</t>
  </si>
  <si>
    <t>N.Jackson</t>
  </si>
  <si>
    <t>Thiago</t>
  </si>
  <si>
    <t>Emiliano da Silva</t>
  </si>
  <si>
    <t>T.Silva</t>
  </si>
  <si>
    <t>Cole</t>
  </si>
  <si>
    <t>Palmer</t>
  </si>
  <si>
    <t>Joachim</t>
  </si>
  <si>
    <t>Andersen</t>
  </si>
  <si>
    <t>Jordan</t>
  </si>
  <si>
    <t>Ayew</t>
  </si>
  <si>
    <t>J.Ayew</t>
  </si>
  <si>
    <t>Eberechi</t>
  </si>
  <si>
    <t>Eze</t>
  </si>
  <si>
    <t>Will</t>
  </si>
  <si>
    <t>Hughes</t>
  </si>
  <si>
    <t>Jefferson</t>
  </si>
  <si>
    <t>Lerma Solís</t>
  </si>
  <si>
    <t>Lerma</t>
  </si>
  <si>
    <t>Jean-Philippe</t>
  </si>
  <si>
    <t>Mateta</t>
  </si>
  <si>
    <t>Tyrick</t>
  </si>
  <si>
    <t>Mitchell</t>
  </si>
  <si>
    <t>Jeffrey</t>
  </si>
  <si>
    <t>Schlupp</t>
  </si>
  <si>
    <t>Jarrad</t>
  </si>
  <si>
    <t>Branthwaite</t>
  </si>
  <si>
    <t>Calvert-Lewin</t>
  </si>
  <si>
    <t>Abdoulaye</t>
  </si>
  <si>
    <t>Doucouré</t>
  </si>
  <si>
    <t>A.Doucoure</t>
  </si>
  <si>
    <t>Idrissa</t>
  </si>
  <si>
    <t>Gueye</t>
  </si>
  <si>
    <t>Gana</t>
  </si>
  <si>
    <t>Dwight</t>
  </si>
  <si>
    <t>McNeil</t>
  </si>
  <si>
    <t>Vitalii</t>
  </si>
  <si>
    <t>Mykolenko</t>
  </si>
  <si>
    <t>Pickford</t>
  </si>
  <si>
    <t>James</t>
  </si>
  <si>
    <t>Tarkowski</t>
  </si>
  <si>
    <t>Ashley</t>
  </si>
  <si>
    <t>Young</t>
  </si>
  <si>
    <t>Jack</t>
  </si>
  <si>
    <t>Harrison</t>
  </si>
  <si>
    <t>Alex</t>
  </si>
  <si>
    <t>Iwobi</t>
  </si>
  <si>
    <t>Andreas</t>
  </si>
  <si>
    <t>Hoelgebaum Pereira</t>
  </si>
  <si>
    <t>Bernd</t>
  </si>
  <si>
    <t>Leno</t>
  </si>
  <si>
    <t>João</t>
  </si>
  <si>
    <t>Palhinha Gonçalves</t>
  </si>
  <si>
    <t>J.Palhinha</t>
  </si>
  <si>
    <t>Antonee</t>
  </si>
  <si>
    <t>Robinson</t>
  </si>
  <si>
    <t>Willian</t>
  </si>
  <si>
    <t>Borges da Silva</t>
  </si>
  <si>
    <t>Calvin</t>
  </si>
  <si>
    <t>Bassey</t>
  </si>
  <si>
    <t>Timothy</t>
  </si>
  <si>
    <t>Castagne</t>
  </si>
  <si>
    <t>Alisson</t>
  </si>
  <si>
    <t>Ramses Becker</t>
  </si>
  <si>
    <t>A.Becker</t>
  </si>
  <si>
    <t>Harvey</t>
  </si>
  <si>
    <t>Elliott</t>
  </si>
  <si>
    <t>Cody</t>
  </si>
  <si>
    <t>Gakpo</t>
  </si>
  <si>
    <t>Luis</t>
  </si>
  <si>
    <t>Díaz</t>
  </si>
  <si>
    <t>Luis Díaz</t>
  </si>
  <si>
    <t>Mohamed</t>
  </si>
  <si>
    <t>Salah</t>
  </si>
  <si>
    <t>Virgil</t>
  </si>
  <si>
    <t>van Dijk</t>
  </si>
  <si>
    <t>Carlton</t>
  </si>
  <si>
    <t>Morris</t>
  </si>
  <si>
    <t>Chiedozie</t>
  </si>
  <si>
    <t>Ogbene</t>
  </si>
  <si>
    <t>Thomas</t>
  </si>
  <si>
    <t>Kaminski</t>
  </si>
  <si>
    <t>Ross</t>
  </si>
  <si>
    <t>Barkley</t>
  </si>
  <si>
    <t>Manuel</t>
  </si>
  <si>
    <t>Akanji</t>
  </si>
  <si>
    <t>Aké</t>
  </si>
  <si>
    <t>Julián</t>
  </si>
  <si>
    <t>Álvarez</t>
  </si>
  <si>
    <t>J.Alvarez</t>
  </si>
  <si>
    <t>Bernardo</t>
  </si>
  <si>
    <t>Veiga de Carvalho e Silva</t>
  </si>
  <si>
    <t>Rúben</t>
  </si>
  <si>
    <t>Gato Alves Dias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</si>
  <si>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</si>
  <si>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</si>
  <si>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</si>
  <si>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</si>
  <si>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</si>
  <si>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</si>
  <si>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</si>
  <si>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</si>
  <si>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</si>
  <si>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</si>
  <si>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</si>
  <si>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Joško</t>
  </si>
  <si>
    <t>Gvardiol</t>
  </si>
  <si>
    <t>Jérémy</t>
  </si>
  <si>
    <t>Doku</t>
  </si>
  <si>
    <t>Bruno</t>
  </si>
  <si>
    <t>Borges Fernandes</t>
  </si>
  <si>
    <t>B.Fernandes</t>
  </si>
  <si>
    <t>Alejandro</t>
  </si>
  <si>
    <t>Garnacho</t>
  </si>
  <si>
    <t>André</t>
  </si>
  <si>
    <t>Onana</t>
  </si>
  <si>
    <t>Rasmus</t>
  </si>
  <si>
    <t>Højlund</t>
  </si>
  <si>
    <t>Guimarães Rodriguez Moura</t>
  </si>
  <si>
    <t>Bruno G.</t>
  </si>
  <si>
    <t>Dan</t>
  </si>
  <si>
    <t>Burn</t>
  </si>
  <si>
    <t>Anthony</t>
  </si>
  <si>
    <t>Gordon</t>
  </si>
  <si>
    <t>Alexander</t>
  </si>
  <si>
    <t>Isak</t>
  </si>
  <si>
    <t>Sean</t>
  </si>
  <si>
    <t>Longstaff</t>
  </si>
  <si>
    <t>Fabian</t>
  </si>
  <si>
    <t>Schär</t>
  </si>
  <si>
    <t>Callum</t>
  </si>
  <si>
    <t>Hudson-Odoi</t>
  </si>
  <si>
    <t>Elanga</t>
  </si>
  <si>
    <t>Danilo</t>
  </si>
  <si>
    <t>dos Santos de Oliveira</t>
  </si>
  <si>
    <t>Morgan</t>
  </si>
  <si>
    <t>Gibbs-White</t>
  </si>
  <si>
    <t>Chris</t>
  </si>
  <si>
    <t>Wood</t>
  </si>
  <si>
    <t>Wes</t>
  </si>
  <si>
    <t>Foderingham</t>
  </si>
  <si>
    <t>Gustavo</t>
  </si>
  <si>
    <t>Hamer</t>
  </si>
  <si>
    <t>Brennan</t>
  </si>
  <si>
    <t>Johnson</t>
  </si>
  <si>
    <t>Pedro</t>
  </si>
  <si>
    <t>Porro</t>
  </si>
  <si>
    <t>Pedro Porro</t>
  </si>
  <si>
    <t>Richarlison</t>
  </si>
  <si>
    <t>de Andrade</t>
  </si>
  <si>
    <t>Son</t>
  </si>
  <si>
    <t>Heung-min</t>
  </si>
  <si>
    <t>Michail</t>
  </si>
  <si>
    <t>Antonio</t>
  </si>
  <si>
    <t>Alphonse</t>
  </si>
  <si>
    <t>Areola</t>
  </si>
  <si>
    <t>Jarrod</t>
  </si>
  <si>
    <t>Bowen</t>
  </si>
  <si>
    <t>Tomáš</t>
  </si>
  <si>
    <t>Souček</t>
  </si>
  <si>
    <t>Ward-Prowse</t>
  </si>
  <si>
    <t>Mohammed</t>
  </si>
  <si>
    <t>Kudus</t>
  </si>
  <si>
    <t>Craig</t>
  </si>
  <si>
    <t>Dawson</t>
  </si>
  <si>
    <t>Hwang</t>
  </si>
  <si>
    <t>Hee-chan</t>
  </si>
  <si>
    <t>Hee Chan</t>
  </si>
  <si>
    <t>Max</t>
  </si>
  <si>
    <t>Kilman</t>
  </si>
  <si>
    <t>Mario</t>
  </si>
  <si>
    <t>Lemina</t>
  </si>
  <si>
    <t>Mario Jr.</t>
  </si>
  <si>
    <t>José</t>
  </si>
  <si>
    <t>Malheiro de Sá</t>
  </si>
  <si>
    <t>José Sá</t>
  </si>
  <si>
    <t>Toti António</t>
  </si>
  <si>
    <t>Gomes</t>
  </si>
  <si>
    <t>Toti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</si>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</sst>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142" totalsRowShown="0">
  <autoFilter ref="A1:AJ142" xr:uid="{00000000-0009-0000-0100-000001000000}">
    <filterColumn colId="35">
      <filters>
        <filter val="1"/>
      </filters>
    </filterColumn>
  </autoFilter>
  <sortState xmlns:xlrd2="http://schemas.microsoft.com/office/spreadsheetml/2017/richdata2" ref="A6:AJ127">
    <sortCondition descending="1" ref="AH1:AH142"/>
  </sortState>
  <tableColumns count="36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6" xr3:uid="{00000000-0010-0000-0000-000024000000}" name="Health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2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0" x14ac:dyDescent="0.2">
      <c r="A1" t="s">
        <v>28</v>
      </c>
      <c r="B1" t="s">
        <v>29</v>
      </c>
      <c r="C1" t="s">
        <v>30</v>
      </c>
      <c r="D1" t="s">
        <v>31</v>
      </c>
      <c r="E1" t="s">
        <v>3</v>
      </c>
      <c r="F1" t="s">
        <v>4</v>
      </c>
      <c r="G1" t="s">
        <v>5</v>
      </c>
      <c r="H1" t="s">
        <v>6</v>
      </c>
      <c r="I1" t="s">
        <v>32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7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</row>
    <row r="2" spans="1:40" hidden="1" x14ac:dyDescent="0.2">
      <c r="A2" t="s">
        <v>39</v>
      </c>
      <c r="B2" t="s">
        <v>40</v>
      </c>
      <c r="C2" t="s">
        <v>39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8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5.4</v>
      </c>
      <c r="AE2">
        <v>4</v>
      </c>
      <c r="AF2">
        <v>2.396933787504643</v>
      </c>
      <c r="AG2">
        <v>3.7997127492259359</v>
      </c>
      <c r="AH2">
        <f>3.18840780346608*1</f>
        <v>3.1884078034660801</v>
      </c>
      <c r="AI2">
        <v>1</v>
      </c>
      <c r="AJ2">
        <v>0</v>
      </c>
      <c r="AL2" t="s">
        <v>0</v>
      </c>
      <c r="AM2">
        <f>SUMPRODUCT(Table1[Selected], Table1[PP])</f>
        <v>94.787457339797299</v>
      </c>
      <c r="AN2" t="s">
        <v>1</v>
      </c>
    </row>
    <row r="3" spans="1:40" hidden="1" x14ac:dyDescent="0.2">
      <c r="A3" t="s">
        <v>41</v>
      </c>
      <c r="B3" t="s">
        <v>42</v>
      </c>
      <c r="C3" t="s">
        <v>42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8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7.6</v>
      </c>
      <c r="AE3">
        <v>5</v>
      </c>
      <c r="AF3">
        <v>6.0624186543321708</v>
      </c>
      <c r="AG3">
        <v>3.080172441432703</v>
      </c>
      <c r="AH3">
        <f>6.45445987015947*1</f>
        <v>6.4544598701594698</v>
      </c>
      <c r="AI3">
        <v>1</v>
      </c>
      <c r="AJ3">
        <v>0</v>
      </c>
    </row>
    <row r="4" spans="1:40" hidden="1" x14ac:dyDescent="0.2">
      <c r="A4" t="s">
        <v>39</v>
      </c>
      <c r="B4" t="s">
        <v>43</v>
      </c>
      <c r="C4" t="s">
        <v>44</v>
      </c>
      <c r="D4" t="s">
        <v>6</v>
      </c>
      <c r="E4">
        <v>0</v>
      </c>
      <c r="F4">
        <v>0</v>
      </c>
      <c r="G4">
        <v>0</v>
      </c>
      <c r="H4">
        <v>1</v>
      </c>
      <c r="I4" t="s">
        <v>8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7.7</v>
      </c>
      <c r="AE4">
        <v>6</v>
      </c>
      <c r="AF4">
        <v>3.9696969696969719</v>
      </c>
      <c r="AG4">
        <v>4.7904111480796434</v>
      </c>
      <c r="AH4">
        <f>4.91011314828641*1</f>
        <v>4.9101131482864098</v>
      </c>
      <c r="AI4">
        <v>1</v>
      </c>
      <c r="AJ4">
        <v>0</v>
      </c>
      <c r="AL4" t="s">
        <v>2</v>
      </c>
      <c r="AM4">
        <f>SUMPRODUCT(Table1[Selected],Table1[Cost])</f>
        <v>94.500000000000014</v>
      </c>
      <c r="AN4">
        <v>100</v>
      </c>
    </row>
    <row r="5" spans="1:40" hidden="1" x14ac:dyDescent="0.2">
      <c r="A5" t="s">
        <v>45</v>
      </c>
      <c r="B5" t="s">
        <v>46</v>
      </c>
      <c r="C5" t="s">
        <v>46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8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8.6</v>
      </c>
      <c r="AE5">
        <v>12</v>
      </c>
      <c r="AF5">
        <v>5.0932428413088093</v>
      </c>
      <c r="AG5">
        <v>5.010513512093441</v>
      </c>
      <c r="AH5">
        <f>6.01985247472878*1</f>
        <v>6.01985247472878</v>
      </c>
      <c r="AI5">
        <v>1</v>
      </c>
      <c r="AJ5">
        <v>0</v>
      </c>
    </row>
    <row r="6" spans="1:40" x14ac:dyDescent="0.2">
      <c r="A6" t="s">
        <v>162</v>
      </c>
      <c r="B6" t="s">
        <v>163</v>
      </c>
      <c r="C6" s="1" t="s">
        <v>163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6.3</v>
      </c>
      <c r="AE6">
        <v>286</v>
      </c>
      <c r="AF6">
        <v>11.10670756830911</v>
      </c>
      <c r="AG6">
        <v>0</v>
      </c>
      <c r="AH6">
        <f>13.8155269309337*1</f>
        <v>13.8155269309337</v>
      </c>
      <c r="AI6">
        <v>1</v>
      </c>
      <c r="AJ6">
        <v>1</v>
      </c>
      <c r="AL6" t="s">
        <v>3</v>
      </c>
      <c r="AM6">
        <f>SUMPRODUCT(Table1[Selected],Table1[GKP])</f>
        <v>2</v>
      </c>
      <c r="AN6">
        <v>2</v>
      </c>
    </row>
    <row r="7" spans="1:40" x14ac:dyDescent="0.2">
      <c r="A7" t="s">
        <v>254</v>
      </c>
      <c r="B7" t="s">
        <v>255</v>
      </c>
      <c r="C7" s="1" t="s">
        <v>255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20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8.5</v>
      </c>
      <c r="AE7">
        <v>526</v>
      </c>
      <c r="AF7">
        <v>8.314135739434402</v>
      </c>
      <c r="AG7">
        <v>3.7035125629781929</v>
      </c>
      <c r="AH7">
        <f>9.49873446873061*1</f>
        <v>9.4987344687306106</v>
      </c>
      <c r="AI7">
        <v>1</v>
      </c>
      <c r="AJ7">
        <v>1</v>
      </c>
      <c r="AL7" t="s">
        <v>4</v>
      </c>
      <c r="AM7">
        <f>SUMPRODUCT(Table1[Selected],Table1[DEF])</f>
        <v>5</v>
      </c>
      <c r="AN7">
        <v>5</v>
      </c>
    </row>
    <row r="8" spans="1:40" hidden="1" x14ac:dyDescent="0.2">
      <c r="A8" t="s">
        <v>51</v>
      </c>
      <c r="B8" t="s">
        <v>52</v>
      </c>
      <c r="C8" t="s">
        <v>52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8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6.6</v>
      </c>
      <c r="AE8">
        <v>22</v>
      </c>
      <c r="AF8">
        <v>4.9726115598347072</v>
      </c>
      <c r="AG8">
        <v>3.0171513076791538</v>
      </c>
      <c r="AH8">
        <f>5.41513808203811*1</f>
        <v>5.4151380820381103</v>
      </c>
      <c r="AI8">
        <v>1</v>
      </c>
      <c r="AJ8">
        <v>0</v>
      </c>
      <c r="AL8" t="s">
        <v>5</v>
      </c>
      <c r="AM8">
        <f>SUMPRODUCT(Table1[Selected],Table1[MID])</f>
        <v>5</v>
      </c>
      <c r="AN8">
        <v>5</v>
      </c>
    </row>
    <row r="9" spans="1:40" x14ac:dyDescent="0.2">
      <c r="A9" t="s">
        <v>176</v>
      </c>
      <c r="B9" t="s">
        <v>177</v>
      </c>
      <c r="C9" s="1" t="s">
        <v>177</v>
      </c>
      <c r="D9" t="s">
        <v>6</v>
      </c>
      <c r="E9">
        <v>0</v>
      </c>
      <c r="F9">
        <v>0</v>
      </c>
      <c r="G9">
        <v>0</v>
      </c>
      <c r="H9">
        <v>1</v>
      </c>
      <c r="I9" t="s">
        <v>15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</v>
      </c>
      <c r="AE9">
        <v>328</v>
      </c>
      <c r="AF9">
        <v>5.4209566329392844</v>
      </c>
      <c r="AG9">
        <v>0</v>
      </c>
      <c r="AH9">
        <f>7.1591842473974*1</f>
        <v>7.1591842473974001</v>
      </c>
      <c r="AI9">
        <v>1</v>
      </c>
      <c r="AJ9">
        <v>1</v>
      </c>
      <c r="AL9" t="s">
        <v>6</v>
      </c>
      <c r="AM9">
        <f>SUMPRODUCT(Table1[Selected],Table1[FWD])</f>
        <v>3</v>
      </c>
      <c r="AN9">
        <v>3</v>
      </c>
    </row>
    <row r="10" spans="1:40" hidden="1" x14ac:dyDescent="0.2">
      <c r="A10" t="s">
        <v>55</v>
      </c>
      <c r="B10" t="s">
        <v>56</v>
      </c>
      <c r="C10" t="s">
        <v>56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8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</v>
      </c>
      <c r="AE10">
        <v>25</v>
      </c>
      <c r="AF10">
        <v>3.4210526315789478</v>
      </c>
      <c r="AG10">
        <v>3.655573137687528</v>
      </c>
      <c r="AH10">
        <f>4.11495280559331*1</f>
        <v>4.11495280559331</v>
      </c>
      <c r="AI10">
        <v>1</v>
      </c>
      <c r="AJ10">
        <v>0</v>
      </c>
    </row>
    <row r="11" spans="1:40" hidden="1" x14ac:dyDescent="0.2">
      <c r="A11" t="s">
        <v>256</v>
      </c>
      <c r="B11" t="s">
        <v>257</v>
      </c>
      <c r="C11" t="s">
        <v>257</v>
      </c>
      <c r="D11" t="s">
        <v>6</v>
      </c>
      <c r="E11">
        <v>0</v>
      </c>
      <c r="F11">
        <v>0</v>
      </c>
      <c r="G11">
        <v>0</v>
      </c>
      <c r="H11">
        <v>1</v>
      </c>
      <c r="I11" t="s">
        <v>20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14.3</v>
      </c>
      <c r="AE11">
        <v>528</v>
      </c>
      <c r="AF11">
        <v>7.9322033898305069</v>
      </c>
      <c r="AG11">
        <v>6.2249610574937382</v>
      </c>
      <c r="AH11">
        <f>9.12771370354969*1</f>
        <v>9.1277137035496896</v>
      </c>
      <c r="AI11">
        <v>1</v>
      </c>
      <c r="AJ11">
        <v>0</v>
      </c>
      <c r="AL11" t="s">
        <v>8</v>
      </c>
      <c r="AM11">
        <f>SUMPRODUCT(Table1[Selected],Table1[ARS])</f>
        <v>1</v>
      </c>
      <c r="AN11">
        <v>1</v>
      </c>
    </row>
    <row r="12" spans="1:40" hidden="1" x14ac:dyDescent="0.2">
      <c r="A12" t="s">
        <v>60</v>
      </c>
      <c r="B12" t="s">
        <v>61</v>
      </c>
      <c r="C12" t="s">
        <v>61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8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5.5</v>
      </c>
      <c r="AE12">
        <v>27</v>
      </c>
      <c r="AF12">
        <v>4.743071669345122</v>
      </c>
      <c r="AG12">
        <v>3.179291691210246</v>
      </c>
      <c r="AH12">
        <f>5.23947361231884*1</f>
        <v>5.2394736123188403</v>
      </c>
      <c r="AI12">
        <v>1</v>
      </c>
      <c r="AJ12">
        <v>0</v>
      </c>
      <c r="AL12" t="s">
        <v>9</v>
      </c>
      <c r="AM12">
        <f>SUMPRODUCT(Table1[Selected],Table1[AVL])</f>
        <v>1</v>
      </c>
      <c r="AN12">
        <v>1</v>
      </c>
    </row>
    <row r="13" spans="1:40" hidden="1" x14ac:dyDescent="0.2">
      <c r="A13" t="s">
        <v>62</v>
      </c>
      <c r="B13" t="s">
        <v>63</v>
      </c>
      <c r="C13" t="s">
        <v>63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9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5.4</v>
      </c>
      <c r="AE13">
        <v>39</v>
      </c>
      <c r="AF13">
        <v>3.937509653481174</v>
      </c>
      <c r="AG13">
        <v>3.303057458208067</v>
      </c>
      <c r="AH13">
        <f>3.55578682185747*1</f>
        <v>3.55578682185747</v>
      </c>
      <c r="AI13">
        <v>1</v>
      </c>
      <c r="AJ13">
        <v>0</v>
      </c>
      <c r="AL13" t="s">
        <v>10</v>
      </c>
      <c r="AM13">
        <f>SUMPRODUCT(Table1[Selected],Table1[BOU])</f>
        <v>1</v>
      </c>
      <c r="AN13">
        <v>1</v>
      </c>
    </row>
    <row r="14" spans="1:40" hidden="1" x14ac:dyDescent="0.2">
      <c r="A14" t="s">
        <v>64</v>
      </c>
      <c r="B14" t="s">
        <v>65</v>
      </c>
      <c r="C14" t="s">
        <v>64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9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4.4000000000000004</v>
      </c>
      <c r="AE14">
        <v>46</v>
      </c>
      <c r="AF14">
        <v>1.970504809458379</v>
      </c>
      <c r="AG14">
        <v>1.8263109324373841</v>
      </c>
      <c r="AH14">
        <f>1.88776574228238*1</f>
        <v>1.8877657422823799</v>
      </c>
      <c r="AI14">
        <v>1</v>
      </c>
      <c r="AJ14">
        <v>0</v>
      </c>
      <c r="AL14" t="s">
        <v>11</v>
      </c>
      <c r="AM14">
        <f>SUMPRODUCT(Table1[Selected],Table1[BRE])</f>
        <v>1</v>
      </c>
      <c r="AN14">
        <v>1</v>
      </c>
    </row>
    <row r="15" spans="1:40" hidden="1" x14ac:dyDescent="0.2">
      <c r="A15" t="s">
        <v>66</v>
      </c>
      <c r="B15" t="s">
        <v>67</v>
      </c>
      <c r="C15" t="s">
        <v>67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9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4.5999999999999996</v>
      </c>
      <c r="AE15">
        <v>47</v>
      </c>
      <c r="AF15">
        <v>2.7009265480697429</v>
      </c>
      <c r="AG15">
        <v>5.1110339447005737</v>
      </c>
      <c r="AH15">
        <f>4.21692022569331*1</f>
        <v>4.2169202256933103</v>
      </c>
      <c r="AI15">
        <v>1</v>
      </c>
      <c r="AJ15">
        <v>0</v>
      </c>
      <c r="AL15" t="s">
        <v>12</v>
      </c>
      <c r="AM15">
        <f>SUMPRODUCT(Table1[Selected],Table1[BHA])</f>
        <v>0</v>
      </c>
      <c r="AN15">
        <v>1</v>
      </c>
    </row>
    <row r="16" spans="1:40" hidden="1" x14ac:dyDescent="0.2">
      <c r="A16" t="s">
        <v>68</v>
      </c>
      <c r="B16" t="s">
        <v>69</v>
      </c>
      <c r="C16" t="s">
        <v>70</v>
      </c>
      <c r="D16" t="s">
        <v>4</v>
      </c>
      <c r="E16">
        <v>0</v>
      </c>
      <c r="F16">
        <v>1</v>
      </c>
      <c r="G16">
        <v>0</v>
      </c>
      <c r="H16">
        <v>0</v>
      </c>
      <c r="I16" t="s">
        <v>9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4.5</v>
      </c>
      <c r="AE16">
        <v>53</v>
      </c>
      <c r="AF16">
        <v>2.820512820512818</v>
      </c>
      <c r="AG16">
        <v>3.824065808689781</v>
      </c>
      <c r="AH16">
        <f>3.4580948828064*1</f>
        <v>3.4580948828064</v>
      </c>
      <c r="AI16">
        <v>1</v>
      </c>
      <c r="AJ16">
        <v>0</v>
      </c>
      <c r="AL16" t="s">
        <v>13</v>
      </c>
      <c r="AM16">
        <f>SUMPRODUCT(Table1[Selected],Table1[BUR])</f>
        <v>1</v>
      </c>
      <c r="AN16">
        <v>1</v>
      </c>
    </row>
    <row r="17" spans="1:40" hidden="1" x14ac:dyDescent="0.2">
      <c r="A17" t="s">
        <v>71</v>
      </c>
      <c r="B17" t="s">
        <v>72</v>
      </c>
      <c r="C17" t="s">
        <v>73</v>
      </c>
      <c r="D17" t="s">
        <v>3</v>
      </c>
      <c r="E17">
        <v>1</v>
      </c>
      <c r="F17">
        <v>0</v>
      </c>
      <c r="G17">
        <v>0</v>
      </c>
      <c r="H17">
        <v>0</v>
      </c>
      <c r="I17" t="s">
        <v>9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5.2</v>
      </c>
      <c r="AE17">
        <v>54</v>
      </c>
      <c r="AF17">
        <v>3.4637681159420279</v>
      </c>
      <c r="AG17">
        <v>5.3303006952139977</v>
      </c>
      <c r="AH17">
        <f>4.64296802632683*1</f>
        <v>4.6429680263268303</v>
      </c>
      <c r="AI17">
        <v>1</v>
      </c>
      <c r="AJ17">
        <v>0</v>
      </c>
      <c r="AL17" t="s">
        <v>14</v>
      </c>
      <c r="AM17">
        <f>SUMPRODUCT(Table1[Selected],Table1[CHE])</f>
        <v>1</v>
      </c>
      <c r="AN17">
        <v>1</v>
      </c>
    </row>
    <row r="18" spans="1:40" hidden="1" x14ac:dyDescent="0.2">
      <c r="A18" t="s">
        <v>74</v>
      </c>
      <c r="B18" t="s">
        <v>75</v>
      </c>
      <c r="C18" t="s">
        <v>75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9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5.3</v>
      </c>
      <c r="AE18">
        <v>55</v>
      </c>
      <c r="AF18">
        <v>3.0434782608695641</v>
      </c>
      <c r="AG18">
        <v>2.5420463706915299</v>
      </c>
      <c r="AH18">
        <f>2.74153235257509*1</f>
        <v>2.7415323525750899</v>
      </c>
      <c r="AI18">
        <v>1</v>
      </c>
      <c r="AJ18">
        <v>0</v>
      </c>
      <c r="AL18" t="s">
        <v>15</v>
      </c>
      <c r="AM18">
        <f>SUMPRODUCT(Table1[Selected],Table1[CRY])</f>
        <v>1</v>
      </c>
      <c r="AN18">
        <v>1</v>
      </c>
    </row>
    <row r="19" spans="1:40" hidden="1" x14ac:dyDescent="0.2">
      <c r="A19" t="s">
        <v>76</v>
      </c>
      <c r="B19" t="s">
        <v>77</v>
      </c>
      <c r="C19" t="s">
        <v>77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9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5.6</v>
      </c>
      <c r="AE19">
        <v>62</v>
      </c>
      <c r="AF19">
        <v>2.7599881614564481</v>
      </c>
      <c r="AG19">
        <v>2.9890181420160089</v>
      </c>
      <c r="AH19">
        <f>2.91339860816376*1</f>
        <v>2.9133986081637602</v>
      </c>
      <c r="AI19">
        <v>1</v>
      </c>
      <c r="AJ19">
        <v>0</v>
      </c>
      <c r="AL19" t="s">
        <v>16</v>
      </c>
      <c r="AM19">
        <f>SUMPRODUCT(Table1[Selected],Table1[EVE])</f>
        <v>1</v>
      </c>
      <c r="AN19">
        <v>1</v>
      </c>
    </row>
    <row r="20" spans="1:40" x14ac:dyDescent="0.2">
      <c r="A20" t="s">
        <v>285</v>
      </c>
      <c r="B20" t="s">
        <v>286</v>
      </c>
      <c r="C20" s="1" t="s">
        <v>286</v>
      </c>
      <c r="D20" t="s">
        <v>4</v>
      </c>
      <c r="E20">
        <v>0</v>
      </c>
      <c r="F20">
        <v>1</v>
      </c>
      <c r="G20">
        <v>0</v>
      </c>
      <c r="H20">
        <v>0</v>
      </c>
      <c r="I20" t="s">
        <v>22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5.6</v>
      </c>
      <c r="AE20">
        <v>619</v>
      </c>
      <c r="AF20">
        <v>6.6985787585036878</v>
      </c>
      <c r="AG20">
        <v>4.4438378777068843</v>
      </c>
      <c r="AH20">
        <f>6.92408650031118*1</f>
        <v>6.92408650031118</v>
      </c>
      <c r="AI20">
        <v>1</v>
      </c>
      <c r="AJ20">
        <v>1</v>
      </c>
      <c r="AL20" t="s">
        <v>17</v>
      </c>
      <c r="AM20">
        <f>SUMPRODUCT(Table1[Selected],Table1[FUL])</f>
        <v>1</v>
      </c>
      <c r="AN20">
        <v>1</v>
      </c>
    </row>
    <row r="21" spans="1:40" hidden="1" x14ac:dyDescent="0.2">
      <c r="A21" t="s">
        <v>80</v>
      </c>
      <c r="B21" t="s">
        <v>81</v>
      </c>
      <c r="C21" t="s">
        <v>80</v>
      </c>
      <c r="D21" t="s">
        <v>4</v>
      </c>
      <c r="E21">
        <v>0</v>
      </c>
      <c r="F21">
        <v>1</v>
      </c>
      <c r="G21">
        <v>0</v>
      </c>
      <c r="H21">
        <v>0</v>
      </c>
      <c r="I21" t="s">
        <v>9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4.5999999999999996</v>
      </c>
      <c r="AE21">
        <v>66</v>
      </c>
      <c r="AF21">
        <v>2.9310344827586192</v>
      </c>
      <c r="AG21">
        <v>4.0935178749145251</v>
      </c>
      <c r="AH21">
        <f>3.66833379077379*1</f>
        <v>3.6683337907737901</v>
      </c>
      <c r="AI21">
        <v>1</v>
      </c>
      <c r="AJ21">
        <v>0</v>
      </c>
      <c r="AL21" t="s">
        <v>18</v>
      </c>
      <c r="AM21">
        <f>SUMPRODUCT(Table1[Selected],Table1[LIV])</f>
        <v>1</v>
      </c>
      <c r="AN21">
        <v>1</v>
      </c>
    </row>
    <row r="22" spans="1:40" hidden="1" x14ac:dyDescent="0.2">
      <c r="A22" t="s">
        <v>82</v>
      </c>
      <c r="B22" t="s">
        <v>83</v>
      </c>
      <c r="C22" t="s">
        <v>83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9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6.3</v>
      </c>
      <c r="AE22">
        <v>67</v>
      </c>
      <c r="AF22">
        <v>3.7837837837837851</v>
      </c>
      <c r="AG22">
        <v>5.0152629545495087</v>
      </c>
      <c r="AH22">
        <f>4.56737784218451*1</f>
        <v>4.5673778421845102</v>
      </c>
      <c r="AI22">
        <v>1</v>
      </c>
      <c r="AJ22">
        <v>0</v>
      </c>
      <c r="AL22" t="s">
        <v>19</v>
      </c>
      <c r="AM22">
        <f>SUMPRODUCT(Table1[Selected],Table1[LUT])</f>
        <v>0</v>
      </c>
      <c r="AN22">
        <v>1</v>
      </c>
    </row>
    <row r="23" spans="1:40" hidden="1" x14ac:dyDescent="0.2">
      <c r="A23" t="s">
        <v>84</v>
      </c>
      <c r="B23" t="s">
        <v>85</v>
      </c>
      <c r="C23" t="s">
        <v>85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</v>
      </c>
      <c r="AE23">
        <v>83</v>
      </c>
      <c r="AF23">
        <v>2.1384615384615389</v>
      </c>
      <c r="AG23">
        <v>2.0776081547631668</v>
      </c>
      <c r="AH23">
        <f>2.45022283965773*1</f>
        <v>2.4502228396577301</v>
      </c>
      <c r="AI23">
        <v>1</v>
      </c>
      <c r="AJ23">
        <v>0</v>
      </c>
      <c r="AL23" t="s">
        <v>20</v>
      </c>
      <c r="AM23">
        <f>SUMPRODUCT(Table1[Selected],Table1[MCI])</f>
        <v>1</v>
      </c>
      <c r="AN23">
        <v>1</v>
      </c>
    </row>
    <row r="24" spans="1:40" hidden="1" x14ac:dyDescent="0.2">
      <c r="A24" t="s">
        <v>86</v>
      </c>
      <c r="B24" t="s">
        <v>87</v>
      </c>
      <c r="C24" t="s">
        <v>88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4.8</v>
      </c>
      <c r="AE24">
        <v>84</v>
      </c>
      <c r="AF24">
        <v>1.877551020408164</v>
      </c>
      <c r="AG24">
        <v>1.406669273774904</v>
      </c>
      <c r="AH24">
        <f>1.9718721392883*1</f>
        <v>1.9718721392883001</v>
      </c>
      <c r="AI24">
        <v>1</v>
      </c>
      <c r="AJ24">
        <v>0</v>
      </c>
      <c r="AL24" t="s">
        <v>21</v>
      </c>
      <c r="AM24">
        <f>SUMPRODUCT(Table1[Selected],Table1[MUN])</f>
        <v>0</v>
      </c>
      <c r="AN24">
        <v>1</v>
      </c>
    </row>
    <row r="25" spans="1:40" hidden="1" x14ac:dyDescent="0.2">
      <c r="A25" t="s">
        <v>89</v>
      </c>
      <c r="B25" t="s">
        <v>90</v>
      </c>
      <c r="C25" t="s">
        <v>90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4.5999999999999996</v>
      </c>
      <c r="AE25">
        <v>90</v>
      </c>
      <c r="AF25">
        <v>3.5445858188683741</v>
      </c>
      <c r="AG25">
        <v>3.4239704790841752</v>
      </c>
      <c r="AH25">
        <f>4.05285570069737*1</f>
        <v>4.0528557006973696</v>
      </c>
      <c r="AI25">
        <v>1</v>
      </c>
      <c r="AJ25">
        <v>0</v>
      </c>
      <c r="AL25" t="s">
        <v>22</v>
      </c>
      <c r="AM25">
        <f>SUMPRODUCT(Table1[Selected],Table1[NEW])</f>
        <v>1</v>
      </c>
      <c r="AN25">
        <v>1</v>
      </c>
    </row>
    <row r="26" spans="1:40" x14ac:dyDescent="0.2">
      <c r="A26" t="s">
        <v>229</v>
      </c>
      <c r="B26" t="s">
        <v>230</v>
      </c>
      <c r="C26" s="1" t="s">
        <v>230</v>
      </c>
      <c r="D26" t="s">
        <v>5</v>
      </c>
      <c r="E26">
        <v>0</v>
      </c>
      <c r="F26">
        <v>0</v>
      </c>
      <c r="G26">
        <v>1</v>
      </c>
      <c r="H26">
        <v>0</v>
      </c>
      <c r="I26" t="s">
        <v>18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13.4</v>
      </c>
      <c r="AE26">
        <v>443</v>
      </c>
      <c r="AF26">
        <v>6.8316831683168351</v>
      </c>
      <c r="AG26">
        <v>7.4738645542946411</v>
      </c>
      <c r="AH26">
        <f>6.34552668388616*1</f>
        <v>6.3455266838861597</v>
      </c>
      <c r="AI26">
        <v>1</v>
      </c>
      <c r="AJ26">
        <v>1</v>
      </c>
      <c r="AL26" t="s">
        <v>23</v>
      </c>
      <c r="AM26">
        <f>SUMPRODUCT(Table1[Selected],Table1[NFO])</f>
        <v>1</v>
      </c>
      <c r="AN26">
        <v>1</v>
      </c>
    </row>
    <row r="27" spans="1:40" hidden="1" x14ac:dyDescent="0.2">
      <c r="A27" t="s">
        <v>94</v>
      </c>
      <c r="B27" t="s">
        <v>95</v>
      </c>
      <c r="C27" t="s">
        <v>95</v>
      </c>
      <c r="D27" t="s">
        <v>6</v>
      </c>
      <c r="E27">
        <v>0</v>
      </c>
      <c r="F27">
        <v>0</v>
      </c>
      <c r="G27">
        <v>0</v>
      </c>
      <c r="H27">
        <v>1</v>
      </c>
      <c r="I27" t="s">
        <v>10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4.5</v>
      </c>
      <c r="AE27">
        <v>100</v>
      </c>
      <c r="AF27">
        <v>3</v>
      </c>
      <c r="AG27">
        <v>3.103872707342759</v>
      </c>
      <c r="AH27">
        <f>3.51869097604989*1</f>
        <v>3.5186909760498901</v>
      </c>
      <c r="AI27">
        <v>1</v>
      </c>
      <c r="AJ27">
        <v>0</v>
      </c>
      <c r="AL27" t="s">
        <v>24</v>
      </c>
      <c r="AM27">
        <f>SUMPRODUCT(Table1[Selected],Table1[SHU])</f>
        <v>0</v>
      </c>
      <c r="AN27">
        <v>1</v>
      </c>
    </row>
    <row r="28" spans="1:40" hidden="1" x14ac:dyDescent="0.2">
      <c r="A28" t="s">
        <v>96</v>
      </c>
      <c r="B28" t="s">
        <v>97</v>
      </c>
      <c r="C28" t="s">
        <v>97</v>
      </c>
      <c r="D28" t="s">
        <v>4</v>
      </c>
      <c r="E28">
        <v>0</v>
      </c>
      <c r="F28">
        <v>1</v>
      </c>
      <c r="G28">
        <v>0</v>
      </c>
      <c r="H28">
        <v>0</v>
      </c>
      <c r="I28" t="s">
        <v>10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4.4000000000000004</v>
      </c>
      <c r="AE28">
        <v>101</v>
      </c>
      <c r="AF28">
        <v>3.4320030933201249</v>
      </c>
      <c r="AG28">
        <v>2.400975250003575</v>
      </c>
      <c r="AH28">
        <f>3.531228360949*1</f>
        <v>3.5312283609490001</v>
      </c>
      <c r="AI28">
        <v>1</v>
      </c>
      <c r="AJ28">
        <v>0</v>
      </c>
      <c r="AL28" t="s">
        <v>25</v>
      </c>
      <c r="AM28">
        <f>SUMPRODUCT(Table1[Selected],Table1[TOT])</f>
        <v>1</v>
      </c>
      <c r="AN28">
        <v>1</v>
      </c>
    </row>
    <row r="29" spans="1:40" hidden="1" x14ac:dyDescent="0.2">
      <c r="A29" t="s">
        <v>98</v>
      </c>
      <c r="B29" t="s">
        <v>99</v>
      </c>
      <c r="C29" t="s">
        <v>99</v>
      </c>
      <c r="D29" t="s">
        <v>4</v>
      </c>
      <c r="E29">
        <v>0</v>
      </c>
      <c r="F29">
        <v>1</v>
      </c>
      <c r="G29">
        <v>0</v>
      </c>
      <c r="H29">
        <v>0</v>
      </c>
      <c r="I29" t="s">
        <v>10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4.4000000000000004</v>
      </c>
      <c r="AE29">
        <v>102</v>
      </c>
      <c r="AF29">
        <v>2.4414414414414418</v>
      </c>
      <c r="AG29">
        <v>1.8546842948088731</v>
      </c>
      <c r="AH29">
        <f>2.57506878612645*1</f>
        <v>2.5750687861264501</v>
      </c>
      <c r="AI29">
        <v>1</v>
      </c>
      <c r="AJ29">
        <v>0</v>
      </c>
      <c r="AL29" t="s">
        <v>26</v>
      </c>
      <c r="AM29">
        <f>SUMPRODUCT(Table1[Selected],Table1[WHU])</f>
        <v>0</v>
      </c>
      <c r="AN29">
        <v>1</v>
      </c>
    </row>
    <row r="30" spans="1:40" hidden="1" x14ac:dyDescent="0.2">
      <c r="A30" t="s">
        <v>100</v>
      </c>
      <c r="B30" t="s">
        <v>101</v>
      </c>
      <c r="C30" t="s">
        <v>101</v>
      </c>
      <c r="D30" t="s">
        <v>6</v>
      </c>
      <c r="E30">
        <v>0</v>
      </c>
      <c r="F30">
        <v>0</v>
      </c>
      <c r="G30">
        <v>0</v>
      </c>
      <c r="H30">
        <v>1</v>
      </c>
      <c r="I30" t="s">
        <v>10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7</v>
      </c>
      <c r="AE30">
        <v>103</v>
      </c>
      <c r="AF30">
        <v>4.6358451815674186</v>
      </c>
      <c r="AG30">
        <v>2.8705476725027279</v>
      </c>
      <c r="AH30">
        <f>4.60974171351335*1</f>
        <v>4.6097417135133503</v>
      </c>
      <c r="AI30">
        <v>1</v>
      </c>
      <c r="AJ30">
        <v>0</v>
      </c>
      <c r="AL30" t="s">
        <v>27</v>
      </c>
      <c r="AM30">
        <f>SUMPRODUCT(Table1[Selected],Table1[WOL])</f>
        <v>1</v>
      </c>
      <c r="AN30">
        <v>1</v>
      </c>
    </row>
    <row r="31" spans="1:40" hidden="1" x14ac:dyDescent="0.2">
      <c r="A31" t="s">
        <v>102</v>
      </c>
      <c r="B31" t="s">
        <v>103</v>
      </c>
      <c r="C31" t="s">
        <v>103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</v>
      </c>
      <c r="AE31">
        <v>104</v>
      </c>
      <c r="AF31">
        <v>2.3462283941433708</v>
      </c>
      <c r="AG31">
        <v>3.699480184460108</v>
      </c>
      <c r="AH31">
        <f>3.29853963352378*1</f>
        <v>3.29853963352378</v>
      </c>
      <c r="AI31">
        <v>1</v>
      </c>
      <c r="AJ31">
        <v>0</v>
      </c>
    </row>
    <row r="32" spans="1:40" hidden="1" x14ac:dyDescent="0.2">
      <c r="A32" t="s">
        <v>104</v>
      </c>
      <c r="B32" t="s">
        <v>105</v>
      </c>
      <c r="C32" t="s">
        <v>105</v>
      </c>
      <c r="D32" t="s">
        <v>4</v>
      </c>
      <c r="E32">
        <v>0</v>
      </c>
      <c r="F32">
        <v>1</v>
      </c>
      <c r="G32">
        <v>0</v>
      </c>
      <c r="H32">
        <v>0</v>
      </c>
      <c r="I32" t="s">
        <v>10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4.4000000000000004</v>
      </c>
      <c r="AE32">
        <v>107</v>
      </c>
      <c r="AF32">
        <v>3.522662880341902</v>
      </c>
      <c r="AG32">
        <v>2.3614298322035072</v>
      </c>
      <c r="AH32">
        <f>3.58025755873531*1</f>
        <v>3.58025755873531</v>
      </c>
      <c r="AI32">
        <v>1</v>
      </c>
      <c r="AJ32">
        <v>0</v>
      </c>
    </row>
    <row r="33" spans="1:36" hidden="1" x14ac:dyDescent="0.2">
      <c r="A33" t="s">
        <v>106</v>
      </c>
      <c r="B33" t="s">
        <v>107</v>
      </c>
      <c r="C33" t="s">
        <v>107</v>
      </c>
      <c r="D33" t="s">
        <v>4</v>
      </c>
      <c r="E33">
        <v>0</v>
      </c>
      <c r="F33">
        <v>1</v>
      </c>
      <c r="G33">
        <v>0</v>
      </c>
      <c r="H33">
        <v>0</v>
      </c>
      <c r="I33" t="s">
        <v>10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4.4000000000000004</v>
      </c>
      <c r="AE33">
        <v>108</v>
      </c>
      <c r="AF33">
        <v>2.115384615384615</v>
      </c>
      <c r="AG33">
        <v>1.9549428364255941</v>
      </c>
      <c r="AH33">
        <f>2.38070072589172*1</f>
        <v>2.3807007258917201</v>
      </c>
      <c r="AI33">
        <v>1</v>
      </c>
      <c r="AJ33">
        <v>0</v>
      </c>
    </row>
    <row r="34" spans="1:36" hidden="1" x14ac:dyDescent="0.2">
      <c r="A34" t="s">
        <v>108</v>
      </c>
      <c r="B34" t="s">
        <v>109</v>
      </c>
      <c r="C34" t="s">
        <v>109</v>
      </c>
      <c r="D34" t="s">
        <v>4</v>
      </c>
      <c r="E34">
        <v>0</v>
      </c>
      <c r="F34">
        <v>1</v>
      </c>
      <c r="G34">
        <v>0</v>
      </c>
      <c r="H34">
        <v>0</v>
      </c>
      <c r="I34" t="s">
        <v>11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4.4000000000000004</v>
      </c>
      <c r="AE34">
        <v>121</v>
      </c>
      <c r="AF34">
        <v>2.9666666666666668</v>
      </c>
      <c r="AG34">
        <v>0</v>
      </c>
      <c r="AH34">
        <f>3.33949083269333*1</f>
        <v>3.3394908326933299</v>
      </c>
      <c r="AI34">
        <v>1</v>
      </c>
      <c r="AJ34">
        <v>0</v>
      </c>
    </row>
    <row r="35" spans="1:36" hidden="1" x14ac:dyDescent="0.2">
      <c r="A35" t="s">
        <v>110</v>
      </c>
      <c r="B35" t="s">
        <v>111</v>
      </c>
      <c r="C35" t="s">
        <v>111</v>
      </c>
      <c r="D35" t="s">
        <v>4</v>
      </c>
      <c r="E35">
        <v>0</v>
      </c>
      <c r="F35">
        <v>1</v>
      </c>
      <c r="G35">
        <v>0</v>
      </c>
      <c r="H35">
        <v>0</v>
      </c>
      <c r="I35" t="s">
        <v>11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4.5</v>
      </c>
      <c r="AE35">
        <v>127</v>
      </c>
      <c r="AF35">
        <v>2.4533333333333331</v>
      </c>
      <c r="AG35">
        <v>0</v>
      </c>
      <c r="AH35">
        <f>2.76164635153066*1</f>
        <v>2.76164635153066</v>
      </c>
      <c r="AI35">
        <v>1</v>
      </c>
      <c r="AJ35">
        <v>0</v>
      </c>
    </row>
    <row r="36" spans="1:36" hidden="1" x14ac:dyDescent="0.2">
      <c r="A36" t="s">
        <v>112</v>
      </c>
      <c r="B36" t="s">
        <v>113</v>
      </c>
      <c r="C36" t="s">
        <v>113</v>
      </c>
      <c r="D36" t="s">
        <v>3</v>
      </c>
      <c r="E36">
        <v>1</v>
      </c>
      <c r="F36">
        <v>0</v>
      </c>
      <c r="G36">
        <v>0</v>
      </c>
      <c r="H36">
        <v>0</v>
      </c>
      <c r="I36" t="s">
        <v>11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4.7</v>
      </c>
      <c r="AE36">
        <v>132</v>
      </c>
      <c r="AF36">
        <v>3.342857142857143</v>
      </c>
      <c r="AG36">
        <v>0</v>
      </c>
      <c r="AH36">
        <f>3.76295756749714*1</f>
        <v>3.7629575674971401</v>
      </c>
      <c r="AI36">
        <v>1</v>
      </c>
      <c r="AJ36">
        <v>0</v>
      </c>
    </row>
    <row r="37" spans="1:36" hidden="1" x14ac:dyDescent="0.2">
      <c r="A37" t="s">
        <v>114</v>
      </c>
      <c r="B37" t="s">
        <v>115</v>
      </c>
      <c r="C37" t="s">
        <v>115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5.2</v>
      </c>
      <c r="AE37">
        <v>136</v>
      </c>
      <c r="AF37">
        <v>2.565656565656564</v>
      </c>
      <c r="AG37">
        <v>0</v>
      </c>
      <c r="AH37">
        <f>2.88808536433131*1</f>
        <v>2.8880853643313098</v>
      </c>
      <c r="AI37">
        <v>1</v>
      </c>
      <c r="AJ37">
        <v>0</v>
      </c>
    </row>
    <row r="38" spans="1:36" hidden="1" x14ac:dyDescent="0.2">
      <c r="A38" t="s">
        <v>116</v>
      </c>
      <c r="B38" t="s">
        <v>117</v>
      </c>
      <c r="C38" t="s">
        <v>117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5.2</v>
      </c>
      <c r="AE38">
        <v>137</v>
      </c>
      <c r="AF38">
        <v>2.4446668781829559</v>
      </c>
      <c r="AG38">
        <v>0</v>
      </c>
      <c r="AH38">
        <f>2.7518907737127*1</f>
        <v>2.7518907737127001</v>
      </c>
      <c r="AI38">
        <v>1</v>
      </c>
      <c r="AJ38">
        <v>0</v>
      </c>
    </row>
    <row r="39" spans="1:36" hidden="1" x14ac:dyDescent="0.2">
      <c r="A39" t="s">
        <v>118</v>
      </c>
      <c r="B39" t="s">
        <v>119</v>
      </c>
      <c r="C39" t="s">
        <v>119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11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4.7</v>
      </c>
      <c r="AE39">
        <v>138</v>
      </c>
      <c r="AF39">
        <v>2.2051282051282062</v>
      </c>
      <c r="AG39">
        <v>0</v>
      </c>
      <c r="AH39">
        <f>2.48224901997948*1</f>
        <v>2.4822490199794802</v>
      </c>
      <c r="AI39">
        <v>1</v>
      </c>
      <c r="AJ39">
        <v>0</v>
      </c>
    </row>
    <row r="40" spans="1:36" hidden="1" x14ac:dyDescent="0.2">
      <c r="A40" t="s">
        <v>120</v>
      </c>
      <c r="B40" t="s">
        <v>121</v>
      </c>
      <c r="C40" t="s">
        <v>121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11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6.8</v>
      </c>
      <c r="AE40">
        <v>139</v>
      </c>
      <c r="AF40">
        <v>4.0531914893617023</v>
      </c>
      <c r="AG40">
        <v>0</v>
      </c>
      <c r="AH40">
        <f>4.56256038939574*1</f>
        <v>4.56256038939574</v>
      </c>
      <c r="AI40">
        <v>1</v>
      </c>
      <c r="AJ40">
        <v>0</v>
      </c>
    </row>
    <row r="41" spans="1:36" hidden="1" x14ac:dyDescent="0.2">
      <c r="A41" t="s">
        <v>122</v>
      </c>
      <c r="B41" t="s">
        <v>123</v>
      </c>
      <c r="C41" t="s">
        <v>123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11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5.2</v>
      </c>
      <c r="AE41">
        <v>141</v>
      </c>
      <c r="AF41">
        <v>2.8658536585365848</v>
      </c>
      <c r="AG41">
        <v>0</v>
      </c>
      <c r="AH41">
        <f>3.2260085462439*1</f>
        <v>3.2260085462439001</v>
      </c>
      <c r="AI41">
        <v>1</v>
      </c>
      <c r="AJ41">
        <v>0</v>
      </c>
    </row>
    <row r="42" spans="1:36" hidden="1" x14ac:dyDescent="0.2">
      <c r="A42" t="s">
        <v>124</v>
      </c>
      <c r="B42" t="s">
        <v>125</v>
      </c>
      <c r="C42" t="s">
        <v>125</v>
      </c>
      <c r="D42" t="s">
        <v>4</v>
      </c>
      <c r="E42">
        <v>0</v>
      </c>
      <c r="F42">
        <v>1</v>
      </c>
      <c r="G42">
        <v>0</v>
      </c>
      <c r="H42">
        <v>0</v>
      </c>
      <c r="I42" t="s">
        <v>11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4.5</v>
      </c>
      <c r="AE42">
        <v>143</v>
      </c>
      <c r="AF42">
        <v>3.104651162790701</v>
      </c>
      <c r="AG42">
        <v>0</v>
      </c>
      <c r="AH42">
        <f>3.49481598770232*1</f>
        <v>3.4948159877023199</v>
      </c>
      <c r="AI42">
        <v>1</v>
      </c>
      <c r="AJ42">
        <v>0</v>
      </c>
    </row>
    <row r="43" spans="1:36" x14ac:dyDescent="0.2">
      <c r="A43" t="s">
        <v>292</v>
      </c>
      <c r="B43" t="s">
        <v>293</v>
      </c>
      <c r="C43" s="1" t="s">
        <v>293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23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5.7</v>
      </c>
      <c r="AE43">
        <v>654</v>
      </c>
      <c r="AF43">
        <v>4.768665534143337</v>
      </c>
      <c r="AG43">
        <v>0</v>
      </c>
      <c r="AH43">
        <f>6.07725448235579*1</f>
        <v>6.0772544823557899</v>
      </c>
      <c r="AI43">
        <v>1</v>
      </c>
      <c r="AJ43">
        <v>1</v>
      </c>
    </row>
    <row r="44" spans="1:36" hidden="1" x14ac:dyDescent="0.2">
      <c r="A44" t="s">
        <v>86</v>
      </c>
      <c r="B44" t="s">
        <v>128</v>
      </c>
      <c r="C44" t="s">
        <v>128</v>
      </c>
      <c r="D44" t="s">
        <v>4</v>
      </c>
      <c r="E44">
        <v>0</v>
      </c>
      <c r="F44">
        <v>1</v>
      </c>
      <c r="G44">
        <v>0</v>
      </c>
      <c r="H44">
        <v>0</v>
      </c>
      <c r="I44" t="s">
        <v>12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5.2</v>
      </c>
      <c r="AE44">
        <v>170</v>
      </c>
      <c r="AF44">
        <v>3.161458333333333</v>
      </c>
      <c r="AG44">
        <v>3.055131790288963</v>
      </c>
      <c r="AH44">
        <f>0*0</f>
        <v>0</v>
      </c>
      <c r="AI44">
        <v>0</v>
      </c>
      <c r="AJ44">
        <v>0</v>
      </c>
    </row>
    <row r="45" spans="1:36" hidden="1" x14ac:dyDescent="0.2">
      <c r="A45" t="s">
        <v>281</v>
      </c>
      <c r="B45" t="s">
        <v>282</v>
      </c>
      <c r="C45" t="s">
        <v>282</v>
      </c>
      <c r="D45" t="s">
        <v>6</v>
      </c>
      <c r="E45">
        <v>0</v>
      </c>
      <c r="F45">
        <v>0</v>
      </c>
      <c r="G45">
        <v>0</v>
      </c>
      <c r="H45">
        <v>1</v>
      </c>
      <c r="I45" t="s">
        <v>22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8.4</v>
      </c>
      <c r="AE45">
        <v>607</v>
      </c>
      <c r="AF45">
        <v>5.1875000000000018</v>
      </c>
      <c r="AG45">
        <v>5.2054406656638816</v>
      </c>
      <c r="AH45">
        <f>6.5900977359725*1</f>
        <v>6.5900977359724999</v>
      </c>
      <c r="AI45">
        <v>1</v>
      </c>
      <c r="AJ45">
        <v>0</v>
      </c>
    </row>
    <row r="46" spans="1:36" hidden="1" x14ac:dyDescent="0.2">
      <c r="A46" t="s">
        <v>132</v>
      </c>
      <c r="B46" t="s">
        <v>133</v>
      </c>
      <c r="C46" t="s">
        <v>132</v>
      </c>
      <c r="D46" t="s">
        <v>6</v>
      </c>
      <c r="E46">
        <v>0</v>
      </c>
      <c r="F46">
        <v>0</v>
      </c>
      <c r="G46">
        <v>0</v>
      </c>
      <c r="H46">
        <v>1</v>
      </c>
      <c r="I46" t="s">
        <v>12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5.2</v>
      </c>
      <c r="AE46">
        <v>176</v>
      </c>
      <c r="AF46">
        <v>3.9471896628243792</v>
      </c>
      <c r="AG46">
        <v>2.8985347080804229</v>
      </c>
      <c r="AH46">
        <f>2.66348992574212*1</f>
        <v>2.6634899257421201</v>
      </c>
      <c r="AI46">
        <v>1</v>
      </c>
      <c r="AJ46">
        <v>0</v>
      </c>
    </row>
    <row r="47" spans="1:36" hidden="1" x14ac:dyDescent="0.2">
      <c r="A47" t="s">
        <v>134</v>
      </c>
      <c r="B47" t="s">
        <v>135</v>
      </c>
      <c r="C47" t="s">
        <v>135</v>
      </c>
      <c r="D47" t="s">
        <v>6</v>
      </c>
      <c r="E47">
        <v>0</v>
      </c>
      <c r="F47">
        <v>0</v>
      </c>
      <c r="G47">
        <v>0</v>
      </c>
      <c r="H47">
        <v>1</v>
      </c>
      <c r="I47" t="s">
        <v>12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5.7</v>
      </c>
      <c r="AE47">
        <v>194</v>
      </c>
      <c r="AF47">
        <v>3.269279328261137</v>
      </c>
      <c r="AG47">
        <v>2.863287867794964</v>
      </c>
      <c r="AH47">
        <f>2.3513842548852*1</f>
        <v>2.3513842548852</v>
      </c>
      <c r="AI47">
        <v>1</v>
      </c>
      <c r="AJ47">
        <v>0</v>
      </c>
    </row>
    <row r="48" spans="1:36" hidden="1" x14ac:dyDescent="0.2">
      <c r="A48" t="s">
        <v>136</v>
      </c>
      <c r="B48" t="s">
        <v>137</v>
      </c>
      <c r="C48" t="s">
        <v>137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13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4.7</v>
      </c>
      <c r="AE48">
        <v>216</v>
      </c>
      <c r="AF48">
        <v>0</v>
      </c>
      <c r="AG48">
        <v>2.314257786635781</v>
      </c>
      <c r="AH48">
        <f>2.65401699378674*1</f>
        <v>2.6540169937867399</v>
      </c>
      <c r="AI48">
        <v>1</v>
      </c>
      <c r="AJ48">
        <v>0</v>
      </c>
    </row>
    <row r="49" spans="1:36" hidden="1" x14ac:dyDescent="0.2">
      <c r="A49" t="s">
        <v>138</v>
      </c>
      <c r="B49" t="s">
        <v>139</v>
      </c>
      <c r="C49" t="s">
        <v>139</v>
      </c>
      <c r="D49" t="s">
        <v>4</v>
      </c>
      <c r="E49">
        <v>0</v>
      </c>
      <c r="F49">
        <v>1</v>
      </c>
      <c r="G49">
        <v>0</v>
      </c>
      <c r="H49">
        <v>0</v>
      </c>
      <c r="I49" t="s">
        <v>13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4.4000000000000004</v>
      </c>
      <c r="AE49">
        <v>228</v>
      </c>
      <c r="AF49">
        <v>0</v>
      </c>
      <c r="AG49">
        <v>2.1741820727947161</v>
      </c>
      <c r="AH49">
        <f>2.49337658151382*1</f>
        <v>2.4933765815138198</v>
      </c>
      <c r="AI49">
        <v>1</v>
      </c>
      <c r="AJ49">
        <v>0</v>
      </c>
    </row>
    <row r="50" spans="1:36" hidden="1" x14ac:dyDescent="0.2">
      <c r="A50" t="s">
        <v>140</v>
      </c>
      <c r="B50" t="s">
        <v>141</v>
      </c>
      <c r="C50" t="s">
        <v>141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13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4.5999999999999996</v>
      </c>
      <c r="AE50">
        <v>241</v>
      </c>
      <c r="AF50">
        <v>0</v>
      </c>
      <c r="AG50">
        <v>2.9592285188131822</v>
      </c>
      <c r="AH50">
        <f>3.39367672122889*1</f>
        <v>3.3936767212288901</v>
      </c>
      <c r="AI50">
        <v>1</v>
      </c>
      <c r="AJ50">
        <v>0</v>
      </c>
    </row>
    <row r="51" spans="1:36" hidden="1" x14ac:dyDescent="0.2">
      <c r="A51" t="s">
        <v>142</v>
      </c>
      <c r="B51" t="s">
        <v>143</v>
      </c>
      <c r="C51" t="s">
        <v>143</v>
      </c>
      <c r="D51" t="s">
        <v>6</v>
      </c>
      <c r="E51">
        <v>0</v>
      </c>
      <c r="F51">
        <v>0</v>
      </c>
      <c r="G51">
        <v>0</v>
      </c>
      <c r="H51">
        <v>1</v>
      </c>
      <c r="I51" t="s">
        <v>13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5.0999999999999996</v>
      </c>
      <c r="AE51">
        <v>242</v>
      </c>
      <c r="AF51">
        <v>0</v>
      </c>
      <c r="AG51">
        <v>2.370389319982432</v>
      </c>
      <c r="AH51">
        <f>2.71838927082934*1</f>
        <v>2.71838927082934</v>
      </c>
      <c r="AI51">
        <v>1</v>
      </c>
      <c r="AJ51">
        <v>0</v>
      </c>
    </row>
    <row r="52" spans="1:36" hidden="1" x14ac:dyDescent="0.2">
      <c r="A52" t="s">
        <v>144</v>
      </c>
      <c r="B52" t="s">
        <v>145</v>
      </c>
      <c r="C52" t="s">
        <v>145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13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4.8</v>
      </c>
      <c r="AE52">
        <v>246</v>
      </c>
      <c r="AF52">
        <v>0</v>
      </c>
      <c r="AG52">
        <v>3.8010286557092718</v>
      </c>
      <c r="AH52">
        <f>4.35906263527696*1</f>
        <v>4.3590626352769597</v>
      </c>
      <c r="AI52">
        <v>1</v>
      </c>
      <c r="AJ52">
        <v>0</v>
      </c>
    </row>
    <row r="53" spans="1:36" x14ac:dyDescent="0.2">
      <c r="A53" t="s">
        <v>91</v>
      </c>
      <c r="B53" t="s">
        <v>92</v>
      </c>
      <c r="C53" s="1" t="s">
        <v>93</v>
      </c>
      <c r="D53" t="s">
        <v>3</v>
      </c>
      <c r="E53">
        <v>1</v>
      </c>
      <c r="F53">
        <v>0</v>
      </c>
      <c r="G53">
        <v>0</v>
      </c>
      <c r="H53">
        <v>0</v>
      </c>
      <c r="I53" t="s">
        <v>10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4.5999999999999996</v>
      </c>
      <c r="AE53">
        <v>95</v>
      </c>
      <c r="AF53">
        <v>5.0797887126357724</v>
      </c>
      <c r="AG53">
        <v>4.9098896127619422</v>
      </c>
      <c r="AH53">
        <f>5.80946685635633*1</f>
        <v>5.8094668563563303</v>
      </c>
      <c r="AI53">
        <v>1</v>
      </c>
      <c r="AJ53">
        <v>1</v>
      </c>
    </row>
    <row r="54" spans="1:36" hidden="1" x14ac:dyDescent="0.2">
      <c r="A54" t="s">
        <v>148</v>
      </c>
      <c r="B54" t="s">
        <v>149</v>
      </c>
      <c r="C54" t="s">
        <v>149</v>
      </c>
      <c r="D54" t="s">
        <v>4</v>
      </c>
      <c r="E54">
        <v>0</v>
      </c>
      <c r="F54">
        <v>1</v>
      </c>
      <c r="G54">
        <v>0</v>
      </c>
      <c r="H54">
        <v>0</v>
      </c>
      <c r="I54" t="s">
        <v>14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4.5999999999999996</v>
      </c>
      <c r="AE54">
        <v>268</v>
      </c>
      <c r="AF54">
        <v>2.692307692307693</v>
      </c>
      <c r="AG54">
        <v>0</v>
      </c>
      <c r="AH54">
        <f>3.348935695*1</f>
        <v>3.3489356950000002</v>
      </c>
      <c r="AI54">
        <v>1</v>
      </c>
      <c r="AJ54">
        <v>0</v>
      </c>
    </row>
    <row r="55" spans="1:36" hidden="1" x14ac:dyDescent="0.2">
      <c r="A55" t="s">
        <v>150</v>
      </c>
      <c r="B55" t="s">
        <v>151</v>
      </c>
      <c r="C55" t="s">
        <v>150</v>
      </c>
      <c r="D55" t="s">
        <v>5</v>
      </c>
      <c r="E55">
        <v>0</v>
      </c>
      <c r="F55">
        <v>0</v>
      </c>
      <c r="G55">
        <v>1</v>
      </c>
      <c r="H55">
        <v>0</v>
      </c>
      <c r="I55" t="s">
        <v>14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4.8</v>
      </c>
      <c r="AE55">
        <v>270</v>
      </c>
      <c r="AF55">
        <v>2.6590909090909078</v>
      </c>
      <c r="AG55">
        <v>0</v>
      </c>
      <c r="AH55">
        <f>3.30761765720454*1</f>
        <v>3.3076176572045402</v>
      </c>
      <c r="AI55">
        <v>1</v>
      </c>
      <c r="AJ55">
        <v>0</v>
      </c>
    </row>
    <row r="56" spans="1:36" hidden="1" x14ac:dyDescent="0.2">
      <c r="A56" t="s">
        <v>152</v>
      </c>
      <c r="B56" t="s">
        <v>153</v>
      </c>
      <c r="C56" t="s">
        <v>153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5.4</v>
      </c>
      <c r="AE56">
        <v>272</v>
      </c>
      <c r="AF56">
        <v>2.4216972950203339</v>
      </c>
      <c r="AG56">
        <v>0</v>
      </c>
      <c r="AH56">
        <f>3.01232601940345*1</f>
        <v>3.0123260194034498</v>
      </c>
      <c r="AI56">
        <v>1</v>
      </c>
      <c r="AJ56">
        <v>0</v>
      </c>
    </row>
    <row r="57" spans="1:36" hidden="1" x14ac:dyDescent="0.2">
      <c r="A57" t="s">
        <v>154</v>
      </c>
      <c r="B57" t="s">
        <v>155</v>
      </c>
      <c r="C57" t="s">
        <v>155</v>
      </c>
      <c r="D57" t="s">
        <v>5</v>
      </c>
      <c r="E57">
        <v>0</v>
      </c>
      <c r="F57">
        <v>0</v>
      </c>
      <c r="G57">
        <v>1</v>
      </c>
      <c r="H57">
        <v>0</v>
      </c>
      <c r="I57" t="s">
        <v>14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6.3</v>
      </c>
      <c r="AE57">
        <v>277</v>
      </c>
      <c r="AF57">
        <v>2.595238095238094</v>
      </c>
      <c r="AG57">
        <v>0</v>
      </c>
      <c r="AH57">
        <f>3.22819175497618*1</f>
        <v>3.2281917549761801</v>
      </c>
      <c r="AI57">
        <v>1</v>
      </c>
      <c r="AJ57">
        <v>0</v>
      </c>
    </row>
    <row r="58" spans="1:36" hidden="1" x14ac:dyDescent="0.2">
      <c r="A58" t="s">
        <v>156</v>
      </c>
      <c r="B58" t="s">
        <v>157</v>
      </c>
      <c r="C58" t="s">
        <v>158</v>
      </c>
      <c r="D58" t="s">
        <v>6</v>
      </c>
      <c r="E58">
        <v>0</v>
      </c>
      <c r="F58">
        <v>0</v>
      </c>
      <c r="G58">
        <v>0</v>
      </c>
      <c r="H58">
        <v>1</v>
      </c>
      <c r="I58" t="s">
        <v>14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7</v>
      </c>
      <c r="AE58">
        <v>278</v>
      </c>
      <c r="AF58">
        <v>4.1562500000000009</v>
      </c>
      <c r="AG58">
        <v>0</v>
      </c>
      <c r="AH58">
        <f>5.16991947915625*1</f>
        <v>5.1699194791562499</v>
      </c>
      <c r="AI58">
        <v>1</v>
      </c>
      <c r="AJ58">
        <v>0</v>
      </c>
    </row>
    <row r="59" spans="1:36" hidden="1" x14ac:dyDescent="0.2">
      <c r="A59" t="s">
        <v>159</v>
      </c>
      <c r="B59" t="s">
        <v>160</v>
      </c>
      <c r="C59" t="s">
        <v>161</v>
      </c>
      <c r="D59" t="s">
        <v>4</v>
      </c>
      <c r="E59">
        <v>0</v>
      </c>
      <c r="F59">
        <v>1</v>
      </c>
      <c r="G59">
        <v>0</v>
      </c>
      <c r="H59">
        <v>0</v>
      </c>
      <c r="I59" t="s">
        <v>14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</v>
      </c>
      <c r="AE59">
        <v>284</v>
      </c>
      <c r="AF59">
        <v>3.4285714285714279</v>
      </c>
      <c r="AG59">
        <v>0</v>
      </c>
      <c r="AH59">
        <f>4.26476708914285*1</f>
        <v>4.2647670891428504</v>
      </c>
      <c r="AI59">
        <v>1</v>
      </c>
      <c r="AJ59">
        <v>0</v>
      </c>
    </row>
    <row r="60" spans="1:36" hidden="1" x14ac:dyDescent="0.2">
      <c r="A60" t="s">
        <v>57</v>
      </c>
      <c r="B60" t="s">
        <v>58</v>
      </c>
      <c r="C60" t="s">
        <v>59</v>
      </c>
      <c r="D60" t="s">
        <v>3</v>
      </c>
      <c r="E60">
        <v>1</v>
      </c>
      <c r="F60">
        <v>0</v>
      </c>
      <c r="G60">
        <v>0</v>
      </c>
      <c r="H60">
        <v>0</v>
      </c>
      <c r="I60" t="s">
        <v>8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5.2</v>
      </c>
      <c r="AE60">
        <v>26</v>
      </c>
      <c r="AF60">
        <v>4.0162873382027087</v>
      </c>
      <c r="AG60">
        <v>5.1681121006466579</v>
      </c>
      <c r="AH60">
        <f>5.04698949750139*1</f>
        <v>5.0469894975013903</v>
      </c>
      <c r="AI60">
        <v>1</v>
      </c>
      <c r="AJ60">
        <v>0</v>
      </c>
    </row>
    <row r="61" spans="1:36" hidden="1" x14ac:dyDescent="0.2">
      <c r="A61" t="s">
        <v>164</v>
      </c>
      <c r="B61" t="s">
        <v>165</v>
      </c>
      <c r="C61" t="s">
        <v>165</v>
      </c>
      <c r="D61" t="s">
        <v>4</v>
      </c>
      <c r="E61">
        <v>0</v>
      </c>
      <c r="F61">
        <v>1</v>
      </c>
      <c r="G61">
        <v>0</v>
      </c>
      <c r="H61">
        <v>0</v>
      </c>
      <c r="I61" t="s">
        <v>15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4.7</v>
      </c>
      <c r="AE61">
        <v>316</v>
      </c>
      <c r="AF61">
        <v>3.070866141732282</v>
      </c>
      <c r="AG61">
        <v>0</v>
      </c>
      <c r="AH61">
        <f>4.05553816353543*1</f>
        <v>4.05553816353543</v>
      </c>
      <c r="AI61">
        <v>1</v>
      </c>
      <c r="AJ61">
        <v>0</v>
      </c>
    </row>
    <row r="62" spans="1:36" hidden="1" x14ac:dyDescent="0.2">
      <c r="A62" t="s">
        <v>166</v>
      </c>
      <c r="B62" t="s">
        <v>167</v>
      </c>
      <c r="C62" t="s">
        <v>168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5.4</v>
      </c>
      <c r="AE62">
        <v>317</v>
      </c>
      <c r="AF62">
        <v>2.8181818181818219</v>
      </c>
      <c r="AG62">
        <v>0</v>
      </c>
      <c r="AH62">
        <f>3.72183071091818*1</f>
        <v>3.7218307109181801</v>
      </c>
      <c r="AI62">
        <v>1</v>
      </c>
      <c r="AJ62">
        <v>0</v>
      </c>
    </row>
    <row r="63" spans="1:36" hidden="1" x14ac:dyDescent="0.2">
      <c r="A63" t="s">
        <v>169</v>
      </c>
      <c r="B63" t="s">
        <v>170</v>
      </c>
      <c r="C63" t="s">
        <v>170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15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6</v>
      </c>
      <c r="AE63">
        <v>322</v>
      </c>
      <c r="AF63">
        <v>3.8190476190476179</v>
      </c>
      <c r="AG63">
        <v>0</v>
      </c>
      <c r="AH63">
        <f>5.04362373759142*1</f>
        <v>5.0436237375914201</v>
      </c>
      <c r="AI63">
        <v>1</v>
      </c>
      <c r="AJ63">
        <v>0</v>
      </c>
    </row>
    <row r="64" spans="1:36" hidden="1" x14ac:dyDescent="0.2">
      <c r="A64" t="s">
        <v>171</v>
      </c>
      <c r="B64" t="s">
        <v>172</v>
      </c>
      <c r="C64" t="s">
        <v>172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15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4.9000000000000004</v>
      </c>
      <c r="AE64">
        <v>325</v>
      </c>
      <c r="AF64">
        <v>2.1145038167938952</v>
      </c>
      <c r="AG64">
        <v>0</v>
      </c>
      <c r="AH64">
        <f>2.7925186348603*1</f>
        <v>2.7925186348603002</v>
      </c>
      <c r="AI64">
        <v>1</v>
      </c>
      <c r="AJ64">
        <v>0</v>
      </c>
    </row>
    <row r="65" spans="1:36" hidden="1" x14ac:dyDescent="0.2">
      <c r="A65" t="s">
        <v>173</v>
      </c>
      <c r="B65" t="s">
        <v>174</v>
      </c>
      <c r="C65" t="s">
        <v>175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15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4.7</v>
      </c>
      <c r="AE65">
        <v>327</v>
      </c>
      <c r="AF65">
        <v>2.7633539917139278</v>
      </c>
      <c r="AG65">
        <v>0</v>
      </c>
      <c r="AH65">
        <f>3.64942236343521*1</f>
        <v>3.6494223634352099</v>
      </c>
      <c r="AI65">
        <v>1</v>
      </c>
      <c r="AJ65">
        <v>0</v>
      </c>
    </row>
    <row r="66" spans="1:36" x14ac:dyDescent="0.2">
      <c r="A66" t="s">
        <v>146</v>
      </c>
      <c r="B66" t="s">
        <v>147</v>
      </c>
      <c r="C66" s="1" t="s">
        <v>147</v>
      </c>
      <c r="D66" t="s">
        <v>5</v>
      </c>
      <c r="E66">
        <v>0</v>
      </c>
      <c r="F66">
        <v>0</v>
      </c>
      <c r="G66">
        <v>1</v>
      </c>
      <c r="H66">
        <v>0</v>
      </c>
      <c r="I66" t="s">
        <v>13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</v>
      </c>
      <c r="AE66">
        <v>248</v>
      </c>
      <c r="AF66">
        <v>0</v>
      </c>
      <c r="AG66">
        <v>4.8003100960095102</v>
      </c>
      <c r="AH66">
        <f>5.50504988848952*1</f>
        <v>5.5050498884895198</v>
      </c>
      <c r="AI66">
        <v>1</v>
      </c>
      <c r="AJ66">
        <v>1</v>
      </c>
    </row>
    <row r="67" spans="1:36" hidden="1" x14ac:dyDescent="0.2">
      <c r="A67" t="s">
        <v>178</v>
      </c>
      <c r="B67" t="s">
        <v>179</v>
      </c>
      <c r="C67" t="s">
        <v>179</v>
      </c>
      <c r="D67" t="s">
        <v>4</v>
      </c>
      <c r="E67">
        <v>0</v>
      </c>
      <c r="F67">
        <v>1</v>
      </c>
      <c r="G67">
        <v>0</v>
      </c>
      <c r="H67">
        <v>0</v>
      </c>
      <c r="I67" t="s">
        <v>15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4.5</v>
      </c>
      <c r="AE67">
        <v>330</v>
      </c>
      <c r="AF67">
        <v>0.81374508112720112</v>
      </c>
      <c r="AG67">
        <v>0</v>
      </c>
      <c r="AH67">
        <f>1.07467212167019*1</f>
        <v>1.07467212167019</v>
      </c>
      <c r="AI67">
        <v>1</v>
      </c>
      <c r="AJ67">
        <v>0</v>
      </c>
    </row>
    <row r="68" spans="1:36" hidden="1" x14ac:dyDescent="0.2">
      <c r="A68" t="s">
        <v>180</v>
      </c>
      <c r="B68" t="s">
        <v>181</v>
      </c>
      <c r="C68" t="s">
        <v>181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15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4.8</v>
      </c>
      <c r="AE68">
        <v>336</v>
      </c>
      <c r="AF68">
        <v>2.6257668711656428</v>
      </c>
      <c r="AG68">
        <v>0</v>
      </c>
      <c r="AH68">
        <f>3.4677179867411*1</f>
        <v>3.4677179867410999</v>
      </c>
      <c r="AI68">
        <v>1</v>
      </c>
      <c r="AJ68">
        <v>0</v>
      </c>
    </row>
    <row r="69" spans="1:36" x14ac:dyDescent="0.2">
      <c r="A69" t="s">
        <v>126</v>
      </c>
      <c r="B69" t="s">
        <v>127</v>
      </c>
      <c r="C69" s="1" t="s">
        <v>127</v>
      </c>
      <c r="D69" t="s">
        <v>6</v>
      </c>
      <c r="E69">
        <v>0</v>
      </c>
      <c r="F69">
        <v>0</v>
      </c>
      <c r="G69">
        <v>0</v>
      </c>
      <c r="H69">
        <v>1</v>
      </c>
      <c r="I69" t="s">
        <v>11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5.7</v>
      </c>
      <c r="AE69">
        <v>149</v>
      </c>
      <c r="AF69">
        <v>4.8188366296202689</v>
      </c>
      <c r="AG69">
        <v>0</v>
      </c>
      <c r="AH69">
        <f>5.4244249715271*1</f>
        <v>5.4244249715270998</v>
      </c>
      <c r="AI69">
        <v>1</v>
      </c>
      <c r="AJ69">
        <v>1</v>
      </c>
    </row>
    <row r="70" spans="1:36" hidden="1" x14ac:dyDescent="0.2">
      <c r="A70" t="s">
        <v>100</v>
      </c>
      <c r="B70" t="s">
        <v>184</v>
      </c>
      <c r="C70" t="s">
        <v>184</v>
      </c>
      <c r="D70" t="s">
        <v>6</v>
      </c>
      <c r="E70">
        <v>0</v>
      </c>
      <c r="F70">
        <v>0</v>
      </c>
      <c r="G70">
        <v>0</v>
      </c>
      <c r="H70">
        <v>1</v>
      </c>
      <c r="I70" t="s">
        <v>16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5.8</v>
      </c>
      <c r="AE70">
        <v>355</v>
      </c>
      <c r="AF70">
        <v>3.5474433440615849</v>
      </c>
      <c r="AG70">
        <v>0</v>
      </c>
      <c r="AH70">
        <f>3.98329300370572*1</f>
        <v>3.9832930037057199</v>
      </c>
      <c r="AI70">
        <v>1</v>
      </c>
      <c r="AJ70">
        <v>0</v>
      </c>
    </row>
    <row r="71" spans="1:36" hidden="1" x14ac:dyDescent="0.2">
      <c r="A71" t="s">
        <v>185</v>
      </c>
      <c r="B71" t="s">
        <v>186</v>
      </c>
      <c r="C71" t="s">
        <v>187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16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5.5</v>
      </c>
      <c r="AE71">
        <v>358</v>
      </c>
      <c r="AF71">
        <v>3.1441298763723999</v>
      </c>
      <c r="AG71">
        <v>0</v>
      </c>
      <c r="AH71">
        <f>3.53042721887623*1</f>
        <v>3.53042721887623</v>
      </c>
      <c r="AI71">
        <v>1</v>
      </c>
      <c r="AJ71">
        <v>0</v>
      </c>
    </row>
    <row r="72" spans="1:36" hidden="1" x14ac:dyDescent="0.2">
      <c r="A72" t="s">
        <v>188</v>
      </c>
      <c r="B72" t="s">
        <v>189</v>
      </c>
      <c r="C72" t="s">
        <v>190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16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4.8</v>
      </c>
      <c r="AE72">
        <v>363</v>
      </c>
      <c r="AF72">
        <v>2.2045454545454541</v>
      </c>
      <c r="AG72">
        <v>0</v>
      </c>
      <c r="AH72">
        <f>2.47540260231136*1</f>
        <v>2.4754026023113598</v>
      </c>
      <c r="AI72">
        <v>1</v>
      </c>
      <c r="AJ72">
        <v>0</v>
      </c>
    </row>
    <row r="73" spans="1:36" hidden="1" x14ac:dyDescent="0.2">
      <c r="A73" t="s">
        <v>191</v>
      </c>
      <c r="B73" t="s">
        <v>192</v>
      </c>
      <c r="C73" t="s">
        <v>192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16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5.4</v>
      </c>
      <c r="AE73">
        <v>365</v>
      </c>
      <c r="AF73">
        <v>3.7744713834865329</v>
      </c>
      <c r="AG73">
        <v>0</v>
      </c>
      <c r="AH73">
        <f>4.23821439733425*1</f>
        <v>4.2382143973342501</v>
      </c>
      <c r="AI73">
        <v>1</v>
      </c>
      <c r="AJ73">
        <v>0</v>
      </c>
    </row>
    <row r="74" spans="1:36" hidden="1" x14ac:dyDescent="0.2">
      <c r="A74" t="s">
        <v>193</v>
      </c>
      <c r="B74" t="s">
        <v>194</v>
      </c>
      <c r="C74" t="s">
        <v>194</v>
      </c>
      <c r="D74" t="s">
        <v>4</v>
      </c>
      <c r="E74">
        <v>0</v>
      </c>
      <c r="F74">
        <v>1</v>
      </c>
      <c r="G74">
        <v>0</v>
      </c>
      <c r="H74">
        <v>0</v>
      </c>
      <c r="I74" t="s">
        <v>16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4.5</v>
      </c>
      <c r="AE74">
        <v>366</v>
      </c>
      <c r="AF74">
        <v>2.7085886137588702</v>
      </c>
      <c r="AG74">
        <v>0</v>
      </c>
      <c r="AH74">
        <f>3.04137403439117*1</f>
        <v>3.0413740343911702</v>
      </c>
      <c r="AI74">
        <v>1</v>
      </c>
      <c r="AJ74">
        <v>0</v>
      </c>
    </row>
    <row r="75" spans="1:36" hidden="1" x14ac:dyDescent="0.2">
      <c r="A75" t="s">
        <v>166</v>
      </c>
      <c r="B75" t="s">
        <v>195</v>
      </c>
      <c r="C75" t="s">
        <v>195</v>
      </c>
      <c r="D75" t="s">
        <v>3</v>
      </c>
      <c r="E75">
        <v>1</v>
      </c>
      <c r="F75">
        <v>0</v>
      </c>
      <c r="G75">
        <v>0</v>
      </c>
      <c r="H75">
        <v>0</v>
      </c>
      <c r="I75" t="s">
        <v>16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4.8</v>
      </c>
      <c r="AE75">
        <v>369</v>
      </c>
      <c r="AF75">
        <v>3.6105769230769198</v>
      </c>
      <c r="AG75">
        <v>0</v>
      </c>
      <c r="AH75">
        <f>4.05418336591874*1</f>
        <v>4.0541833659187398</v>
      </c>
      <c r="AI75">
        <v>1</v>
      </c>
      <c r="AJ75">
        <v>0</v>
      </c>
    </row>
    <row r="76" spans="1:36" hidden="1" x14ac:dyDescent="0.2">
      <c r="A76" t="s">
        <v>196</v>
      </c>
      <c r="B76" t="s">
        <v>197</v>
      </c>
      <c r="C76" t="s">
        <v>197</v>
      </c>
      <c r="D76" t="s">
        <v>4</v>
      </c>
      <c r="E76">
        <v>0</v>
      </c>
      <c r="F76">
        <v>1</v>
      </c>
      <c r="G76">
        <v>0</v>
      </c>
      <c r="H76">
        <v>0</v>
      </c>
      <c r="I76" t="s">
        <v>16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4.5999999999999996</v>
      </c>
      <c r="AE76">
        <v>371</v>
      </c>
      <c r="AF76">
        <v>2.5534550563505931</v>
      </c>
      <c r="AG76">
        <v>0</v>
      </c>
      <c r="AH76">
        <f>2.86718029711872*1</f>
        <v>2.8671802971187201</v>
      </c>
      <c r="AI76">
        <v>1</v>
      </c>
      <c r="AJ76">
        <v>0</v>
      </c>
    </row>
    <row r="77" spans="1:36" hidden="1" x14ac:dyDescent="0.2">
      <c r="A77" t="s">
        <v>198</v>
      </c>
      <c r="B77" t="s">
        <v>199</v>
      </c>
      <c r="C77" t="s">
        <v>199</v>
      </c>
      <c r="D77" t="s">
        <v>4</v>
      </c>
      <c r="E77">
        <v>0</v>
      </c>
      <c r="F77">
        <v>1</v>
      </c>
      <c r="G77">
        <v>0</v>
      </c>
      <c r="H77">
        <v>0</v>
      </c>
      <c r="I77" t="s">
        <v>16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4.4000000000000004</v>
      </c>
      <c r="AE77">
        <v>374</v>
      </c>
      <c r="AF77">
        <v>2.4083333333333341</v>
      </c>
      <c r="AG77">
        <v>0</v>
      </c>
      <c r="AH77">
        <f>2.7042284786075*1</f>
        <v>2.7042284786074999</v>
      </c>
      <c r="AI77">
        <v>1</v>
      </c>
      <c r="AJ77">
        <v>0</v>
      </c>
    </row>
    <row r="78" spans="1:36" hidden="1" x14ac:dyDescent="0.2">
      <c r="A78" t="s">
        <v>200</v>
      </c>
      <c r="B78" t="s">
        <v>201</v>
      </c>
      <c r="C78" t="s">
        <v>201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16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5.5</v>
      </c>
      <c r="AE78">
        <v>380</v>
      </c>
      <c r="AF78">
        <v>3.7984496124031022</v>
      </c>
      <c r="AG78">
        <v>0</v>
      </c>
      <c r="AH78">
        <f>4.26513866425581*1</f>
        <v>4.2651386642558098</v>
      </c>
      <c r="AI78">
        <v>1</v>
      </c>
      <c r="AJ78">
        <v>0</v>
      </c>
    </row>
    <row r="79" spans="1:36" hidden="1" x14ac:dyDescent="0.2">
      <c r="A79" t="s">
        <v>202</v>
      </c>
      <c r="B79" t="s">
        <v>203</v>
      </c>
      <c r="C79" t="s">
        <v>203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17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5.3</v>
      </c>
      <c r="AE79">
        <v>387</v>
      </c>
      <c r="AF79">
        <v>2.9932647541344268</v>
      </c>
      <c r="AG79">
        <v>2.7535743018480692</v>
      </c>
      <c r="AH79">
        <f>3.2043633814744*1</f>
        <v>3.2043633814743999</v>
      </c>
      <c r="AI79">
        <v>1</v>
      </c>
      <c r="AJ79">
        <v>0</v>
      </c>
    </row>
    <row r="80" spans="1:36" hidden="1" x14ac:dyDescent="0.2">
      <c r="A80" t="s">
        <v>204</v>
      </c>
      <c r="B80" t="s">
        <v>205</v>
      </c>
      <c r="C80" t="s">
        <v>204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17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5.3</v>
      </c>
      <c r="AE80">
        <v>388</v>
      </c>
      <c r="AF80">
        <v>3.6086956521739131</v>
      </c>
      <c r="AG80">
        <v>3.9182616888328532</v>
      </c>
      <c r="AH80">
        <f>4.11277338761789*1</f>
        <v>4.1127733876178896</v>
      </c>
      <c r="AI80">
        <v>1</v>
      </c>
      <c r="AJ80">
        <v>0</v>
      </c>
    </row>
    <row r="81" spans="1:36" x14ac:dyDescent="0.2">
      <c r="A81" t="s">
        <v>53</v>
      </c>
      <c r="B81" t="s">
        <v>54</v>
      </c>
      <c r="C81" s="1" t="s">
        <v>54</v>
      </c>
      <c r="D81" t="s">
        <v>4</v>
      </c>
      <c r="E81">
        <v>0</v>
      </c>
      <c r="F81">
        <v>1</v>
      </c>
      <c r="G81">
        <v>0</v>
      </c>
      <c r="H81">
        <v>0</v>
      </c>
      <c r="I81" t="s">
        <v>8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6.1</v>
      </c>
      <c r="AE81">
        <v>23</v>
      </c>
      <c r="AF81">
        <v>4.5211267605633818</v>
      </c>
      <c r="AG81">
        <v>4.6979893107069124</v>
      </c>
      <c r="AH81">
        <f>5.40535389453377*1</f>
        <v>5.4053538945337696</v>
      </c>
      <c r="AI81">
        <v>1</v>
      </c>
      <c r="AJ81">
        <v>1</v>
      </c>
    </row>
    <row r="82" spans="1:36" hidden="1" x14ac:dyDescent="0.2">
      <c r="A82" t="s">
        <v>208</v>
      </c>
      <c r="B82" t="s">
        <v>209</v>
      </c>
      <c r="C82" t="s">
        <v>210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17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</v>
      </c>
      <c r="AE82">
        <v>401</v>
      </c>
      <c r="AF82">
        <v>2.3829131240306749</v>
      </c>
      <c r="AG82">
        <v>2.4030341345631738</v>
      </c>
      <c r="AH82">
        <f>2.63892251027731*1</f>
        <v>2.6389225102773102</v>
      </c>
      <c r="AI82">
        <v>1</v>
      </c>
      <c r="AJ82">
        <v>0</v>
      </c>
    </row>
    <row r="83" spans="1:36" hidden="1" x14ac:dyDescent="0.2">
      <c r="A83" t="s">
        <v>211</v>
      </c>
      <c r="B83" t="s">
        <v>212</v>
      </c>
      <c r="C83" t="s">
        <v>212</v>
      </c>
      <c r="D83" t="s">
        <v>4</v>
      </c>
      <c r="E83">
        <v>0</v>
      </c>
      <c r="F83">
        <v>1</v>
      </c>
      <c r="G83">
        <v>0</v>
      </c>
      <c r="H83">
        <v>0</v>
      </c>
      <c r="I83" t="s">
        <v>17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4.5</v>
      </c>
      <c r="AE83">
        <v>404</v>
      </c>
      <c r="AF83">
        <v>2.5625</v>
      </c>
      <c r="AG83">
        <v>3.2340165787708131</v>
      </c>
      <c r="AH83">
        <f>3.10878751032274*1</f>
        <v>3.10878751032274</v>
      </c>
      <c r="AI83">
        <v>1</v>
      </c>
      <c r="AJ83">
        <v>0</v>
      </c>
    </row>
    <row r="84" spans="1:36" hidden="1" x14ac:dyDescent="0.2">
      <c r="A84" t="s">
        <v>213</v>
      </c>
      <c r="B84" t="s">
        <v>214</v>
      </c>
      <c r="C84" t="s">
        <v>213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17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5.3</v>
      </c>
      <c r="AE84">
        <v>411</v>
      </c>
      <c r="AF84">
        <v>3.578947368421054</v>
      </c>
      <c r="AG84">
        <v>6.6062024602404552</v>
      </c>
      <c r="AH84">
        <f>5.21314540126182*1</f>
        <v>5.2131454012618201</v>
      </c>
      <c r="AI84">
        <v>1</v>
      </c>
      <c r="AJ84">
        <v>0</v>
      </c>
    </row>
    <row r="85" spans="1:36" hidden="1" x14ac:dyDescent="0.2">
      <c r="A85" t="s">
        <v>215</v>
      </c>
      <c r="B85" t="s">
        <v>216</v>
      </c>
      <c r="C85" t="s">
        <v>216</v>
      </c>
      <c r="D85" t="s">
        <v>4</v>
      </c>
      <c r="E85">
        <v>0</v>
      </c>
      <c r="F85">
        <v>1</v>
      </c>
      <c r="G85">
        <v>0</v>
      </c>
      <c r="H85">
        <v>0</v>
      </c>
      <c r="I85" t="s">
        <v>17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4.4000000000000004</v>
      </c>
      <c r="AE85">
        <v>412</v>
      </c>
      <c r="AF85">
        <v>2.3142673852040221</v>
      </c>
      <c r="AG85">
        <v>1.899680508380498</v>
      </c>
      <c r="AH85">
        <f>2.38188064807383*1</f>
        <v>2.3818806480738299</v>
      </c>
      <c r="AI85">
        <v>1</v>
      </c>
      <c r="AJ85">
        <v>0</v>
      </c>
    </row>
    <row r="86" spans="1:36" hidden="1" x14ac:dyDescent="0.2">
      <c r="A86" t="s">
        <v>217</v>
      </c>
      <c r="B86" t="s">
        <v>218</v>
      </c>
      <c r="C86" t="s">
        <v>218</v>
      </c>
      <c r="D86" t="s">
        <v>4</v>
      </c>
      <c r="E86">
        <v>0</v>
      </c>
      <c r="F86">
        <v>1</v>
      </c>
      <c r="G86">
        <v>0</v>
      </c>
      <c r="H86">
        <v>0</v>
      </c>
      <c r="I86" t="s">
        <v>17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4.5</v>
      </c>
      <c r="AE86">
        <v>418</v>
      </c>
      <c r="AF86">
        <v>2.3694016115884211</v>
      </c>
      <c r="AG86">
        <v>2.9022516549950339</v>
      </c>
      <c r="AH86">
        <f>2.83780274392861*1</f>
        <v>2.8378027439286102</v>
      </c>
      <c r="AI86">
        <v>1</v>
      </c>
      <c r="AJ86">
        <v>0</v>
      </c>
    </row>
    <row r="87" spans="1:36" hidden="1" x14ac:dyDescent="0.2">
      <c r="A87" t="s">
        <v>219</v>
      </c>
      <c r="B87" t="s">
        <v>220</v>
      </c>
      <c r="C87" t="s">
        <v>221</v>
      </c>
      <c r="D87" t="s">
        <v>3</v>
      </c>
      <c r="E87">
        <v>1</v>
      </c>
      <c r="F87">
        <v>0</v>
      </c>
      <c r="G87">
        <v>0</v>
      </c>
      <c r="H87">
        <v>0</v>
      </c>
      <c r="I87" t="s">
        <v>18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5.7</v>
      </c>
      <c r="AE87">
        <v>426</v>
      </c>
      <c r="AF87">
        <v>3.910584334094926</v>
      </c>
      <c r="AG87">
        <v>4.2477031717134617</v>
      </c>
      <c r="AH87">
        <f>3.61706255728653*1</f>
        <v>3.61706255728653</v>
      </c>
      <c r="AI87">
        <v>1</v>
      </c>
      <c r="AJ87">
        <v>0</v>
      </c>
    </row>
    <row r="88" spans="1:36" hidden="1" x14ac:dyDescent="0.2">
      <c r="A88" t="s">
        <v>222</v>
      </c>
      <c r="B88" t="s">
        <v>223</v>
      </c>
      <c r="C88" t="s">
        <v>223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18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4.8</v>
      </c>
      <c r="AE88">
        <v>430</v>
      </c>
      <c r="AF88">
        <v>2.136749882363393</v>
      </c>
      <c r="AG88">
        <v>1.777843432249373</v>
      </c>
      <c r="AH88">
        <f>1.70485602700596*1</f>
        <v>1.7048560270059601</v>
      </c>
      <c r="AI88">
        <v>1</v>
      </c>
      <c r="AJ88">
        <v>0</v>
      </c>
    </row>
    <row r="89" spans="1:36" hidden="1" x14ac:dyDescent="0.2">
      <c r="A89" t="s">
        <v>224</v>
      </c>
      <c r="B89" t="s">
        <v>225</v>
      </c>
      <c r="C89" t="s">
        <v>225</v>
      </c>
      <c r="D89" t="s">
        <v>6</v>
      </c>
      <c r="E89">
        <v>0</v>
      </c>
      <c r="F89">
        <v>0</v>
      </c>
      <c r="G89">
        <v>0</v>
      </c>
      <c r="H89">
        <v>1</v>
      </c>
      <c r="I89" t="s">
        <v>18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7.1</v>
      </c>
      <c r="AE89">
        <v>432</v>
      </c>
      <c r="AF89">
        <v>3.333333333333333</v>
      </c>
      <c r="AG89">
        <v>4.9789735000228559</v>
      </c>
      <c r="AH89">
        <f>3.76217783951278*1</f>
        <v>3.7621778395127801</v>
      </c>
      <c r="AI89">
        <v>1</v>
      </c>
      <c r="AJ89">
        <v>0</v>
      </c>
    </row>
    <row r="90" spans="1:36" hidden="1" x14ac:dyDescent="0.2">
      <c r="A90" t="s">
        <v>226</v>
      </c>
      <c r="B90" t="s">
        <v>227</v>
      </c>
      <c r="C90" t="s">
        <v>228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18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7.6</v>
      </c>
      <c r="AE90">
        <v>438</v>
      </c>
      <c r="AF90">
        <v>3.683333333333334</v>
      </c>
      <c r="AG90">
        <v>3.5591058052695579</v>
      </c>
      <c r="AH90">
        <f>3.18602433764557*1</f>
        <v>3.1860243376455699</v>
      </c>
      <c r="AI90">
        <v>1</v>
      </c>
      <c r="AJ90">
        <v>0</v>
      </c>
    </row>
    <row r="91" spans="1:36" x14ac:dyDescent="0.2">
      <c r="A91" t="s">
        <v>78</v>
      </c>
      <c r="B91" t="s">
        <v>79</v>
      </c>
      <c r="C91" s="1" t="s">
        <v>79</v>
      </c>
      <c r="D91" t="s">
        <v>6</v>
      </c>
      <c r="E91">
        <v>0</v>
      </c>
      <c r="F91">
        <v>0</v>
      </c>
      <c r="G91">
        <v>0</v>
      </c>
      <c r="H91">
        <v>1</v>
      </c>
      <c r="I91" t="s">
        <v>9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8.9</v>
      </c>
      <c r="AE91">
        <v>64</v>
      </c>
      <c r="AF91">
        <v>5.7972727932312349</v>
      </c>
      <c r="AG91">
        <v>4.8193669967406034</v>
      </c>
      <c r="AH91">
        <f>5.2078938366373*1</f>
        <v>5.2078938366373002</v>
      </c>
      <c r="AI91">
        <v>1</v>
      </c>
      <c r="AJ91">
        <v>1</v>
      </c>
    </row>
    <row r="92" spans="1:36" hidden="1" x14ac:dyDescent="0.2">
      <c r="A92" t="s">
        <v>47</v>
      </c>
      <c r="B92" t="s">
        <v>48</v>
      </c>
      <c r="C92" t="s">
        <v>48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8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8.8000000000000007</v>
      </c>
      <c r="AE92">
        <v>17</v>
      </c>
      <c r="AF92">
        <v>5.721012450494583</v>
      </c>
      <c r="AG92">
        <v>4.1670732753531716</v>
      </c>
      <c r="AH92">
        <f>4.8012540452107*0.75</f>
        <v>3.6009405339080249</v>
      </c>
      <c r="AI92">
        <v>0.75</v>
      </c>
      <c r="AJ92">
        <v>0</v>
      </c>
    </row>
    <row r="93" spans="1:36" x14ac:dyDescent="0.2">
      <c r="A93" t="s">
        <v>206</v>
      </c>
      <c r="B93" t="s">
        <v>207</v>
      </c>
      <c r="C93" s="1" t="s">
        <v>207</v>
      </c>
      <c r="D93" t="s">
        <v>3</v>
      </c>
      <c r="E93">
        <v>1</v>
      </c>
      <c r="F93">
        <v>0</v>
      </c>
      <c r="G93">
        <v>0</v>
      </c>
      <c r="H93">
        <v>0</v>
      </c>
      <c r="I93" t="s">
        <v>17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4.8</v>
      </c>
      <c r="AE93">
        <v>396</v>
      </c>
      <c r="AF93">
        <v>3.997459918163548</v>
      </c>
      <c r="AG93">
        <v>5.7653188478071051</v>
      </c>
      <c r="AH93">
        <f>5.15000931454487*1</f>
        <v>5.15000931454487</v>
      </c>
      <c r="AI93">
        <v>1</v>
      </c>
      <c r="AJ93">
        <v>1</v>
      </c>
    </row>
    <row r="94" spans="1:36" hidden="1" x14ac:dyDescent="0.2">
      <c r="A94" t="s">
        <v>235</v>
      </c>
      <c r="B94" t="s">
        <v>236</v>
      </c>
      <c r="C94" t="s">
        <v>236</v>
      </c>
      <c r="D94" t="s">
        <v>6</v>
      </c>
      <c r="E94">
        <v>0</v>
      </c>
      <c r="F94">
        <v>0</v>
      </c>
      <c r="G94">
        <v>0</v>
      </c>
      <c r="H94">
        <v>1</v>
      </c>
      <c r="I94" t="s">
        <v>19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4.8</v>
      </c>
      <c r="AE94">
        <v>482</v>
      </c>
      <c r="AF94">
        <v>2.6923076923076921</v>
      </c>
      <c r="AG94">
        <v>0</v>
      </c>
      <c r="AH94">
        <f>2.88064761492307*1</f>
        <v>2.88064761492307</v>
      </c>
      <c r="AI94">
        <v>1</v>
      </c>
      <c r="AJ94">
        <v>0</v>
      </c>
    </row>
    <row r="95" spans="1:36" hidden="1" x14ac:dyDescent="0.2">
      <c r="A95" t="s">
        <v>237</v>
      </c>
      <c r="B95" t="s">
        <v>238</v>
      </c>
      <c r="C95" t="s">
        <v>238</v>
      </c>
      <c r="D95" t="s">
        <v>3</v>
      </c>
      <c r="E95">
        <v>1</v>
      </c>
      <c r="F95">
        <v>0</v>
      </c>
      <c r="G95">
        <v>0</v>
      </c>
      <c r="H95">
        <v>0</v>
      </c>
      <c r="I95" t="s">
        <v>19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4.5</v>
      </c>
      <c r="AE95">
        <v>501</v>
      </c>
      <c r="AF95">
        <v>2.2352941176470589</v>
      </c>
      <c r="AG95">
        <v>0</v>
      </c>
      <c r="AH95">
        <f>2.39166373407058*1</f>
        <v>2.3916637340705802</v>
      </c>
      <c r="AI95">
        <v>1</v>
      </c>
      <c r="AJ95">
        <v>0</v>
      </c>
    </row>
    <row r="96" spans="1:36" hidden="1" x14ac:dyDescent="0.2">
      <c r="A96" t="s">
        <v>239</v>
      </c>
      <c r="B96" t="s">
        <v>240</v>
      </c>
      <c r="C96" t="s">
        <v>240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19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4.5</v>
      </c>
      <c r="AE96">
        <v>502</v>
      </c>
      <c r="AF96">
        <v>2.7565404893270951</v>
      </c>
      <c r="AG96">
        <v>0</v>
      </c>
      <c r="AH96">
        <f>2.94937380623562*1</f>
        <v>2.9493738062356201</v>
      </c>
      <c r="AI96">
        <v>1</v>
      </c>
      <c r="AJ96">
        <v>0</v>
      </c>
    </row>
    <row r="97" spans="1:36" hidden="1" x14ac:dyDescent="0.2">
      <c r="A97" t="s">
        <v>241</v>
      </c>
      <c r="B97" t="s">
        <v>242</v>
      </c>
      <c r="C97" t="s">
        <v>242</v>
      </c>
      <c r="D97" t="s">
        <v>4</v>
      </c>
      <c r="E97">
        <v>0</v>
      </c>
      <c r="F97">
        <v>1</v>
      </c>
      <c r="G97">
        <v>0</v>
      </c>
      <c r="H97">
        <v>0</v>
      </c>
      <c r="I97" t="s">
        <v>20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</v>
      </c>
      <c r="AE97">
        <v>515</v>
      </c>
      <c r="AF97">
        <v>3.3962264150943389</v>
      </c>
      <c r="AG97">
        <v>3.5935365951443781</v>
      </c>
      <c r="AH97">
        <f>3.93062314200844*1</f>
        <v>3.9306231420084399</v>
      </c>
      <c r="AI97">
        <v>1</v>
      </c>
      <c r="AJ97">
        <v>0</v>
      </c>
    </row>
    <row r="98" spans="1:36" hidden="1" x14ac:dyDescent="0.2">
      <c r="A98" t="s">
        <v>110</v>
      </c>
      <c r="B98" t="s">
        <v>243</v>
      </c>
      <c r="C98" t="s">
        <v>243</v>
      </c>
      <c r="D98" t="s">
        <v>4</v>
      </c>
      <c r="E98">
        <v>0</v>
      </c>
      <c r="F98">
        <v>1</v>
      </c>
      <c r="G98">
        <v>0</v>
      </c>
      <c r="H98">
        <v>0</v>
      </c>
      <c r="I98" t="s">
        <v>20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</v>
      </c>
      <c r="AE98">
        <v>516</v>
      </c>
      <c r="AF98">
        <v>3.2867132867132871</v>
      </c>
      <c r="AG98">
        <v>3.3834436169931612</v>
      </c>
      <c r="AH98">
        <f>3.80159128385605*1</f>
        <v>3.8015912838560499</v>
      </c>
      <c r="AI98">
        <v>1</v>
      </c>
      <c r="AJ98">
        <v>0</v>
      </c>
    </row>
    <row r="99" spans="1:36" hidden="1" x14ac:dyDescent="0.2">
      <c r="A99" t="s">
        <v>244</v>
      </c>
      <c r="B99" t="s">
        <v>245</v>
      </c>
      <c r="C99" t="s">
        <v>246</v>
      </c>
      <c r="D99" t="s">
        <v>6</v>
      </c>
      <c r="E99">
        <v>0</v>
      </c>
      <c r="F99">
        <v>0</v>
      </c>
      <c r="G99">
        <v>0</v>
      </c>
      <c r="H99">
        <v>1</v>
      </c>
      <c r="I99" t="s">
        <v>20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6.4</v>
      </c>
      <c r="AE99">
        <v>517</v>
      </c>
      <c r="AF99">
        <v>3.7142857142857131</v>
      </c>
      <c r="AG99">
        <v>4.8652224374617461</v>
      </c>
      <c r="AH99">
        <f>4.32142680237875*1</f>
        <v>4.3214268023787499</v>
      </c>
      <c r="AI99">
        <v>1</v>
      </c>
      <c r="AJ99">
        <v>0</v>
      </c>
    </row>
    <row r="100" spans="1:36" hidden="1" x14ac:dyDescent="0.2">
      <c r="A100" t="s">
        <v>247</v>
      </c>
      <c r="B100" t="s">
        <v>248</v>
      </c>
      <c r="C100" t="s">
        <v>247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20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6.2</v>
      </c>
      <c r="AE100">
        <v>518</v>
      </c>
      <c r="AF100">
        <v>3.6229508196721318</v>
      </c>
      <c r="AG100">
        <v>4.2354533998560298</v>
      </c>
      <c r="AH100">
        <f>4.20278040333335*1</f>
        <v>4.2027804033333496</v>
      </c>
      <c r="AI100">
        <v>1</v>
      </c>
      <c r="AJ100">
        <v>0</v>
      </c>
    </row>
    <row r="101" spans="1:36" hidden="1" x14ac:dyDescent="0.2">
      <c r="A101" t="s">
        <v>249</v>
      </c>
      <c r="B101" t="s">
        <v>250</v>
      </c>
      <c r="C101" t="s">
        <v>249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20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5.5</v>
      </c>
      <c r="AE101">
        <v>524</v>
      </c>
      <c r="AF101">
        <v>3.0588235294117641</v>
      </c>
      <c r="AG101">
        <v>2.8506875145689579</v>
      </c>
      <c r="AH101">
        <f>3.53076475086701*1</f>
        <v>3.5307647508670099</v>
      </c>
      <c r="AI101">
        <v>1</v>
      </c>
      <c r="AJ101">
        <v>0</v>
      </c>
    </row>
    <row r="102" spans="1:36" hidden="1" x14ac:dyDescent="0.2">
      <c r="A102" t="s">
        <v>251</v>
      </c>
      <c r="B102" t="s">
        <v>252</v>
      </c>
      <c r="C102" t="s">
        <v>253</v>
      </c>
      <c r="D102" t="s">
        <v>3</v>
      </c>
      <c r="E102">
        <v>1</v>
      </c>
      <c r="F102">
        <v>0</v>
      </c>
      <c r="G102">
        <v>0</v>
      </c>
      <c r="H102">
        <v>0</v>
      </c>
      <c r="I102" t="s">
        <v>20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5.5</v>
      </c>
      <c r="AE102">
        <v>525</v>
      </c>
      <c r="AF102">
        <v>3.9004975124378132</v>
      </c>
      <c r="AG102">
        <v>4.6661442856790289</v>
      </c>
      <c r="AH102">
        <f>4.52732481417161*1</f>
        <v>4.5273248141716103</v>
      </c>
      <c r="AI102">
        <v>1</v>
      </c>
      <c r="AJ102">
        <v>0</v>
      </c>
    </row>
    <row r="103" spans="1:36" hidden="1" x14ac:dyDescent="0.2">
      <c r="A103" t="s">
        <v>260</v>
      </c>
      <c r="B103" t="s">
        <v>261</v>
      </c>
      <c r="C103" t="s">
        <v>261</v>
      </c>
      <c r="D103" t="s">
        <v>4</v>
      </c>
      <c r="E103">
        <v>0</v>
      </c>
      <c r="F103">
        <v>1</v>
      </c>
      <c r="G103">
        <v>0</v>
      </c>
      <c r="H103">
        <v>0</v>
      </c>
      <c r="I103" t="s">
        <v>20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5.5</v>
      </c>
      <c r="AE103">
        <v>539</v>
      </c>
      <c r="AF103">
        <v>3.8421052631578929</v>
      </c>
      <c r="AG103">
        <v>5.0043522928415571</v>
      </c>
      <c r="AH103">
        <f>4.46945305700632*1</f>
        <v>4.4694530570063202</v>
      </c>
      <c r="AI103">
        <v>1</v>
      </c>
      <c r="AJ103">
        <v>0</v>
      </c>
    </row>
    <row r="104" spans="1:36" hidden="1" x14ac:dyDescent="0.2">
      <c r="A104" t="s">
        <v>279</v>
      </c>
      <c r="B104" t="s">
        <v>280</v>
      </c>
      <c r="C104" t="s">
        <v>280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6.4</v>
      </c>
      <c r="AE104">
        <v>604</v>
      </c>
      <c r="AF104">
        <v>6.9500566050242716</v>
      </c>
      <c r="AG104">
        <v>2.434745655405814</v>
      </c>
      <c r="AH104">
        <f>4.2520247393343*0.75</f>
        <v>3.1890185545007252</v>
      </c>
      <c r="AI104">
        <v>0.75</v>
      </c>
      <c r="AJ104">
        <v>0</v>
      </c>
    </row>
    <row r="105" spans="1:36" hidden="1" x14ac:dyDescent="0.2">
      <c r="A105" t="s">
        <v>258</v>
      </c>
      <c r="B105" t="s">
        <v>259</v>
      </c>
      <c r="C105" t="s">
        <v>258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5.6</v>
      </c>
      <c r="AE105">
        <v>535</v>
      </c>
      <c r="AF105">
        <v>4.8827132993791569</v>
      </c>
      <c r="AG105">
        <v>3.1527124629761678</v>
      </c>
      <c r="AH105">
        <f>5.60213363486142*1</f>
        <v>5.6021336348614197</v>
      </c>
      <c r="AI105">
        <v>1</v>
      </c>
      <c r="AJ105">
        <v>0</v>
      </c>
    </row>
    <row r="106" spans="1:36" hidden="1" x14ac:dyDescent="0.2">
      <c r="A106" t="s">
        <v>277</v>
      </c>
      <c r="B106" t="s">
        <v>278</v>
      </c>
      <c r="C106" t="s">
        <v>278</v>
      </c>
      <c r="D106" t="s">
        <v>4</v>
      </c>
      <c r="E106">
        <v>0</v>
      </c>
      <c r="F106">
        <v>1</v>
      </c>
      <c r="G106">
        <v>0</v>
      </c>
      <c r="H106">
        <v>0</v>
      </c>
      <c r="I106" t="s">
        <v>22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4.7</v>
      </c>
      <c r="AE106">
        <v>599</v>
      </c>
      <c r="AF106">
        <v>3.0218487201140949</v>
      </c>
      <c r="AG106">
        <v>3.5119654386312051</v>
      </c>
      <c r="AH106">
        <f>4.17279336997931*1</f>
        <v>4.1727933699793098</v>
      </c>
      <c r="AI106">
        <v>1</v>
      </c>
      <c r="AJ106">
        <v>0</v>
      </c>
    </row>
    <row r="107" spans="1:36" hidden="1" x14ac:dyDescent="0.2">
      <c r="A107" t="s">
        <v>262</v>
      </c>
      <c r="B107" t="s">
        <v>263</v>
      </c>
      <c r="C107" t="s">
        <v>263</v>
      </c>
      <c r="D107" t="s">
        <v>4</v>
      </c>
      <c r="E107">
        <v>0</v>
      </c>
      <c r="F107">
        <v>1</v>
      </c>
      <c r="G107">
        <v>0</v>
      </c>
      <c r="H107">
        <v>0</v>
      </c>
      <c r="I107" t="s">
        <v>20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5.2</v>
      </c>
      <c r="AE107">
        <v>541</v>
      </c>
      <c r="AF107">
        <v>3.8461538461538449</v>
      </c>
      <c r="AG107">
        <v>3.8618143006546468</v>
      </c>
      <c r="AH107">
        <f>4.44630331577804*1</f>
        <v>4.4463033157780396</v>
      </c>
      <c r="AI107">
        <v>1</v>
      </c>
      <c r="AJ107">
        <v>0</v>
      </c>
    </row>
    <row r="108" spans="1:36" hidden="1" x14ac:dyDescent="0.2">
      <c r="A108" t="s">
        <v>264</v>
      </c>
      <c r="B108" t="s">
        <v>265</v>
      </c>
      <c r="C108" t="s">
        <v>265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20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6.4</v>
      </c>
      <c r="AE108">
        <v>542</v>
      </c>
      <c r="AF108">
        <v>3.4615384615384608</v>
      </c>
      <c r="AG108">
        <v>5.6694272237338001</v>
      </c>
      <c r="AH108">
        <f>4.05492020787068*1</f>
        <v>4.0549202078706799</v>
      </c>
      <c r="AI108">
        <v>1</v>
      </c>
      <c r="AJ108">
        <v>0</v>
      </c>
    </row>
    <row r="109" spans="1:36" hidden="1" x14ac:dyDescent="0.2">
      <c r="A109" t="s">
        <v>266</v>
      </c>
      <c r="B109" t="s">
        <v>267</v>
      </c>
      <c r="C109" t="s">
        <v>268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8.5</v>
      </c>
      <c r="AE109">
        <v>550</v>
      </c>
      <c r="AF109">
        <v>4.6515151515151523</v>
      </c>
      <c r="AG109">
        <v>3.9903721847918541</v>
      </c>
      <c r="AH109">
        <f>4.44716387882181*1</f>
        <v>4.4471638788218097</v>
      </c>
      <c r="AI109">
        <v>1</v>
      </c>
      <c r="AJ109">
        <v>0</v>
      </c>
    </row>
    <row r="110" spans="1:36" hidden="1" x14ac:dyDescent="0.2">
      <c r="A110" t="s">
        <v>269</v>
      </c>
      <c r="B110" t="s">
        <v>270</v>
      </c>
      <c r="C110" t="s">
        <v>270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21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</v>
      </c>
      <c r="AE110">
        <v>558</v>
      </c>
      <c r="AF110">
        <v>5.0516695590086043</v>
      </c>
      <c r="AG110">
        <v>3.5143512855333752</v>
      </c>
      <c r="AH110">
        <f>4.09394440384773*1</f>
        <v>4.09394440384773</v>
      </c>
      <c r="AI110">
        <v>1</v>
      </c>
      <c r="AJ110">
        <v>0</v>
      </c>
    </row>
    <row r="111" spans="1:36" hidden="1" x14ac:dyDescent="0.2">
      <c r="A111" t="s">
        <v>271</v>
      </c>
      <c r="B111" t="s">
        <v>272</v>
      </c>
      <c r="C111" t="s">
        <v>272</v>
      </c>
      <c r="D111" t="s">
        <v>3</v>
      </c>
      <c r="E111">
        <v>1</v>
      </c>
      <c r="F111">
        <v>0</v>
      </c>
      <c r="G111">
        <v>0</v>
      </c>
      <c r="H111">
        <v>0</v>
      </c>
      <c r="I111" t="s">
        <v>21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</v>
      </c>
      <c r="AE111">
        <v>576</v>
      </c>
      <c r="AF111">
        <v>3.416666666666667</v>
      </c>
      <c r="AG111">
        <v>3.3165303527671579</v>
      </c>
      <c r="AH111">
        <f>3.61276618970437*1</f>
        <v>3.6127661897043701</v>
      </c>
      <c r="AI111">
        <v>1</v>
      </c>
      <c r="AJ111">
        <v>0</v>
      </c>
    </row>
    <row r="112" spans="1:36" hidden="1" x14ac:dyDescent="0.2">
      <c r="A112" t="s">
        <v>273</v>
      </c>
      <c r="B112" t="s">
        <v>274</v>
      </c>
      <c r="C112" t="s">
        <v>274</v>
      </c>
      <c r="D112" t="s">
        <v>6</v>
      </c>
      <c r="E112">
        <v>0</v>
      </c>
      <c r="F112">
        <v>0</v>
      </c>
      <c r="G112">
        <v>0</v>
      </c>
      <c r="H112">
        <v>1</v>
      </c>
      <c r="I112" t="s">
        <v>21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7.1</v>
      </c>
      <c r="AE112">
        <v>577</v>
      </c>
      <c r="AF112">
        <v>4.8038322476482964</v>
      </c>
      <c r="AG112">
        <v>1.4853408935426029</v>
      </c>
      <c r="AH112">
        <f>2.22572791705453*1</f>
        <v>2.2257279170545301</v>
      </c>
      <c r="AI112">
        <v>1</v>
      </c>
      <c r="AJ112">
        <v>0</v>
      </c>
    </row>
    <row r="113" spans="1:36" hidden="1" x14ac:dyDescent="0.2">
      <c r="A113" t="s">
        <v>266</v>
      </c>
      <c r="B113" t="s">
        <v>275</v>
      </c>
      <c r="C113" t="s">
        <v>276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22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5.8</v>
      </c>
      <c r="AE113">
        <v>598</v>
      </c>
      <c r="AF113">
        <v>2.8053749770226721</v>
      </c>
      <c r="AG113">
        <v>3.6307768660425159</v>
      </c>
      <c r="AH113">
        <f>4.13170320491655*1</f>
        <v>4.1317032049165503</v>
      </c>
      <c r="AI113">
        <v>1</v>
      </c>
      <c r="AJ113">
        <v>0</v>
      </c>
    </row>
    <row r="114" spans="1:36" hidden="1" x14ac:dyDescent="0.2">
      <c r="A114" t="s">
        <v>49</v>
      </c>
      <c r="B114" t="s">
        <v>50</v>
      </c>
      <c r="C114" t="s">
        <v>50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8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5.9</v>
      </c>
      <c r="AE114">
        <v>18</v>
      </c>
      <c r="AF114">
        <v>2.6184943718769662</v>
      </c>
      <c r="AG114">
        <v>6.7154852488031898</v>
      </c>
      <c r="AH114">
        <f>4.11532389771433*1</f>
        <v>4.1153238977143296</v>
      </c>
      <c r="AI114">
        <v>1</v>
      </c>
      <c r="AJ114">
        <v>0</v>
      </c>
    </row>
    <row r="115" spans="1:36" hidden="1" x14ac:dyDescent="0.2">
      <c r="A115" t="s">
        <v>231</v>
      </c>
      <c r="B115" t="s">
        <v>232</v>
      </c>
      <c r="C115" t="s">
        <v>231</v>
      </c>
      <c r="D115" t="s">
        <v>4</v>
      </c>
      <c r="E115">
        <v>0</v>
      </c>
      <c r="F115">
        <v>1</v>
      </c>
      <c r="G115">
        <v>0</v>
      </c>
      <c r="H115">
        <v>0</v>
      </c>
      <c r="I115" t="s">
        <v>18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6.6</v>
      </c>
      <c r="AE115">
        <v>448</v>
      </c>
      <c r="AF115">
        <v>3.6436026993829218</v>
      </c>
      <c r="AG115">
        <v>5.0676040845997159</v>
      </c>
      <c r="AH115">
        <f>3.92498476190565*1</f>
        <v>3.9249847619056499</v>
      </c>
      <c r="AI115">
        <v>1</v>
      </c>
      <c r="AJ115">
        <v>0</v>
      </c>
    </row>
    <row r="116" spans="1:36" hidden="1" x14ac:dyDescent="0.2">
      <c r="A116" t="s">
        <v>233</v>
      </c>
      <c r="B116" t="s">
        <v>234</v>
      </c>
      <c r="C116" t="s">
        <v>234</v>
      </c>
      <c r="D116" t="s">
        <v>6</v>
      </c>
      <c r="E116">
        <v>0</v>
      </c>
      <c r="F116">
        <v>0</v>
      </c>
      <c r="G116">
        <v>0</v>
      </c>
      <c r="H116">
        <v>1</v>
      </c>
      <c r="I116" t="s">
        <v>19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4.7</v>
      </c>
      <c r="AE116">
        <v>480</v>
      </c>
      <c r="AF116">
        <v>3.617647058823529</v>
      </c>
      <c r="AG116">
        <v>0</v>
      </c>
      <c r="AH116">
        <f>3.87071893803529*1</f>
        <v>3.87071893803529</v>
      </c>
      <c r="AI116">
        <v>1</v>
      </c>
      <c r="AJ116">
        <v>0</v>
      </c>
    </row>
    <row r="117" spans="1:36" hidden="1" x14ac:dyDescent="0.2">
      <c r="A117" t="s">
        <v>283</v>
      </c>
      <c r="B117" t="s">
        <v>284</v>
      </c>
      <c r="C117" t="s">
        <v>284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4.8</v>
      </c>
      <c r="AE117">
        <v>613</v>
      </c>
      <c r="AF117">
        <v>2.868869644265287</v>
      </c>
      <c r="AG117">
        <v>2.1918340584757181</v>
      </c>
      <c r="AH117">
        <f>3.16636304235091*1</f>
        <v>3.1663630423509099</v>
      </c>
      <c r="AI117">
        <v>1</v>
      </c>
      <c r="AJ117">
        <v>0</v>
      </c>
    </row>
    <row r="118" spans="1:36" x14ac:dyDescent="0.2">
      <c r="A118" t="s">
        <v>325</v>
      </c>
      <c r="B118" t="s">
        <v>326</v>
      </c>
      <c r="C118" s="1" t="s">
        <v>326</v>
      </c>
      <c r="D118" t="s">
        <v>4</v>
      </c>
      <c r="E118">
        <v>0</v>
      </c>
      <c r="F118">
        <v>1</v>
      </c>
      <c r="G118">
        <v>0</v>
      </c>
      <c r="H118">
        <v>0</v>
      </c>
      <c r="I118" t="s">
        <v>27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4.5</v>
      </c>
      <c r="AE118">
        <v>832</v>
      </c>
      <c r="AF118">
        <v>0</v>
      </c>
      <c r="AG118">
        <v>3.6829856905313338</v>
      </c>
      <c r="AH118">
        <f>4.53595213868904*1</f>
        <v>4.5359521386890398</v>
      </c>
      <c r="AI118">
        <v>1</v>
      </c>
      <c r="AJ118">
        <v>1</v>
      </c>
    </row>
    <row r="119" spans="1:36" hidden="1" x14ac:dyDescent="0.2">
      <c r="A119" t="s">
        <v>287</v>
      </c>
      <c r="B119" t="s">
        <v>288</v>
      </c>
      <c r="C119" t="s">
        <v>288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4.7</v>
      </c>
      <c r="AE119">
        <v>639</v>
      </c>
      <c r="AF119">
        <v>3.3113869538689311</v>
      </c>
      <c r="AG119">
        <v>0</v>
      </c>
      <c r="AH119">
        <f>4.22007814641788*1</f>
        <v>4.2200781464178796</v>
      </c>
      <c r="AI119">
        <v>1</v>
      </c>
      <c r="AJ119">
        <v>0</v>
      </c>
    </row>
    <row r="120" spans="1:36" hidden="1" x14ac:dyDescent="0.2">
      <c r="A120" t="s">
        <v>279</v>
      </c>
      <c r="B120" t="s">
        <v>289</v>
      </c>
      <c r="C120" t="s">
        <v>289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23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4.9000000000000004</v>
      </c>
      <c r="AE120">
        <v>640</v>
      </c>
      <c r="AF120">
        <v>2.4695321567608852</v>
      </c>
      <c r="AG120">
        <v>0</v>
      </c>
      <c r="AH120">
        <f>3.14720654269852*1</f>
        <v>3.1472065426985201</v>
      </c>
      <c r="AI120">
        <v>1</v>
      </c>
      <c r="AJ120">
        <v>0</v>
      </c>
    </row>
    <row r="121" spans="1:36" hidden="1" x14ac:dyDescent="0.2">
      <c r="A121" t="s">
        <v>290</v>
      </c>
      <c r="B121" t="s">
        <v>291</v>
      </c>
      <c r="C121" t="s">
        <v>290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5.3</v>
      </c>
      <c r="AE121">
        <v>649</v>
      </c>
      <c r="AF121">
        <v>2.3993663147481028</v>
      </c>
      <c r="AG121">
        <v>0</v>
      </c>
      <c r="AH121">
        <f>3.05778620595497*1</f>
        <v>3.0577862059549701</v>
      </c>
      <c r="AI121">
        <v>1</v>
      </c>
      <c r="AJ121">
        <v>0</v>
      </c>
    </row>
    <row r="122" spans="1:36" x14ac:dyDescent="0.2">
      <c r="A122" t="s">
        <v>302</v>
      </c>
      <c r="B122" t="s">
        <v>303</v>
      </c>
      <c r="C122" s="1" t="s">
        <v>304</v>
      </c>
      <c r="D122" t="s">
        <v>4</v>
      </c>
      <c r="E122">
        <v>0</v>
      </c>
      <c r="F122">
        <v>1</v>
      </c>
      <c r="G122">
        <v>0</v>
      </c>
      <c r="H122">
        <v>0</v>
      </c>
      <c r="I122" t="s">
        <v>25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5.9</v>
      </c>
      <c r="AE122">
        <v>754</v>
      </c>
      <c r="AF122">
        <v>3.6382978723404249</v>
      </c>
      <c r="AG122">
        <v>4.4995261398386921</v>
      </c>
      <c r="AH122">
        <f>4.37761236006499*1</f>
        <v>4.3776123600649903</v>
      </c>
      <c r="AI122">
        <v>1</v>
      </c>
      <c r="AJ122">
        <v>1</v>
      </c>
    </row>
    <row r="123" spans="1:36" hidden="1" x14ac:dyDescent="0.2">
      <c r="A123" t="s">
        <v>294</v>
      </c>
      <c r="B123" t="s">
        <v>295</v>
      </c>
      <c r="C123" t="s">
        <v>295</v>
      </c>
      <c r="D123" t="s">
        <v>6</v>
      </c>
      <c r="E123">
        <v>0</v>
      </c>
      <c r="F123">
        <v>0</v>
      </c>
      <c r="G123">
        <v>0</v>
      </c>
      <c r="H123">
        <v>1</v>
      </c>
      <c r="I123" t="s">
        <v>23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4.7</v>
      </c>
      <c r="AE123">
        <v>674</v>
      </c>
      <c r="AF123">
        <v>3.2096122312257749</v>
      </c>
      <c r="AG123">
        <v>0</v>
      </c>
      <c r="AH123">
        <f>4.09037500725974*1</f>
        <v>4.0903750072597402</v>
      </c>
      <c r="AI123">
        <v>1</v>
      </c>
      <c r="AJ123">
        <v>0</v>
      </c>
    </row>
    <row r="124" spans="1:36" hidden="1" x14ac:dyDescent="0.2">
      <c r="A124" t="s">
        <v>296</v>
      </c>
      <c r="B124" t="s">
        <v>297</v>
      </c>
      <c r="C124" t="s">
        <v>297</v>
      </c>
      <c r="D124" t="s">
        <v>3</v>
      </c>
      <c r="E124">
        <v>1</v>
      </c>
      <c r="F124">
        <v>0</v>
      </c>
      <c r="G124">
        <v>0</v>
      </c>
      <c r="H124">
        <v>0</v>
      </c>
      <c r="I124" t="s">
        <v>24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4.4000000000000004</v>
      </c>
      <c r="AE124">
        <v>707</v>
      </c>
      <c r="AF124">
        <v>0</v>
      </c>
      <c r="AG124">
        <v>2.7155061446848539</v>
      </c>
      <c r="AH124">
        <f>3.39543139792401*1</f>
        <v>3.3954313979240101</v>
      </c>
      <c r="AI124">
        <v>1</v>
      </c>
      <c r="AJ124">
        <v>0</v>
      </c>
    </row>
    <row r="125" spans="1:36" hidden="1" x14ac:dyDescent="0.2">
      <c r="A125" t="s">
        <v>298</v>
      </c>
      <c r="B125" t="s">
        <v>299</v>
      </c>
      <c r="C125" t="s">
        <v>299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24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4.9000000000000004</v>
      </c>
      <c r="AE125">
        <v>725</v>
      </c>
      <c r="AF125">
        <v>0</v>
      </c>
      <c r="AG125">
        <v>2.845573110879704</v>
      </c>
      <c r="AH125">
        <f>3.55806533698364*1</f>
        <v>3.5580653369836401</v>
      </c>
      <c r="AI125">
        <v>1</v>
      </c>
      <c r="AJ125">
        <v>0</v>
      </c>
    </row>
    <row r="126" spans="1:36" hidden="1" x14ac:dyDescent="0.2">
      <c r="A126" t="s">
        <v>300</v>
      </c>
      <c r="B126" t="s">
        <v>301</v>
      </c>
      <c r="C126" t="s">
        <v>301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25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v>5.8</v>
      </c>
      <c r="AE126">
        <v>738</v>
      </c>
      <c r="AF126">
        <v>3.3913043478260869</v>
      </c>
      <c r="AG126">
        <v>3.6017947833166559</v>
      </c>
      <c r="AH126">
        <f>3.65688607016867*1</f>
        <v>3.6568860701686701</v>
      </c>
      <c r="AI126">
        <v>1</v>
      </c>
      <c r="AJ126">
        <v>0</v>
      </c>
    </row>
    <row r="127" spans="1:36" x14ac:dyDescent="0.2">
      <c r="A127" t="s">
        <v>182</v>
      </c>
      <c r="B127" t="s">
        <v>183</v>
      </c>
      <c r="C127" s="1" t="s">
        <v>183</v>
      </c>
      <c r="D127" t="s">
        <v>4</v>
      </c>
      <c r="E127">
        <v>0</v>
      </c>
      <c r="F127">
        <v>1</v>
      </c>
      <c r="G127">
        <v>0</v>
      </c>
      <c r="H127">
        <v>0</v>
      </c>
      <c r="I127" t="s">
        <v>16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4.5</v>
      </c>
      <c r="AE127">
        <v>354</v>
      </c>
      <c r="AF127">
        <v>3.1627906976744189</v>
      </c>
      <c r="AG127">
        <v>0</v>
      </c>
      <c r="AH127">
        <f>3.55138076533953*1</f>
        <v>3.55138076533953</v>
      </c>
      <c r="AI127">
        <v>1</v>
      </c>
      <c r="AJ127">
        <v>1</v>
      </c>
    </row>
    <row r="128" spans="1:36" hidden="1" x14ac:dyDescent="0.2">
      <c r="A128" t="s">
        <v>305</v>
      </c>
      <c r="B128" t="s">
        <v>306</v>
      </c>
      <c r="C128" t="s">
        <v>305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0</v>
      </c>
      <c r="AD128">
        <v>6.8</v>
      </c>
      <c r="AE128">
        <v>756</v>
      </c>
      <c r="AF128">
        <v>3.9055555555555519</v>
      </c>
      <c r="AG128">
        <v>4.2141400927860548</v>
      </c>
      <c r="AH128">
        <f>4.25873291830636*1</f>
        <v>4.25873291830636</v>
      </c>
      <c r="AI128">
        <v>1</v>
      </c>
      <c r="AJ128">
        <v>0</v>
      </c>
    </row>
    <row r="129" spans="1:36" hidden="1" x14ac:dyDescent="0.2">
      <c r="A129" t="s">
        <v>307</v>
      </c>
      <c r="B129" t="s">
        <v>308</v>
      </c>
      <c r="C129" t="s">
        <v>307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10</v>
      </c>
      <c r="AE129">
        <v>763</v>
      </c>
      <c r="AF129">
        <v>5.7606911372456429</v>
      </c>
      <c r="AG129">
        <v>5.6125532556483284</v>
      </c>
      <c r="AH129">
        <f>5.85019810821084*1</f>
        <v>5.8501981082108401</v>
      </c>
      <c r="AI129">
        <v>1</v>
      </c>
      <c r="AJ129">
        <v>0</v>
      </c>
    </row>
    <row r="130" spans="1:36" hidden="1" x14ac:dyDescent="0.2">
      <c r="A130" t="s">
        <v>309</v>
      </c>
      <c r="B130" t="s">
        <v>310</v>
      </c>
      <c r="C130" t="s">
        <v>310</v>
      </c>
      <c r="D130" t="s">
        <v>6</v>
      </c>
      <c r="E130">
        <v>0</v>
      </c>
      <c r="F130">
        <v>0</v>
      </c>
      <c r="G130">
        <v>0</v>
      </c>
      <c r="H130">
        <v>1</v>
      </c>
      <c r="I130" t="s">
        <v>26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5.7</v>
      </c>
      <c r="AE130">
        <v>783</v>
      </c>
      <c r="AF130">
        <v>3.6011560693641682</v>
      </c>
      <c r="AG130">
        <v>0</v>
      </c>
      <c r="AH130">
        <f>3.47886770081694*1</f>
        <v>3.4788677008169402</v>
      </c>
      <c r="AI130">
        <v>1</v>
      </c>
      <c r="AJ130">
        <v>0</v>
      </c>
    </row>
    <row r="131" spans="1:36" hidden="1" x14ac:dyDescent="0.2">
      <c r="A131" t="s">
        <v>311</v>
      </c>
      <c r="B131" t="s">
        <v>312</v>
      </c>
      <c r="C131" t="s">
        <v>312</v>
      </c>
      <c r="D131" t="s">
        <v>3</v>
      </c>
      <c r="E131">
        <v>1</v>
      </c>
      <c r="F131">
        <v>0</v>
      </c>
      <c r="G131">
        <v>0</v>
      </c>
      <c r="H131">
        <v>0</v>
      </c>
      <c r="I131" t="s">
        <v>26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0</v>
      </c>
      <c r="AD131">
        <v>4.2</v>
      </c>
      <c r="AE131">
        <v>784</v>
      </c>
      <c r="AF131">
        <v>3.333333333333333</v>
      </c>
      <c r="AG131">
        <v>0</v>
      </c>
      <c r="AH131">
        <f>3.22013971236666*1</f>
        <v>3.22013971236666</v>
      </c>
      <c r="AI131">
        <v>1</v>
      </c>
      <c r="AJ131">
        <v>0</v>
      </c>
    </row>
    <row r="132" spans="1:36" hidden="1" x14ac:dyDescent="0.2">
      <c r="A132" t="s">
        <v>313</v>
      </c>
      <c r="B132" t="s">
        <v>314</v>
      </c>
      <c r="C132" t="s">
        <v>314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7.6</v>
      </c>
      <c r="AE132">
        <v>786</v>
      </c>
      <c r="AF132">
        <v>2.634718102494221</v>
      </c>
      <c r="AG132">
        <v>0</v>
      </c>
      <c r="AH132">
        <f>2.54524811781989*1</f>
        <v>2.5452481178198898</v>
      </c>
      <c r="AI132">
        <v>1</v>
      </c>
      <c r="AJ132">
        <v>0</v>
      </c>
    </row>
    <row r="133" spans="1:36" hidden="1" x14ac:dyDescent="0.2">
      <c r="A133" t="s">
        <v>315</v>
      </c>
      <c r="B133" t="s">
        <v>316</v>
      </c>
      <c r="C133" t="s">
        <v>316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4.9000000000000004</v>
      </c>
      <c r="AE133">
        <v>801</v>
      </c>
      <c r="AF133">
        <v>3.166666666666667</v>
      </c>
      <c r="AG133">
        <v>0</v>
      </c>
      <c r="AH133">
        <f>3.05913272674833*1</f>
        <v>3.0591327267483299</v>
      </c>
      <c r="AI133">
        <v>1</v>
      </c>
      <c r="AJ133">
        <v>0</v>
      </c>
    </row>
    <row r="134" spans="1:36" hidden="1" x14ac:dyDescent="0.2">
      <c r="A134" t="s">
        <v>196</v>
      </c>
      <c r="B134" t="s">
        <v>317</v>
      </c>
      <c r="C134" t="s">
        <v>317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26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5.7</v>
      </c>
      <c r="AE134">
        <v>807</v>
      </c>
      <c r="AF134">
        <v>4.4546284290612341</v>
      </c>
      <c r="AG134">
        <v>0</v>
      </c>
      <c r="AH134">
        <f>4.30335777247728*1</f>
        <v>4.3033577724772796</v>
      </c>
      <c r="AI134">
        <v>1</v>
      </c>
      <c r="AJ134">
        <v>0</v>
      </c>
    </row>
    <row r="135" spans="1:36" hidden="1" x14ac:dyDescent="0.2">
      <c r="A135" t="s">
        <v>318</v>
      </c>
      <c r="B135" t="s">
        <v>319</v>
      </c>
      <c r="C135" t="s">
        <v>319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6.7</v>
      </c>
      <c r="AE135">
        <v>809</v>
      </c>
      <c r="AF135">
        <v>4.0625000000000009</v>
      </c>
      <c r="AG135">
        <v>0</v>
      </c>
      <c r="AH135">
        <f>3.92454527444687*1</f>
        <v>3.9245452744468698</v>
      </c>
      <c r="AI135">
        <v>1</v>
      </c>
      <c r="AJ135">
        <v>0</v>
      </c>
    </row>
    <row r="136" spans="1:36" hidden="1" x14ac:dyDescent="0.2">
      <c r="A136" t="s">
        <v>320</v>
      </c>
      <c r="B136" t="s">
        <v>321</v>
      </c>
      <c r="C136" t="s">
        <v>321</v>
      </c>
      <c r="D136" t="s">
        <v>4</v>
      </c>
      <c r="E136">
        <v>0</v>
      </c>
      <c r="F136">
        <v>1</v>
      </c>
      <c r="G136">
        <v>0</v>
      </c>
      <c r="H136">
        <v>0</v>
      </c>
      <c r="I136" t="s">
        <v>27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4.5</v>
      </c>
      <c r="AE136">
        <v>822</v>
      </c>
      <c r="AF136">
        <v>0</v>
      </c>
      <c r="AG136">
        <v>1.4733744708170029</v>
      </c>
      <c r="AH136">
        <f>1.81460278251259*1</f>
        <v>1.8146027825125901</v>
      </c>
      <c r="AI136">
        <v>1</v>
      </c>
      <c r="AJ136">
        <v>0</v>
      </c>
    </row>
    <row r="137" spans="1:36" hidden="1" x14ac:dyDescent="0.2">
      <c r="A137" t="s">
        <v>322</v>
      </c>
      <c r="B137" t="s">
        <v>323</v>
      </c>
      <c r="C137" t="s">
        <v>324</v>
      </c>
      <c r="D137" t="s">
        <v>5</v>
      </c>
      <c r="E137">
        <v>0</v>
      </c>
      <c r="F137">
        <v>0</v>
      </c>
      <c r="G137">
        <v>1</v>
      </c>
      <c r="H137">
        <v>0</v>
      </c>
      <c r="I137" t="s">
        <v>27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5.4</v>
      </c>
      <c r="AE137">
        <v>827</v>
      </c>
      <c r="AF137">
        <v>0</v>
      </c>
      <c r="AG137">
        <v>3.0764823475187399</v>
      </c>
      <c r="AH137">
        <f>3.78898476845656*1</f>
        <v>3.7889847684565598</v>
      </c>
      <c r="AI137">
        <v>1</v>
      </c>
      <c r="AJ137">
        <v>0</v>
      </c>
    </row>
    <row r="138" spans="1:36" hidden="1" x14ac:dyDescent="0.2">
      <c r="A138" t="s">
        <v>330</v>
      </c>
      <c r="B138" t="s">
        <v>331</v>
      </c>
      <c r="C138" t="s">
        <v>332</v>
      </c>
      <c r="D138" t="s">
        <v>3</v>
      </c>
      <c r="E138">
        <v>1</v>
      </c>
      <c r="F138">
        <v>0</v>
      </c>
      <c r="G138">
        <v>0</v>
      </c>
      <c r="H138">
        <v>0</v>
      </c>
      <c r="I138" t="s">
        <v>27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5</v>
      </c>
      <c r="AE138">
        <v>837</v>
      </c>
      <c r="AF138">
        <v>0</v>
      </c>
      <c r="AG138">
        <v>2.9630120921211329</v>
      </c>
      <c r="AH138">
        <f>3.64923520359358*1</f>
        <v>3.6492352035935798</v>
      </c>
      <c r="AI138">
        <v>1</v>
      </c>
      <c r="AJ138">
        <v>0</v>
      </c>
    </row>
    <row r="139" spans="1:36" hidden="1" x14ac:dyDescent="0.2">
      <c r="A139" t="s">
        <v>327</v>
      </c>
      <c r="B139" t="s">
        <v>328</v>
      </c>
      <c r="C139" t="s">
        <v>329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27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4.9000000000000004</v>
      </c>
      <c r="AE139">
        <v>834</v>
      </c>
      <c r="AF139">
        <v>0</v>
      </c>
      <c r="AG139">
        <v>2.0690416824567088</v>
      </c>
      <c r="AH139">
        <f>2.54822441170612*1</f>
        <v>2.5482244117061201</v>
      </c>
      <c r="AI139">
        <v>1</v>
      </c>
      <c r="AJ139">
        <v>0</v>
      </c>
    </row>
    <row r="140" spans="1:36" hidden="1" x14ac:dyDescent="0.2">
      <c r="A140" t="s">
        <v>129</v>
      </c>
      <c r="B140" t="s">
        <v>130</v>
      </c>
      <c r="C140" t="s">
        <v>131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12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6.1</v>
      </c>
      <c r="AE140">
        <v>175</v>
      </c>
      <c r="AF140">
        <v>3.5810055865921808</v>
      </c>
      <c r="AG140">
        <v>3.1546163258208302</v>
      </c>
      <c r="AH140">
        <f>2.58134314238769*1</f>
        <v>2.58134314238769</v>
      </c>
      <c r="AI140">
        <v>1</v>
      </c>
      <c r="AJ140">
        <v>0</v>
      </c>
    </row>
    <row r="141" spans="1:36" hidden="1" x14ac:dyDescent="0.2">
      <c r="A141" t="s">
        <v>333</v>
      </c>
      <c r="B141" t="s">
        <v>334</v>
      </c>
      <c r="C141" t="s">
        <v>335</v>
      </c>
      <c r="D141" t="s">
        <v>4</v>
      </c>
      <c r="E141">
        <v>0</v>
      </c>
      <c r="F141">
        <v>1</v>
      </c>
      <c r="G141">
        <v>0</v>
      </c>
      <c r="H141">
        <v>0</v>
      </c>
      <c r="I141" t="s">
        <v>27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4.4000000000000004</v>
      </c>
      <c r="AE141">
        <v>841</v>
      </c>
      <c r="AF141">
        <v>0</v>
      </c>
      <c r="AG141">
        <v>2.3786750334115472</v>
      </c>
      <c r="AH141">
        <f>2.92956775064004*1</f>
        <v>2.9295677506400399</v>
      </c>
      <c r="AI141">
        <v>1</v>
      </c>
      <c r="AJ141">
        <v>0</v>
      </c>
    </row>
    <row r="142" spans="1:36" hidden="1" x14ac:dyDescent="0.2">
      <c r="A142" t="s">
        <v>336</v>
      </c>
      <c r="B142" t="s">
        <v>337</v>
      </c>
      <c r="C142" t="s">
        <v>338</v>
      </c>
      <c r="D142" t="s">
        <v>6</v>
      </c>
      <c r="E142">
        <v>0</v>
      </c>
      <c r="F142">
        <v>0</v>
      </c>
      <c r="G142">
        <v>0</v>
      </c>
      <c r="H142">
        <v>1</v>
      </c>
      <c r="I142" t="s">
        <v>27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</v>
      </c>
      <c r="AD142">
        <v>5.5</v>
      </c>
      <c r="AE142">
        <v>843</v>
      </c>
      <c r="AF142">
        <v>0</v>
      </c>
      <c r="AG142">
        <v>2.5675276710187411</v>
      </c>
      <c r="AH142">
        <f>3.16215799057872*1</f>
        <v>3.16215799057872</v>
      </c>
      <c r="AI142">
        <v>1</v>
      </c>
      <c r="AJ142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2024-05-18T15:15:00Z</dcterms:created>
  <dcterms:modified xsi:type="dcterms:W3CDTF">2024-05-18T15:21:01Z</dcterms:modified>
</cp:coreProperties>
</file>