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4792A9C4-DB4E-C945-8211-52BB1487F9D5}" xr6:coauthVersionLast="47" xr6:coauthVersionMax="47" xr10:uidLastSave="{00000000-0000-0000-0000-000000000000}"/>
  <bookViews>
    <workbookView xWindow="7420" yWindow="150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F9" i="20"/>
  <c r="D9" i="20"/>
  <c r="F8" i="20"/>
  <c r="D8" i="20"/>
  <c r="F7" i="20"/>
  <c r="D7" i="20"/>
  <c r="F6" i="20"/>
  <c r="D6" i="20"/>
  <c r="I5" i="20"/>
  <c r="F5" i="20"/>
  <c r="D5" i="20"/>
  <c r="F4" i="20"/>
  <c r="D4" i="20"/>
  <c r="F3" i="20"/>
  <c r="D3" i="20"/>
  <c r="D2" i="20"/>
  <c r="F2" i="20" s="1"/>
  <c r="I7" i="20" s="1"/>
  <c r="D11" i="19"/>
  <c r="F11" i="19" s="1"/>
  <c r="F10" i="19"/>
  <c r="D10" i="19"/>
  <c r="F9" i="19"/>
  <c r="D9" i="19"/>
  <c r="F8" i="19"/>
  <c r="D8" i="19"/>
  <c r="F7" i="19"/>
  <c r="D7" i="19"/>
  <c r="D6" i="19"/>
  <c r="F6" i="19" s="1"/>
  <c r="F5" i="19"/>
  <c r="D5" i="19"/>
  <c r="I5" i="19" s="1"/>
  <c r="F4" i="19"/>
  <c r="D4" i="19"/>
  <c r="D3" i="19"/>
  <c r="F3" i="19" s="1"/>
  <c r="D2" i="19"/>
  <c r="F2" i="19" s="1"/>
  <c r="D11" i="18"/>
  <c r="F11" i="18" s="1"/>
  <c r="F10" i="18"/>
  <c r="D10" i="18"/>
  <c r="F9" i="18"/>
  <c r="D9" i="18"/>
  <c r="D8" i="18"/>
  <c r="F8" i="18" s="1"/>
  <c r="D7" i="18"/>
  <c r="F7" i="18" s="1"/>
  <c r="F6" i="18"/>
  <c r="D6" i="18"/>
  <c r="F5" i="18"/>
  <c r="D5" i="18"/>
  <c r="I5" i="18" s="1"/>
  <c r="D4" i="18"/>
  <c r="F4" i="18" s="1"/>
  <c r="D3" i="18"/>
  <c r="F3" i="18" s="1"/>
  <c r="D2" i="18"/>
  <c r="F2" i="18" s="1"/>
  <c r="D6" i="17"/>
  <c r="F6" i="17" s="1"/>
  <c r="D5" i="17"/>
  <c r="I5" i="17" s="1"/>
  <c r="D4" i="17"/>
  <c r="F4" i="17" s="1"/>
  <c r="F3" i="17"/>
  <c r="D3" i="17"/>
  <c r="D2" i="17"/>
  <c r="F2" i="17" s="1"/>
  <c r="D5" i="16"/>
  <c r="I5" i="16" s="1"/>
  <c r="D4" i="16"/>
  <c r="F4" i="16" s="1"/>
  <c r="F3" i="16"/>
  <c r="D3" i="16"/>
  <c r="D2" i="16"/>
  <c r="F2" i="16" s="1"/>
  <c r="F7" i="15"/>
  <c r="D7" i="15"/>
  <c r="F6" i="15"/>
  <c r="D6" i="15"/>
  <c r="F5" i="15"/>
  <c r="D5" i="15"/>
  <c r="I5" i="15" s="1"/>
  <c r="D4" i="15"/>
  <c r="F4" i="15" s="1"/>
  <c r="F3" i="15"/>
  <c r="D3" i="15"/>
  <c r="D2" i="15"/>
  <c r="F2" i="15" s="1"/>
  <c r="I7" i="15" s="1"/>
  <c r="D10" i="14"/>
  <c r="F10" i="14" s="1"/>
  <c r="F9" i="14"/>
  <c r="D9" i="14"/>
  <c r="D8" i="14"/>
  <c r="F8" i="14" s="1"/>
  <c r="F7" i="14"/>
  <c r="D7" i="14"/>
  <c r="F6" i="14"/>
  <c r="D6" i="14"/>
  <c r="F5" i="14"/>
  <c r="D5" i="14"/>
  <c r="I5" i="14" s="1"/>
  <c r="D4" i="14"/>
  <c r="F4" i="14" s="1"/>
  <c r="F3" i="14"/>
  <c r="D3" i="14"/>
  <c r="D2" i="14"/>
  <c r="F2" i="14" s="1"/>
  <c r="D11" i="13"/>
  <c r="F11" i="13" s="1"/>
  <c r="D10" i="13"/>
  <c r="F10" i="13" s="1"/>
  <c r="D9" i="13"/>
  <c r="F9" i="13" s="1"/>
  <c r="F8" i="13"/>
  <c r="D8" i="13"/>
  <c r="F7" i="13"/>
  <c r="D7" i="13"/>
  <c r="D6" i="13"/>
  <c r="F6" i="13" s="1"/>
  <c r="I5" i="13"/>
  <c r="D5" i="13"/>
  <c r="F5" i="13" s="1"/>
  <c r="F4" i="13"/>
  <c r="D4" i="13"/>
  <c r="D3" i="13"/>
  <c r="F3" i="13" s="1"/>
  <c r="D2" i="13"/>
  <c r="F2" i="13" s="1"/>
  <c r="D8" i="12"/>
  <c r="F8" i="12" s="1"/>
  <c r="D7" i="12"/>
  <c r="F7" i="12" s="1"/>
  <c r="F6" i="12"/>
  <c r="D6" i="12"/>
  <c r="D5" i="12"/>
  <c r="F5" i="12" s="1"/>
  <c r="D4" i="12"/>
  <c r="F4" i="12" s="1"/>
  <c r="D3" i="12"/>
  <c r="F3" i="12" s="1"/>
  <c r="F2" i="12"/>
  <c r="I7" i="12" s="1"/>
  <c r="D2" i="12"/>
  <c r="D15" i="11"/>
  <c r="F15" i="11" s="1"/>
  <c r="D14" i="11"/>
  <c r="F14" i="11" s="1"/>
  <c r="D13" i="11"/>
  <c r="F13" i="11" s="1"/>
  <c r="D12" i="11"/>
  <c r="F12" i="11" s="1"/>
  <c r="F11" i="11"/>
  <c r="D11" i="11"/>
  <c r="D10" i="11"/>
  <c r="F10" i="11" s="1"/>
  <c r="D9" i="11"/>
  <c r="F9" i="11" s="1"/>
  <c r="F8" i="11"/>
  <c r="D8" i="11"/>
  <c r="D7" i="11"/>
  <c r="F7" i="11" s="1"/>
  <c r="F6" i="11"/>
  <c r="D6" i="11"/>
  <c r="D5" i="11"/>
  <c r="F5" i="11" s="1"/>
  <c r="D4" i="11"/>
  <c r="F4" i="11" s="1"/>
  <c r="D3" i="11"/>
  <c r="F3" i="11" s="1"/>
  <c r="F2" i="11"/>
  <c r="D2" i="11"/>
  <c r="D12" i="10"/>
  <c r="F12" i="10" s="1"/>
  <c r="D11" i="10"/>
  <c r="F11" i="10" s="1"/>
  <c r="F10" i="10"/>
  <c r="D10" i="10"/>
  <c r="D9" i="10"/>
  <c r="F9" i="10" s="1"/>
  <c r="F8" i="10"/>
  <c r="D8" i="10"/>
  <c r="F7" i="10"/>
  <c r="D7" i="10"/>
  <c r="D6" i="10"/>
  <c r="F6" i="10" s="1"/>
  <c r="I5" i="10"/>
  <c r="D5" i="10"/>
  <c r="F5" i="10" s="1"/>
  <c r="F4" i="10"/>
  <c r="D4" i="10"/>
  <c r="D3" i="10"/>
  <c r="F3" i="10" s="1"/>
  <c r="D2" i="10"/>
  <c r="F2" i="10" s="1"/>
  <c r="D10" i="9"/>
  <c r="F10" i="9" s="1"/>
  <c r="D9" i="9"/>
  <c r="F9" i="9" s="1"/>
  <c r="F8" i="9"/>
  <c r="D8" i="9"/>
  <c r="F7" i="9"/>
  <c r="D7" i="9"/>
  <c r="D6" i="9"/>
  <c r="F6" i="9" s="1"/>
  <c r="I5" i="9"/>
  <c r="D5" i="9"/>
  <c r="F5" i="9" s="1"/>
  <c r="F4" i="9"/>
  <c r="D4" i="9"/>
  <c r="D3" i="9"/>
  <c r="F3" i="9" s="1"/>
  <c r="D2" i="9"/>
  <c r="F2" i="9" s="1"/>
  <c r="D8" i="8"/>
  <c r="F8" i="8" s="1"/>
  <c r="D7" i="8"/>
  <c r="F7" i="8" s="1"/>
  <c r="F6" i="8"/>
  <c r="D6" i="8"/>
  <c r="D5" i="8"/>
  <c r="F5" i="8" s="1"/>
  <c r="D4" i="8"/>
  <c r="F4" i="8" s="1"/>
  <c r="D3" i="8"/>
  <c r="F3" i="8" s="1"/>
  <c r="F2" i="8"/>
  <c r="D2" i="8"/>
  <c r="D9" i="7"/>
  <c r="F9" i="7" s="1"/>
  <c r="D8" i="7"/>
  <c r="F8" i="7" s="1"/>
  <c r="F7" i="7"/>
  <c r="D7" i="7"/>
  <c r="D6" i="7"/>
  <c r="F6" i="7" s="1"/>
  <c r="D5" i="7"/>
  <c r="I5" i="7" s="1"/>
  <c r="D4" i="7"/>
  <c r="F4" i="7" s="1"/>
  <c r="D3" i="7"/>
  <c r="F3" i="7" s="1"/>
  <c r="D2" i="7"/>
  <c r="F2" i="7" s="1"/>
  <c r="I5" i="6"/>
  <c r="D4" i="6"/>
  <c r="F4" i="6" s="1"/>
  <c r="D3" i="6"/>
  <c r="F3" i="6" s="1"/>
  <c r="D2" i="6"/>
  <c r="F2" i="6" s="1"/>
  <c r="I7" i="6" s="1"/>
  <c r="D9" i="5"/>
  <c r="F9" i="5" s="1"/>
  <c r="F8" i="5"/>
  <c r="D8" i="5"/>
  <c r="F7" i="5"/>
  <c r="D7" i="5"/>
  <c r="D6" i="5"/>
  <c r="F6" i="5" s="1"/>
  <c r="I5" i="5"/>
  <c r="D5" i="5"/>
  <c r="F5" i="5" s="1"/>
  <c r="F4" i="5"/>
  <c r="D4" i="5"/>
  <c r="D3" i="5"/>
  <c r="F3" i="5" s="1"/>
  <c r="D2" i="5"/>
  <c r="F2" i="5" s="1"/>
  <c r="F7" i="4"/>
  <c r="D7" i="4"/>
  <c r="D6" i="4"/>
  <c r="F6" i="4" s="1"/>
  <c r="D5" i="4"/>
  <c r="I5" i="4" s="1"/>
  <c r="D4" i="4"/>
  <c r="F4" i="4" s="1"/>
  <c r="F3" i="4"/>
  <c r="D3" i="4"/>
  <c r="D2" i="4"/>
  <c r="F2" i="4" s="1"/>
  <c r="D10" i="3"/>
  <c r="F10" i="3" s="1"/>
  <c r="D9" i="3"/>
  <c r="F9" i="3" s="1"/>
  <c r="D8" i="3"/>
  <c r="F8" i="3" s="1"/>
  <c r="F7" i="3"/>
  <c r="D7" i="3"/>
  <c r="D6" i="3"/>
  <c r="F6" i="3" s="1"/>
  <c r="I5" i="3"/>
  <c r="D5" i="3"/>
  <c r="F5" i="3" s="1"/>
  <c r="D4" i="3"/>
  <c r="F4" i="3" s="1"/>
  <c r="D3" i="3"/>
  <c r="F3" i="3" s="1"/>
  <c r="D2" i="3"/>
  <c r="F2" i="3" s="1"/>
  <c r="D9" i="2"/>
  <c r="F9" i="2" s="1"/>
  <c r="D8" i="2"/>
  <c r="F8" i="2" s="1"/>
  <c r="D7" i="2"/>
  <c r="F7" i="2" s="1"/>
  <c r="F6" i="2"/>
  <c r="D6" i="2"/>
  <c r="D5" i="2"/>
  <c r="F5" i="2" s="1"/>
  <c r="D4" i="2"/>
  <c r="F4" i="2" s="1"/>
  <c r="D3" i="2"/>
  <c r="F3" i="2" s="1"/>
  <c r="D2" i="2"/>
  <c r="F2" i="2" s="1"/>
  <c r="I7" i="2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7" i="1"/>
  <c r="D7" i="1"/>
  <c r="F6" i="1"/>
  <c r="D6" i="1"/>
  <c r="F5" i="1"/>
  <c r="D5" i="1"/>
  <c r="I5" i="1" s="1"/>
  <c r="D4" i="1"/>
  <c r="F4" i="1" s="1"/>
  <c r="D3" i="1"/>
  <c r="F3" i="1" s="1"/>
  <c r="D2" i="1"/>
  <c r="F2" i="1" s="1"/>
  <c r="I7" i="1" l="1"/>
  <c r="I7" i="10"/>
  <c r="I7" i="8"/>
  <c r="I7" i="18"/>
  <c r="I7" i="5"/>
  <c r="I7" i="13"/>
  <c r="I7" i="16"/>
  <c r="I7" i="3"/>
  <c r="I7" i="4"/>
  <c r="I7" i="19"/>
  <c r="I7" i="11"/>
  <c r="I7" i="9"/>
  <c r="I7" i="14"/>
  <c r="I5" i="11"/>
  <c r="I5" i="8"/>
  <c r="I5" i="12"/>
  <c r="F5" i="4"/>
  <c r="F5" i="7"/>
  <c r="I7" i="7" s="1"/>
  <c r="F5" i="16"/>
  <c r="F5" i="17"/>
  <c r="I7" i="17" s="1"/>
  <c r="I5" i="2"/>
</calcChain>
</file>

<file path=xl/sharedStrings.xml><?xml version="1.0" encoding="utf-8"?>
<sst xmlns="http://schemas.openxmlformats.org/spreadsheetml/2006/main" count="365" uniqueCount="174">
  <si>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</si>
  <si>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</si>
  <si>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</si>
  <si>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</si>
  <si>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</si>
  <si>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</si>
  <si>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</si>
  <si>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</si>
  <si>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</si>
  <si>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</si>
  <si>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</si>
  <si>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</si>
  <si>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</si>
  <si>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</si>
  <si>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</si>
  <si>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</si>
  <si>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</si>
  <si>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</si>
  <si>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</si>
  <si>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</si>
  <si>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</si>
  <si>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</si>
  <si>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</si>
  <si>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</si>
  <si>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</si>
  <si>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</si>
  <si>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Watkins</t>
  </si>
  <si>
    <t>Bailey</t>
  </si>
  <si>
    <t>Martinez</t>
  </si>
  <si>
    <t>Diaby</t>
  </si>
  <si>
    <t>Smith</t>
  </si>
  <si>
    <t>L.Cook</t>
  </si>
  <si>
    <t>Solanke</t>
  </si>
  <si>
    <t>Tavernier</t>
  </si>
  <si>
    <t>Senesi</t>
  </si>
  <si>
    <t>Neto</t>
  </si>
  <si>
    <t>Semenyo</t>
  </si>
  <si>
    <t>Zabarnyi</t>
  </si>
  <si>
    <t>Kluivert</t>
  </si>
  <si>
    <t>Maupay</t>
  </si>
  <si>
    <t>Nørgaard</t>
  </si>
  <si>
    <t>Janelt</t>
  </si>
  <si>
    <t>Wissa</t>
  </si>
  <si>
    <t>Roerslev</t>
  </si>
  <si>
    <t>Flekken</t>
  </si>
  <si>
    <t>Dunk</t>
  </si>
  <si>
    <t>Gross</t>
  </si>
  <si>
    <t>Welbeck</t>
  </si>
  <si>
    <t>Gilmour</t>
  </si>
  <si>
    <t>João Pedro</t>
  </si>
  <si>
    <t>Mitoma</t>
  </si>
  <si>
    <t>Van Hecke</t>
  </si>
  <si>
    <t>Buonanotte</t>
  </si>
  <si>
    <t>Brownhill</t>
  </si>
  <si>
    <t>Trafford</t>
  </si>
  <si>
    <t>Amdouni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</si>
  <si>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</si>
  <si>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</si>
  <si>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</si>
  <si>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</si>
  <si>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</si>
  <si>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</si>
  <si>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</si>
  <si>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</si>
  <si>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Ward</t>
  </si>
  <si>
    <t>J.Ayew</t>
  </si>
  <si>
    <t>Eze</t>
  </si>
  <si>
    <t>Johnstone</t>
  </si>
  <si>
    <t>Mateta</t>
  </si>
  <si>
    <t>Edouard</t>
  </si>
  <si>
    <t>Lerma</t>
  </si>
  <si>
    <t>A.Doucoure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</si>
  <si>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</si>
  <si>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</si>
  <si>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</si>
  <si>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</si>
  <si>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</si>
  <si>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</si>
  <si>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</si>
  <si>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</si>
  <si>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</si>
  <si>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</si>
  <si>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</si>
  <si>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</si>
  <si>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</si>
  <si>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</si>
  <si>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</si>
  <si>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</si>
  <si>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</si>
  <si>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</si>
  <si>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</si>
  <si>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</si>
  <si>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</si>
  <si>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</si>
  <si>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</si>
  <si>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</si>
  <si>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</si>
  <si>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</si>
  <si>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</si>
  <si>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</si>
  <si>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</si>
  <si>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</si>
  <si>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</si>
  <si>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</si>
  <si>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</si>
  <si>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</si>
  <si>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Chong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</si>
  <si>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</si>
  <si>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</si>
  <si>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</si>
  <si>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</si>
  <si>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</si>
  <si>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</si>
  <si>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</si>
  <si>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</si>
  <si>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</si>
  <si>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</si>
  <si>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</si>
  <si>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</si>
  <si>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</si>
  <si>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</si>
  <si>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</si>
  <si>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</si>
  <si>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</si>
  <si>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Lindelof</t>
  </si>
  <si>
    <t>Evans</t>
  </si>
  <si>
    <t>R.Varane</t>
  </si>
  <si>
    <t>B.Fernandes</t>
  </si>
  <si>
    <t>Dalot</t>
  </si>
  <si>
    <t>Garnacho</t>
  </si>
  <si>
    <t>Trippier</t>
  </si>
  <si>
    <t>Schär</t>
  </si>
  <si>
    <t>Longstaff</t>
  </si>
  <si>
    <t>Gordon</t>
  </si>
  <si>
    <t>Bruno G.</t>
  </si>
  <si>
    <t>Isak</t>
  </si>
  <si>
    <t>Wood</t>
  </si>
  <si>
    <t>Gibbs-White</t>
  </si>
  <si>
    <t>Elanga</t>
  </si>
  <si>
    <t>Murillo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</si>
  <si>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</si>
  <si>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</si>
  <si>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</si>
  <si>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</si>
  <si>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</si>
  <si>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</si>
  <si>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</si>
  <si>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</si>
  <si>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</si>
  <si>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</si>
  <si>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</si>
  <si>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</si>
  <si>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</si>
  <si>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</si>
  <si>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</si>
  <si>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</si>
  <si>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</si>
  <si>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</si>
  <si>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</si>
  <si>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</si>
  <si>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</si>
  <si>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</si>
  <si>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Souček</t>
  </si>
  <si>
    <t>Álvarez</t>
  </si>
  <si>
    <t>Kudus</t>
  </si>
  <si>
    <t>Mario Jr.</t>
  </si>
  <si>
    <t>Kilman</t>
  </si>
  <si>
    <t>Dawson</t>
  </si>
  <si>
    <t>José Sá</t>
  </si>
  <si>
    <t>Toti</t>
  </si>
  <si>
    <t>Hee Chan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</si>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</sst>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5" totalsRowShown="0">
  <autoFilter ref="A1:F15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8" totalsRowShown="0">
  <autoFilter ref="A1:F8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10" totalsRowShown="0">
  <autoFilter ref="A1:F10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7" totalsRowShown="0">
  <autoFilter ref="A1:F7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5" totalsRowShown="0">
  <autoFilter ref="A1:F5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1" totalsRowShown="0">
  <autoFilter ref="A1:F11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9" totalsRowShown="0">
  <autoFilter ref="A1:F9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0" totalsRowShown="0">
  <autoFilter ref="A1:F10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7" totalsRowShown="0">
  <autoFilter ref="A1:F7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9" totalsRowShown="0">
  <autoFilter ref="A1:F9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4" totalsRowShown="0">
  <autoFilter ref="A1:F4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8" totalsRowShown="0">
  <autoFilter ref="A1:F8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0" totalsRowShown="0">
  <autoFilter ref="A1:F10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28.70840809907827</v>
      </c>
      <c r="C2">
        <v>28.09210526315789</v>
      </c>
      <c r="D2">
        <f>TableARS[[#This Row],[ARIMAPP]]*$I$2+TableARS[[#This Row],[LSTMPP]]*$I$3</f>
        <v>35.051118017549811</v>
      </c>
      <c r="E2">
        <v>51</v>
      </c>
      <c r="F2">
        <f>ABS(TableARS[[#This Row],[PP]]-TableARS[[#This Row],[AP]])</f>
        <v>15.948881982450189</v>
      </c>
      <c r="H2" t="s">
        <v>0</v>
      </c>
      <c r="I2">
        <v>1.0186068454999999</v>
      </c>
    </row>
    <row r="3" spans="1:9" x14ac:dyDescent="0.2">
      <c r="A3" t="s">
        <v>11</v>
      </c>
      <c r="B3">
        <v>40.134228187919497</v>
      </c>
      <c r="C3">
        <v>40.273647357008677</v>
      </c>
      <c r="D3">
        <f>TableARS[[#This Row],[ARIMAPP]]*$I$2+TableARS[[#This Row],[LSTMPP]]*$I$3</f>
        <v>49.208284720577538</v>
      </c>
      <c r="E3">
        <v>43</v>
      </c>
      <c r="F3">
        <f>ABS(TableARS[[#This Row],[PP]]-TableARS[[#This Row],[AP]])</f>
        <v>6.208284720577538</v>
      </c>
      <c r="H3" t="s">
        <v>1</v>
      </c>
      <c r="I3">
        <v>0.20676759359999999</v>
      </c>
    </row>
    <row r="4" spans="1:9" x14ac:dyDescent="0.2">
      <c r="A4" t="s">
        <v>12</v>
      </c>
      <c r="B4">
        <v>34.000000000000007</v>
      </c>
      <c r="C4">
        <v>30.9375</v>
      </c>
      <c r="D4">
        <f>TableARS[[#This Row],[ARIMAPP]]*$I$2+TableARS[[#This Row],[LSTMPP]]*$I$3</f>
        <v>41.029505174000001</v>
      </c>
      <c r="E4">
        <v>33</v>
      </c>
      <c r="F4">
        <f>ABS(TableARS[[#This Row],[PP]]-TableARS[[#This Row],[AP]])</f>
        <v>8.0295051740000005</v>
      </c>
    </row>
    <row r="5" spans="1:9" x14ac:dyDescent="0.2">
      <c r="A5" t="s">
        <v>13</v>
      </c>
      <c r="B5">
        <v>54.309841153178873</v>
      </c>
      <c r="C5">
        <v>41.658461264382282</v>
      </c>
      <c r="D5">
        <f>TableARS[[#This Row],[ARIMAPP]]*$I$2+TableARS[[#This Row],[LSTMPP]]*$I$3</f>
        <v>63.933995765360748</v>
      </c>
      <c r="E5">
        <v>71</v>
      </c>
      <c r="F5">
        <f>ABS(TableARS[[#This Row],[PP]]-TableARS[[#This Row],[AP]])</f>
        <v>7.0660042346392515</v>
      </c>
      <c r="H5" t="s">
        <v>2</v>
      </c>
      <c r="I5">
        <f>SUM(ABS(TableARS[[#This Row],[PP]]-TableARS[[#This Row],[AP]]))</f>
        <v>7.0660042346392515</v>
      </c>
    </row>
    <row r="6" spans="1:9" x14ac:dyDescent="0.2">
      <c r="A6" t="s">
        <v>14</v>
      </c>
      <c r="B6">
        <v>38.090670749893832</v>
      </c>
      <c r="C6">
        <v>39.100173941612802</v>
      </c>
      <c r="D6">
        <f>TableARS[[#This Row],[ARIMAPP]]*$I$2+TableARS[[#This Row],[LSTMPP]]*$I$3</f>
        <v>46.884066850777174</v>
      </c>
      <c r="E6">
        <v>43</v>
      </c>
      <c r="F6">
        <f>ABS(TableARS[[#This Row],[PP]]-TableARS[[#This Row],[AP]])</f>
        <v>3.8840668507771738</v>
      </c>
    </row>
    <row r="7" spans="1:9" x14ac:dyDescent="0.2">
      <c r="A7" t="s">
        <v>15</v>
      </c>
      <c r="B7">
        <v>31.764705882352931</v>
      </c>
      <c r="C7">
        <v>30.92592592592592</v>
      </c>
      <c r="D7">
        <f>TableARS[[#This Row],[ARIMAPP]]*$I$2+TableARS[[#This Row],[LSTMPP]]*$I$3</f>
        <v>38.750226140614366</v>
      </c>
      <c r="E7">
        <v>55</v>
      </c>
      <c r="F7">
        <f>ABS(TableARS[[#This Row],[PP]]-TableARS[[#This Row],[AP]])</f>
        <v>16.249773859385634</v>
      </c>
      <c r="H7" t="s">
        <v>3</v>
      </c>
      <c r="I7">
        <f>AVERAGE(TableARS[DIFF])/10</f>
        <v>0.8223949793830535</v>
      </c>
    </row>
    <row r="8" spans="1:9" x14ac:dyDescent="0.2">
      <c r="A8" t="s">
        <v>16</v>
      </c>
      <c r="B8">
        <v>51.946581922690598</v>
      </c>
      <c r="C8">
        <v>45.885203009475092</v>
      </c>
      <c r="D8">
        <f>TableARS[[#This Row],[ARIMAPP]]*$I$2+TableARS[[#This Row],[LSTMPP]]*$I$3</f>
        <v>62.400716954895834</v>
      </c>
      <c r="E8">
        <v>55</v>
      </c>
      <c r="F8">
        <f>ABS(TableARS[[#This Row],[PP]]-TableARS[[#This Row],[AP]])</f>
        <v>7.4007169548958345</v>
      </c>
    </row>
    <row r="9" spans="1:9" x14ac:dyDescent="0.2">
      <c r="A9" t="s">
        <v>17</v>
      </c>
      <c r="B9">
        <v>41.126760563380309</v>
      </c>
      <c r="C9">
        <v>35.112654536280857</v>
      </c>
      <c r="D9">
        <f>TableARS[[#This Row],[ARIMAPP]]*$I$2+TableARS[[#This Row],[LSTMPP]]*$I$3</f>
        <v>49.152158926473533</v>
      </c>
      <c r="E9">
        <v>45</v>
      </c>
      <c r="F9">
        <f>ABS(TableARS[[#This Row],[PP]]-TableARS[[#This Row],[AP]])</f>
        <v>4.1521589264735326</v>
      </c>
    </row>
    <row r="10" spans="1:9" x14ac:dyDescent="0.2">
      <c r="A10" t="s">
        <v>18</v>
      </c>
      <c r="B10">
        <v>42.199616299652817</v>
      </c>
      <c r="C10">
        <v>35.45454545454546</v>
      </c>
      <c r="D10">
        <f>TableARS[[#This Row],[ARIMAPP]]*$I$2+TableARS[[#This Row],[LSTMPP]]*$I$3</f>
        <v>50.315669086117921</v>
      </c>
      <c r="E10">
        <v>38</v>
      </c>
      <c r="F10">
        <f>ABS(TableARS[[#This Row],[PP]]-TableARS[[#This Row],[AP]])</f>
        <v>12.315669086117921</v>
      </c>
    </row>
    <row r="11" spans="1:9" x14ac:dyDescent="0.2">
      <c r="A11" t="s">
        <v>19</v>
      </c>
      <c r="B11">
        <v>40.96153846153846</v>
      </c>
      <c r="C11">
        <v>33.658536585365859</v>
      </c>
      <c r="D11">
        <f>TableARS[[#This Row],[ARIMAPP]]*$I$2+TableARS[[#This Row],[LSTMPP]]*$I$3</f>
        <v>48.68319809298827</v>
      </c>
      <c r="E11">
        <v>51</v>
      </c>
      <c r="F11">
        <f>ABS(TableARS[[#This Row],[PP]]-TableARS[[#This Row],[AP]])</f>
        <v>2.3168019070117296</v>
      </c>
    </row>
    <row r="12" spans="1:9" x14ac:dyDescent="0.2">
      <c r="A12" t="s">
        <v>20</v>
      </c>
      <c r="B12">
        <v>47.916666666666693</v>
      </c>
      <c r="C12">
        <v>48.936260531275749</v>
      </c>
      <c r="D12">
        <f>TableARS[[#This Row],[ARIMAPP]]*$I$2+TableARS[[#This Row],[LSTMPP]]*$I$3</f>
        <v>58.9266775100429</v>
      </c>
      <c r="E12">
        <v>56</v>
      </c>
      <c r="F12">
        <f>ABS(TableARS[[#This Row],[PP]]-TableARS[[#This Row],[AP]])</f>
        <v>2.9266775100429001</v>
      </c>
    </row>
    <row r="13" spans="1:9" x14ac:dyDescent="0.2">
      <c r="A13" t="s">
        <v>21</v>
      </c>
      <c r="B13">
        <v>35.49019607843136</v>
      </c>
      <c r="C13">
        <v>32.212915432304357</v>
      </c>
      <c r="D13">
        <f>TableARS[[#This Row],[ARIMAPP]]*$I$2+TableARS[[#This Row],[LSTMPP]]*$I$3</f>
        <v>42.811143680405308</v>
      </c>
      <c r="E13">
        <v>55</v>
      </c>
      <c r="F13">
        <f>ABS(TableARS[[#This Row],[PP]]-TableARS[[#This Row],[AP]])</f>
        <v>12.188856319594692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80</v>
      </c>
      <c r="B2">
        <v>14.183270176153069</v>
      </c>
      <c r="C2">
        <v>41.224426229610593</v>
      </c>
      <c r="D2">
        <f>TableFUL[[#This Row],[ARIMAPP]]*$I$2+TableFUL[[#This Row],[LSTMPP]]*$I$3</f>
        <v>38.275263019180251</v>
      </c>
      <c r="E2">
        <v>42</v>
      </c>
      <c r="F2">
        <f>ABS(TableFUL[[#This Row],[PP]]-TableFUL[[#This Row],[AP]])</f>
        <v>3.724736980819749</v>
      </c>
      <c r="H2" t="s">
        <v>0</v>
      </c>
      <c r="I2">
        <v>0</v>
      </c>
    </row>
    <row r="3" spans="1:9" x14ac:dyDescent="0.2">
      <c r="A3" t="s">
        <v>81</v>
      </c>
      <c r="B3">
        <v>21.57979697090725</v>
      </c>
      <c r="C3">
        <v>24.70588235294117</v>
      </c>
      <c r="D3">
        <f>TableFUL[[#This Row],[ARIMAPP]]*$I$2+TableFUL[[#This Row],[LSTMPP]]*$I$3</f>
        <v>22.938442852129409</v>
      </c>
      <c r="E3">
        <v>20</v>
      </c>
      <c r="F3">
        <f>ABS(TableFUL[[#This Row],[PP]]-TableFUL[[#This Row],[AP]])</f>
        <v>2.938442852129409</v>
      </c>
      <c r="H3" t="s">
        <v>1</v>
      </c>
      <c r="I3">
        <v>0.92846078211000005</v>
      </c>
    </row>
    <row r="4" spans="1:9" x14ac:dyDescent="0.2">
      <c r="A4" t="s">
        <v>82</v>
      </c>
      <c r="B4">
        <v>26.70807453416149</v>
      </c>
      <c r="C4">
        <v>27.8125</v>
      </c>
      <c r="D4">
        <f>TableFUL[[#This Row],[ARIMAPP]]*$I$2+TableFUL[[#This Row],[LSTMPP]]*$I$3</f>
        <v>25.822815502434377</v>
      </c>
      <c r="E4">
        <v>44</v>
      </c>
      <c r="F4">
        <f>ABS(TableFUL[[#This Row],[PP]]-TableFUL[[#This Row],[AP]])</f>
        <v>18.177184497565623</v>
      </c>
    </row>
    <row r="5" spans="1:9" x14ac:dyDescent="0.2">
      <c r="A5" t="s">
        <v>83</v>
      </c>
      <c r="B5">
        <v>37.013780144441959</v>
      </c>
      <c r="C5">
        <v>33.235294117647058</v>
      </c>
      <c r="D5">
        <f>TableFUL[[#This Row],[ARIMAPP]]*$I$2+TableFUL[[#This Row],[LSTMPP]]*$I$3</f>
        <v>30.857667170126472</v>
      </c>
      <c r="E5">
        <v>26</v>
      </c>
      <c r="F5">
        <f>ABS(TableFUL[[#This Row],[PP]]-TableFUL[[#This Row],[AP]])</f>
        <v>4.8576671701264722</v>
      </c>
      <c r="H5" t="s">
        <v>2</v>
      </c>
      <c r="I5">
        <f>SUM(ABS(TableFUL[[#This Row],[PP]]-TableFUL[[#This Row],[AP]]))</f>
        <v>4.8576671701264722</v>
      </c>
    </row>
    <row r="6" spans="1:9" x14ac:dyDescent="0.2">
      <c r="A6" t="s">
        <v>84</v>
      </c>
      <c r="B6">
        <v>26.02739726027399</v>
      </c>
      <c r="C6">
        <v>27.1551724137931</v>
      </c>
      <c r="D6">
        <f>TableFUL[[#This Row],[ARIMAPP]]*$I$2+TableFUL[[#This Row],[LSTMPP]]*$I$3</f>
        <v>25.21251261764224</v>
      </c>
      <c r="E6">
        <v>32</v>
      </c>
      <c r="F6">
        <f>ABS(TableFUL[[#This Row],[PP]]-TableFUL[[#This Row],[AP]])</f>
        <v>6.7874873823577602</v>
      </c>
    </row>
    <row r="7" spans="1:9" x14ac:dyDescent="0.2">
      <c r="A7" t="s">
        <v>85</v>
      </c>
      <c r="B7">
        <v>30.672349300418709</v>
      </c>
      <c r="C7">
        <v>30.696202531645579</v>
      </c>
      <c r="D7">
        <f>TableFUL[[#This Row],[ARIMAPP]]*$I$2+TableFUL[[#This Row],[LSTMPP]]*$I$3</f>
        <v>28.500220210338618</v>
      </c>
      <c r="E7">
        <v>21</v>
      </c>
      <c r="F7">
        <f>ABS(TableFUL[[#This Row],[PP]]-TableFUL[[#This Row],[AP]])</f>
        <v>7.5002202103386182</v>
      </c>
      <c r="H7" t="s">
        <v>3</v>
      </c>
      <c r="I7">
        <f>AVERAGE(TableFUL[DIFF])/10</f>
        <v>0.77377251862855734</v>
      </c>
    </row>
    <row r="8" spans="1:9" x14ac:dyDescent="0.2">
      <c r="A8" t="s">
        <v>86</v>
      </c>
      <c r="B8">
        <v>24.078947368421041</v>
      </c>
      <c r="C8">
        <v>26.416666666666661</v>
      </c>
      <c r="D8">
        <f>TableFUL[[#This Row],[ARIMAPP]]*$I$2+TableFUL[[#This Row],[LSTMPP]]*$I$3</f>
        <v>24.526838994072495</v>
      </c>
      <c r="E8">
        <v>31</v>
      </c>
      <c r="F8">
        <f>ABS(TableFUL[[#This Row],[PP]]-TableFUL[[#This Row],[AP]])</f>
        <v>6.4731610059275049</v>
      </c>
    </row>
    <row r="9" spans="1:9" x14ac:dyDescent="0.2">
      <c r="A9" t="s">
        <v>87</v>
      </c>
      <c r="B9">
        <v>26.30434782608695</v>
      </c>
      <c r="C9">
        <v>26.388888888888889</v>
      </c>
      <c r="D9">
        <f>TableFUL[[#This Row],[ARIMAPP]]*$I$2+TableFUL[[#This Row],[LSTMPP]]*$I$3</f>
        <v>24.501048416791669</v>
      </c>
      <c r="E9">
        <v>21</v>
      </c>
      <c r="F9">
        <f>ABS(TableFUL[[#This Row],[PP]]-TableFUL[[#This Row],[AP]])</f>
        <v>3.5010484167916687</v>
      </c>
    </row>
    <row r="10" spans="1:9" x14ac:dyDescent="0.2">
      <c r="A10" t="s">
        <v>88</v>
      </c>
      <c r="B10">
        <v>37.34693877551021</v>
      </c>
      <c r="C10">
        <v>37.072178853066802</v>
      </c>
      <c r="D10">
        <f>TableFUL[[#This Row],[ARIMAPP]]*$I$2+TableFUL[[#This Row],[LSTMPP]]*$I$3</f>
        <v>34.420064172440206</v>
      </c>
      <c r="E10">
        <v>22</v>
      </c>
      <c r="F10">
        <f>ABS(TableFUL[[#This Row],[PP]]-TableFUL[[#This Row],[AP]])</f>
        <v>12.420064172440206</v>
      </c>
    </row>
    <row r="11" spans="1:9" x14ac:dyDescent="0.2">
      <c r="A11" t="s">
        <v>89</v>
      </c>
      <c r="B11">
        <v>26.322812622983712</v>
      </c>
      <c r="C11">
        <v>26.71052631578948</v>
      </c>
      <c r="D11">
        <f>TableFUL[[#This Row],[ARIMAPP]]*$I$2+TableFUL[[#This Row],[LSTMPP]]*$I$3</f>
        <v>24.799676153727638</v>
      </c>
      <c r="E11">
        <v>36</v>
      </c>
      <c r="F11">
        <f>ABS(TableFUL[[#This Row],[PP]]-TableFUL[[#This Row],[AP]])</f>
        <v>11.200323846272362</v>
      </c>
    </row>
    <row r="12" spans="1:9" x14ac:dyDescent="0.2">
      <c r="A12" t="s">
        <v>90</v>
      </c>
      <c r="B12">
        <v>40.646097960639111</v>
      </c>
      <c r="C12">
        <v>39.349686296220398</v>
      </c>
      <c r="D12">
        <f>TableFUL[[#This Row],[ARIMAPP]]*$I$2+TableFUL[[#This Row],[LSTMPP]]*$I$3</f>
        <v>36.534640514371944</v>
      </c>
      <c r="E12">
        <v>29</v>
      </c>
      <c r="F12">
        <f>ABS(TableFUL[[#This Row],[PP]]-TableFUL[[#This Row],[AP]])</f>
        <v>7.5346405143719437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91</v>
      </c>
      <c r="B2">
        <v>44.733168337584942</v>
      </c>
      <c r="C2">
        <v>43.087435200773562</v>
      </c>
      <c r="D2">
        <f>TableLIV[[#This Row],[ARIMAPP]]*$I$2+TableLIV[[#This Row],[LSTMPP]]*$I$3</f>
        <v>49.576159041302603</v>
      </c>
      <c r="E2">
        <v>38</v>
      </c>
      <c r="F2">
        <f>ABS(TableLIV[[#This Row],[PP]]-TableLIV[[#This Row],[AP]])</f>
        <v>11.576159041302603</v>
      </c>
      <c r="H2" t="s">
        <v>0</v>
      </c>
      <c r="I2">
        <v>0.35203503235</v>
      </c>
    </row>
    <row r="3" spans="1:9" x14ac:dyDescent="0.2">
      <c r="A3" t="s">
        <v>92</v>
      </c>
      <c r="B3">
        <v>69.402173913043498</v>
      </c>
      <c r="C3">
        <v>68.27757965457981</v>
      </c>
      <c r="D3">
        <f>TableLIV[[#This Row],[ARIMAPP]]*$I$2+TableLIV[[#This Row],[LSTMPP]]*$I$3</f>
        <v>78.037629627436701</v>
      </c>
      <c r="E3">
        <v>67</v>
      </c>
      <c r="F3">
        <f>ABS(TableLIV[[#This Row],[PP]]-TableLIV[[#This Row],[AP]])</f>
        <v>11.037629627436701</v>
      </c>
      <c r="H3" t="s">
        <v>1</v>
      </c>
      <c r="I3">
        <v>0.78511325913999996</v>
      </c>
    </row>
    <row r="4" spans="1:9" x14ac:dyDescent="0.2">
      <c r="A4" t="s">
        <v>93</v>
      </c>
      <c r="B4">
        <v>52.914775325573672</v>
      </c>
      <c r="C4">
        <v>45.46008989019807</v>
      </c>
      <c r="D4">
        <f>TableLIV[[#This Row],[ARIMAPP]]*$I$2+TableLIV[[#This Row],[LSTMPP]]*$I$3</f>
        <v>54.319173978022079</v>
      </c>
      <c r="E4">
        <v>57</v>
      </c>
      <c r="F4">
        <f>ABS(TableLIV[[#This Row],[PP]]-TableLIV[[#This Row],[AP]])</f>
        <v>2.6808260219779214</v>
      </c>
    </row>
    <row r="5" spans="1:9" x14ac:dyDescent="0.2">
      <c r="A5" t="s">
        <v>94</v>
      </c>
      <c r="B5">
        <v>48.076923076923073</v>
      </c>
      <c r="C5">
        <v>43.193646353656753</v>
      </c>
      <c r="D5">
        <f>TableLIV[[#This Row],[ARIMAPP]]*$I$2+TableLIV[[#This Row],[LSTMPP]]*$I$3</f>
        <v>50.836665633533102</v>
      </c>
      <c r="E5">
        <v>37</v>
      </c>
      <c r="F5">
        <f>ABS(TableLIV[[#This Row],[PP]]-TableLIV[[#This Row],[AP]])</f>
        <v>13.836665633533102</v>
      </c>
      <c r="H5" t="s">
        <v>2</v>
      </c>
      <c r="I5">
        <f>SUM(ABS(TableLIV[[#This Row],[PP]]-TableLIV[[#This Row],[AP]]))</f>
        <v>13.836665633533102</v>
      </c>
    </row>
    <row r="6" spans="1:9" x14ac:dyDescent="0.2">
      <c r="A6" t="s">
        <v>95</v>
      </c>
      <c r="B6">
        <v>18.490566037735849</v>
      </c>
      <c r="C6">
        <v>22.738095238095241</v>
      </c>
      <c r="D6">
        <f>TableLIV[[#This Row],[ARIMAPP]]*$I$2+TableLIV[[#This Row],[LSTMPP]]*$I$3</f>
        <v>24.36130707228082</v>
      </c>
      <c r="E6">
        <v>35</v>
      </c>
      <c r="F6">
        <f>ABS(TableLIV[[#This Row],[PP]]-TableLIV[[#This Row],[AP]])</f>
        <v>10.63869292771918</v>
      </c>
    </row>
    <row r="7" spans="1:9" x14ac:dyDescent="0.2">
      <c r="A7" t="s">
        <v>96</v>
      </c>
      <c r="B7">
        <v>21.64179104477612</v>
      </c>
      <c r="C7">
        <v>24.90566037735849</v>
      </c>
      <c r="D7">
        <f>TableLIV[[#This Row],[ARIMAPP]]*$I$2+TableLIV[[#This Row],[LSTMPP]]*$I$3</f>
        <v>27.172432800461589</v>
      </c>
      <c r="E7">
        <v>27</v>
      </c>
      <c r="F7">
        <f>ABS(TableLIV[[#This Row],[PP]]-TableLIV[[#This Row],[AP]])</f>
        <v>0.17243280046158915</v>
      </c>
      <c r="H7" t="s">
        <v>3</v>
      </c>
      <c r="I7">
        <f>AVERAGE(TableLIV[DIFF])/10</f>
        <v>0.94664107444018375</v>
      </c>
    </row>
    <row r="8" spans="1:9" x14ac:dyDescent="0.2">
      <c r="A8" t="s">
        <v>97</v>
      </c>
      <c r="B8">
        <v>28.118811881188119</v>
      </c>
      <c r="C8">
        <v>28.999999999999989</v>
      </c>
      <c r="D8">
        <f>TableLIV[[#This Row],[ARIMAPP]]*$I$2+TableLIV[[#This Row],[LSTMPP]]*$I$3</f>
        <v>32.667091365297608</v>
      </c>
      <c r="E8">
        <v>45</v>
      </c>
      <c r="F8">
        <f>ABS(TableLIV[[#This Row],[PP]]-TableLIV[[#This Row],[AP]])</f>
        <v>12.332908634702392</v>
      </c>
    </row>
    <row r="9" spans="1:9" x14ac:dyDescent="0.2">
      <c r="A9" t="s">
        <v>98</v>
      </c>
      <c r="B9">
        <v>28.611111111111111</v>
      </c>
      <c r="C9">
        <v>32.200790711685883</v>
      </c>
      <c r="D9">
        <f>TableLIV[[#This Row],[ARIMAPP]]*$I$2+TableLIV[[#This Row],[LSTMPP]]*$I$3</f>
        <v>35.353381168106182</v>
      </c>
      <c r="E9">
        <v>30</v>
      </c>
      <c r="F9">
        <f>ABS(TableLIV[[#This Row],[PP]]-TableLIV[[#This Row],[AP]])</f>
        <v>5.353381168106182</v>
      </c>
    </row>
    <row r="10" spans="1:9" x14ac:dyDescent="0.2">
      <c r="A10" t="s">
        <v>99</v>
      </c>
      <c r="B10">
        <v>32.857142857142847</v>
      </c>
      <c r="C10">
        <v>30.909090909090899</v>
      </c>
      <c r="D10">
        <f>TableLIV[[#This Row],[ARIMAPP]]*$I$2+TableLIV[[#This Row],[LSTMPP]]*$I$3</f>
        <v>35.834002449333752</v>
      </c>
      <c r="E10">
        <v>48</v>
      </c>
      <c r="F10">
        <f>ABS(TableLIV[[#This Row],[PP]]-TableLIV[[#This Row],[AP]])</f>
        <v>12.165997550666248</v>
      </c>
    </row>
    <row r="11" spans="1:9" x14ac:dyDescent="0.2">
      <c r="A11" t="s">
        <v>100</v>
      </c>
      <c r="B11">
        <v>37.441860465116292</v>
      </c>
      <c r="C11">
        <v>32.941176470588232</v>
      </c>
      <c r="D11">
        <f>TableLIV[[#This Row],[ARIMAPP]]*$I$2+TableLIV[[#This Row],[LSTMPP]]*$I$3</f>
        <v>39.043400978810809</v>
      </c>
      <c r="E11">
        <v>48</v>
      </c>
      <c r="F11">
        <f>ABS(TableLIV[[#This Row],[PP]]-TableLIV[[#This Row],[AP]])</f>
        <v>8.9565990211891915</v>
      </c>
    </row>
    <row r="12" spans="1:9" x14ac:dyDescent="0.2">
      <c r="A12" t="s">
        <v>101</v>
      </c>
      <c r="B12">
        <v>36.071428571428569</v>
      </c>
      <c r="C12">
        <v>34.090909090909093</v>
      </c>
      <c r="D12">
        <f>TableLIV[[#This Row],[ARIMAPP]]*$I$2+TableLIV[[#This Row],[LSTMPP]]*$I$3</f>
        <v>39.463631267462659</v>
      </c>
      <c r="E12">
        <v>65</v>
      </c>
      <c r="F12">
        <f>ABS(TableLIV[[#This Row],[PP]]-TableLIV[[#This Row],[AP]])</f>
        <v>25.536368732537341</v>
      </c>
    </row>
    <row r="13" spans="1:9" x14ac:dyDescent="0.2">
      <c r="A13" t="s">
        <v>102</v>
      </c>
      <c r="B13">
        <v>15.265946680248099</v>
      </c>
      <c r="C13">
        <v>32.691762337101217</v>
      </c>
      <c r="D13">
        <f>TableLIV[[#This Row],[ARIMAPP]]*$I$2+TableLIV[[#This Row],[LSTMPP]]*$I$3</f>
        <v>31.040884108946354</v>
      </c>
      <c r="E13">
        <v>28</v>
      </c>
      <c r="F13">
        <f>ABS(TableLIV[[#This Row],[PP]]-TableLIV[[#This Row],[AP]])</f>
        <v>3.0408841089463543</v>
      </c>
    </row>
    <row r="14" spans="1:9" x14ac:dyDescent="0.2">
      <c r="A14" t="s">
        <v>103</v>
      </c>
      <c r="B14">
        <v>40.000000000000007</v>
      </c>
      <c r="C14">
        <v>35</v>
      </c>
      <c r="D14">
        <f>TableLIV[[#This Row],[ARIMAPP]]*$I$2+TableLIV[[#This Row],[LSTMPP]]*$I$3</f>
        <v>41.560365363900004</v>
      </c>
      <c r="E14">
        <v>33</v>
      </c>
      <c r="F14">
        <f>ABS(TableLIV[[#This Row],[PP]]-TableLIV[[#This Row],[AP]])</f>
        <v>8.5603653639000044</v>
      </c>
    </row>
    <row r="15" spans="1:9" x14ac:dyDescent="0.2">
      <c r="A15" t="s">
        <v>104</v>
      </c>
      <c r="B15">
        <v>23.076923076923091</v>
      </c>
      <c r="C15">
        <v>24.5</v>
      </c>
      <c r="D15">
        <f>TableLIV[[#This Row],[ARIMAPP]]*$I$2+TableLIV[[#This Row],[LSTMPP]]*$I$3</f>
        <v>27.359160210853084</v>
      </c>
      <c r="E15">
        <v>34</v>
      </c>
      <c r="F15">
        <f>ABS(TableLIV[[#This Row],[PP]]-TableLIV[[#This Row],[AP]])</f>
        <v>6.6408397891469164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105</v>
      </c>
      <c r="B2">
        <v>27.76038997267181</v>
      </c>
      <c r="C2">
        <v>29.08450704225352</v>
      </c>
      <c r="D2">
        <f>TableLUT[[#This Row],[ARIMAPP]]*$I$2+TableLUT[[#This Row],[LSTMPP]]*$I$3</f>
        <v>47.271464000126763</v>
      </c>
      <c r="E2">
        <v>48</v>
      </c>
      <c r="F2">
        <f>ABS(TableLUT[[#This Row],[PP]]-TableLUT[[#This Row],[AP]])</f>
        <v>0.72853599987323747</v>
      </c>
      <c r="H2" t="s">
        <v>0</v>
      </c>
      <c r="I2">
        <v>0</v>
      </c>
    </row>
    <row r="3" spans="1:9" x14ac:dyDescent="0.2">
      <c r="A3" t="s">
        <v>106</v>
      </c>
      <c r="B3">
        <v>15</v>
      </c>
      <c r="C3">
        <v>19.166666666666671</v>
      </c>
      <c r="D3">
        <f>TableLUT[[#This Row],[ARIMAPP]]*$I$2+TableLUT[[#This Row],[LSTMPP]]*$I$3</f>
        <v>31.151856623166676</v>
      </c>
      <c r="E3">
        <v>27</v>
      </c>
      <c r="F3">
        <f>ABS(TableLUT[[#This Row],[PP]]-TableLUT[[#This Row],[AP]])</f>
        <v>4.151856623166676</v>
      </c>
      <c r="H3" t="s">
        <v>1</v>
      </c>
      <c r="I3">
        <v>1.6253142586</v>
      </c>
    </row>
    <row r="4" spans="1:9" x14ac:dyDescent="0.2">
      <c r="A4" t="s">
        <v>107</v>
      </c>
      <c r="B4">
        <v>20.666666622136379</v>
      </c>
      <c r="C4">
        <v>25</v>
      </c>
      <c r="D4">
        <f>TableLUT[[#This Row],[ARIMAPP]]*$I$2+TableLUT[[#This Row],[LSTMPP]]*$I$3</f>
        <v>40.632856465000003</v>
      </c>
      <c r="E4">
        <v>27</v>
      </c>
      <c r="F4">
        <f>ABS(TableLUT[[#This Row],[PP]]-TableLUT[[#This Row],[AP]])</f>
        <v>13.632856465000003</v>
      </c>
    </row>
    <row r="5" spans="1:9" x14ac:dyDescent="0.2">
      <c r="A5" t="s">
        <v>108</v>
      </c>
      <c r="B5">
        <v>20.833333333333339</v>
      </c>
      <c r="C5">
        <v>26.666666666666671</v>
      </c>
      <c r="D5">
        <f>TableLUT[[#This Row],[ARIMAPP]]*$I$2+TableLUT[[#This Row],[LSTMPP]]*$I$3</f>
        <v>43.341713562666676</v>
      </c>
      <c r="E5">
        <v>54</v>
      </c>
      <c r="F5">
        <f>ABS(TableLUT[[#This Row],[PP]]-TableLUT[[#This Row],[AP]])</f>
        <v>10.658286437333324</v>
      </c>
      <c r="H5" t="s">
        <v>2</v>
      </c>
      <c r="I5">
        <f>SUM(ABS(TableLUT[[#This Row],[PP]]-TableLUT[[#This Row],[AP]]))</f>
        <v>10.658286437333324</v>
      </c>
    </row>
    <row r="6" spans="1:9" x14ac:dyDescent="0.2">
      <c r="A6" t="s">
        <v>109</v>
      </c>
      <c r="B6">
        <v>22.142857142857149</v>
      </c>
      <c r="C6">
        <v>25</v>
      </c>
      <c r="D6">
        <f>TableLUT[[#This Row],[ARIMAPP]]*$I$2+TableLUT[[#This Row],[LSTMPP]]*$I$3</f>
        <v>40.632856465000003</v>
      </c>
      <c r="E6">
        <v>36</v>
      </c>
      <c r="F6">
        <f>ABS(TableLUT[[#This Row],[PP]]-TableLUT[[#This Row],[AP]])</f>
        <v>4.6328564650000033</v>
      </c>
    </row>
    <row r="7" spans="1:9" x14ac:dyDescent="0.2">
      <c r="A7" t="s">
        <v>110</v>
      </c>
      <c r="B7">
        <v>17.857142857142861</v>
      </c>
      <c r="C7">
        <v>20.909090909090899</v>
      </c>
      <c r="D7">
        <f>TableLUT[[#This Row],[ARIMAPP]]*$I$2+TableLUT[[#This Row],[LSTMPP]]*$I$3</f>
        <v>33.983843588909075</v>
      </c>
      <c r="E7">
        <v>48</v>
      </c>
      <c r="F7">
        <f>ABS(TableLUT[[#This Row],[PP]]-TableLUT[[#This Row],[AP]])</f>
        <v>14.016156411090925</v>
      </c>
      <c r="H7" t="s">
        <v>3</v>
      </c>
      <c r="I7">
        <f>AVERAGE(TableLUT[DIFF])/10</f>
        <v>0.71150215103880288</v>
      </c>
    </row>
    <row r="8" spans="1:9" x14ac:dyDescent="0.2">
      <c r="A8" t="s">
        <v>111</v>
      </c>
      <c r="B8">
        <v>30.666666666666671</v>
      </c>
      <c r="C8">
        <v>31.369073335496811</v>
      </c>
      <c r="D8">
        <f>TableLUT[[#This Row],[ARIMAPP]]*$I$2+TableLUT[[#This Row],[LSTMPP]]*$I$3</f>
        <v>50.984602171252028</v>
      </c>
      <c r="E8">
        <v>49</v>
      </c>
      <c r="F8">
        <f>ABS(TableLUT[[#This Row],[PP]]-TableLUT[[#This Row],[AP]])</f>
        <v>1.9846021712520283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39.405405405405389</v>
      </c>
      <c r="C2">
        <v>34.560810810810807</v>
      </c>
      <c r="D2">
        <f>TableMCI[[#This Row],[ARIMAPP]]*$I$2+TableMCI[[#This Row],[LSTMPP]]*$I$3</f>
        <v>40.215347825072215</v>
      </c>
      <c r="E2">
        <v>27</v>
      </c>
      <c r="F2">
        <f>ABS(TableMCI[[#This Row],[PP]]-TableMCI[[#This Row],[AP]])</f>
        <v>13.215347825072215</v>
      </c>
      <c r="H2" t="s">
        <v>0</v>
      </c>
      <c r="I2">
        <v>0.89419992662000003</v>
      </c>
    </row>
    <row r="3" spans="1:9" x14ac:dyDescent="0.2">
      <c r="A3" t="s">
        <v>113</v>
      </c>
      <c r="B3">
        <v>37.971014492753618</v>
      </c>
      <c r="C3">
        <v>36.095106848620041</v>
      </c>
      <c r="D3">
        <f>TableMCI[[#This Row],[ARIMAPP]]*$I$2+TableMCI[[#This Row],[LSTMPP]]*$I$3</f>
        <v>39.153755444039838</v>
      </c>
      <c r="E3">
        <v>29</v>
      </c>
      <c r="F3">
        <f>ABS(TableMCI[[#This Row],[PP]]-TableMCI[[#This Row],[AP]])</f>
        <v>10.153755444039838</v>
      </c>
      <c r="H3" t="s">
        <v>1</v>
      </c>
      <c r="I3">
        <v>0.14406598359</v>
      </c>
    </row>
    <row r="4" spans="1:9" x14ac:dyDescent="0.2">
      <c r="A4" t="s">
        <v>114</v>
      </c>
      <c r="B4">
        <v>32.598425196850378</v>
      </c>
      <c r="C4">
        <v>29.75247524752475</v>
      </c>
      <c r="D4">
        <f>TableMCI[[#This Row],[ARIMAPP]]*$I$2+TableMCI[[#This Row],[LSTMPP]]*$I$3</f>
        <v>33.435829029722953</v>
      </c>
      <c r="E4">
        <v>34</v>
      </c>
      <c r="F4">
        <f>ABS(TableMCI[[#This Row],[PP]]-TableMCI[[#This Row],[AP]])</f>
        <v>0.56417097027704699</v>
      </c>
    </row>
    <row r="5" spans="1:9" x14ac:dyDescent="0.2">
      <c r="A5" t="s">
        <v>115</v>
      </c>
      <c r="B5">
        <v>44.667901710742633</v>
      </c>
      <c r="C5">
        <v>40.625869346719057</v>
      </c>
      <c r="D5">
        <f>TableMCI[[#This Row],[ARIMAPP]]*$I$2+TableMCI[[#This Row],[LSTMPP]]*$I$3</f>
        <v>45.794840258649351</v>
      </c>
      <c r="E5">
        <v>76</v>
      </c>
      <c r="F5">
        <f>ABS(TableMCI[[#This Row],[PP]]-TableMCI[[#This Row],[AP]])</f>
        <v>30.205159741350649</v>
      </c>
      <c r="H5" t="s">
        <v>2</v>
      </c>
      <c r="I5">
        <f>SUM(ABS(TableMCI[[#This Row],[PP]]-TableMCI[[#This Row],[AP]]))</f>
        <v>30.205159741350649</v>
      </c>
    </row>
    <row r="6" spans="1:9" x14ac:dyDescent="0.2">
      <c r="A6" t="s">
        <v>116</v>
      </c>
      <c r="B6">
        <v>30.349650349650339</v>
      </c>
      <c r="C6">
        <v>29.254385964912291</v>
      </c>
      <c r="D6">
        <f>TableMCI[[#This Row],[ARIMAPP]]*$I$2+TableMCI[[#This Row],[LSTMPP]]*$I$3</f>
        <v>31.353217003956573</v>
      </c>
      <c r="E6">
        <v>47</v>
      </c>
      <c r="F6">
        <f>ABS(TableMCI[[#This Row],[PP]]-TableMCI[[#This Row],[AP]])</f>
        <v>15.646782996043427</v>
      </c>
    </row>
    <row r="7" spans="1:9" x14ac:dyDescent="0.2">
      <c r="A7" t="s">
        <v>117</v>
      </c>
      <c r="B7">
        <v>80.622687546391774</v>
      </c>
      <c r="C7">
        <v>76.069732415599901</v>
      </c>
      <c r="D7">
        <f>TableMCI[[#This Row],[ARIMAPP]]*$I$2+TableMCI[[#This Row],[LSTMPP]]*$I$3</f>
        <v>83.051862109772216</v>
      </c>
      <c r="E7">
        <v>67</v>
      </c>
      <c r="F7">
        <f>ABS(TableMCI[[#This Row],[PP]]-TableMCI[[#This Row],[AP]])</f>
        <v>16.051862109772216</v>
      </c>
      <c r="H7" t="s">
        <v>3</v>
      </c>
      <c r="I7">
        <f>AVERAGE(TableMCI[DIFF])/10</f>
        <v>1.1299966616212462</v>
      </c>
    </row>
    <row r="8" spans="1:9" x14ac:dyDescent="0.2">
      <c r="A8" t="s">
        <v>118</v>
      </c>
      <c r="B8">
        <v>35.526871661866473</v>
      </c>
      <c r="C8">
        <v>28.97058823529412</v>
      </c>
      <c r="D8">
        <f>TableMCI[[#This Row],[ARIMAPP]]*$I$2+TableMCI[[#This Row],[LSTMPP]]*$I$3</f>
        <v>35.94180232237769</v>
      </c>
      <c r="E8">
        <v>45</v>
      </c>
      <c r="F8">
        <f>ABS(TableMCI[[#This Row],[PP]]-TableMCI[[#This Row],[AP]])</f>
        <v>9.0581976776223101</v>
      </c>
    </row>
    <row r="9" spans="1:9" x14ac:dyDescent="0.2">
      <c r="A9" t="s">
        <v>119</v>
      </c>
      <c r="B9">
        <v>36.222222222222221</v>
      </c>
      <c r="C9">
        <v>39.931384682388291</v>
      </c>
      <c r="D9">
        <f>TableMCI[[#This Row],[ARIMAPP]]*$I$2+TableMCI[[#This Row],[LSTMPP]]*$I$3</f>
        <v>38.14266266350338</v>
      </c>
      <c r="E9">
        <v>47</v>
      </c>
      <c r="F9">
        <f>ABS(TableMCI[[#This Row],[PP]]-TableMCI[[#This Row],[AP]])</f>
        <v>8.8573373364966201</v>
      </c>
    </row>
    <row r="10" spans="1:9" x14ac:dyDescent="0.2">
      <c r="A10" t="s">
        <v>120</v>
      </c>
      <c r="B10">
        <v>30.571428571428569</v>
      </c>
      <c r="C10">
        <v>29.598537077911519</v>
      </c>
      <c r="D10">
        <f>TableMCI[[#This Row],[ARIMAPP]]*$I$2+TableMCI[[#This Row],[LSTMPP]]*$I$3</f>
        <v>31.601111542194406</v>
      </c>
      <c r="E10">
        <v>24</v>
      </c>
      <c r="F10">
        <f>ABS(TableMCI[[#This Row],[PP]]-TableMCI[[#This Row],[AP]])</f>
        <v>7.6011115421944062</v>
      </c>
    </row>
    <row r="11" spans="1:9" x14ac:dyDescent="0.2">
      <c r="A11" t="s">
        <v>121</v>
      </c>
      <c r="B11">
        <v>31.764705882352938</v>
      </c>
      <c r="C11">
        <v>29.444444444444439</v>
      </c>
      <c r="D11">
        <f>TableMCI[[#This Row],[ARIMAPP]]*$I$2+TableMCI[[#This Row],[LSTMPP]]*$I$3</f>
        <v>32.64594051925588</v>
      </c>
      <c r="E11">
        <v>31</v>
      </c>
      <c r="F11">
        <f>ABS(TableMCI[[#This Row],[PP]]-TableMCI[[#This Row],[AP]])</f>
        <v>1.6459405192558805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122</v>
      </c>
      <c r="B2">
        <v>44.128634685197333</v>
      </c>
      <c r="C2">
        <v>46.130701397978271</v>
      </c>
      <c r="D2">
        <f>TableMUN[[#This Row],[ARIMAPP]]*$I$2+TableMUN[[#This Row],[LSTMPP]]*$I$3</f>
        <v>47.867959223324306</v>
      </c>
      <c r="E2">
        <v>49</v>
      </c>
      <c r="F2">
        <f>ABS(TableMUN[[#This Row],[PP]]-TableMUN[[#This Row],[AP]])</f>
        <v>1.1320407766756944</v>
      </c>
      <c r="H2" t="s">
        <v>0</v>
      </c>
      <c r="I2">
        <v>0</v>
      </c>
    </row>
    <row r="3" spans="1:9" x14ac:dyDescent="0.2">
      <c r="A3" t="s">
        <v>123</v>
      </c>
      <c r="B3">
        <v>26.074074074074069</v>
      </c>
      <c r="C3">
        <v>26.805555555555561</v>
      </c>
      <c r="D3">
        <f>TableMUN[[#This Row],[ARIMAPP]]*$I$2+TableMUN[[#This Row],[LSTMPP]]*$I$3</f>
        <v>27.815038605680563</v>
      </c>
      <c r="E3">
        <v>26</v>
      </c>
      <c r="F3">
        <f>ABS(TableMUN[[#This Row],[PP]]-TableMUN[[#This Row],[AP]])</f>
        <v>1.815038605680563</v>
      </c>
      <c r="H3" t="s">
        <v>1</v>
      </c>
      <c r="I3">
        <v>1.0376594713</v>
      </c>
    </row>
    <row r="4" spans="1:9" x14ac:dyDescent="0.2">
      <c r="A4" t="s">
        <v>124</v>
      </c>
      <c r="B4">
        <v>29.720274548882639</v>
      </c>
      <c r="C4">
        <v>30.758928571428569</v>
      </c>
      <c r="D4">
        <f>TableMUN[[#This Row],[ARIMAPP]]*$I$2+TableMUN[[#This Row],[LSTMPP]]*$I$3</f>
        <v>31.917293559183033</v>
      </c>
      <c r="E4">
        <v>38</v>
      </c>
      <c r="F4">
        <f>ABS(TableMUN[[#This Row],[PP]]-TableMUN[[#This Row],[AP]])</f>
        <v>6.0827064408169669</v>
      </c>
    </row>
    <row r="5" spans="1:9" x14ac:dyDescent="0.2">
      <c r="A5" t="s">
        <v>125</v>
      </c>
      <c r="B5">
        <v>30.793650793650791</v>
      </c>
      <c r="C5">
        <v>31.29999999999999</v>
      </c>
      <c r="D5">
        <f>TableMUN[[#This Row],[ARIMAPP]]*$I$2+TableMUN[[#This Row],[LSTMPP]]*$I$3</f>
        <v>32.478741451689991</v>
      </c>
      <c r="E5">
        <v>20</v>
      </c>
      <c r="F5">
        <f>ABS(TableMUN[[#This Row],[PP]]-TableMUN[[#This Row],[AP]])</f>
        <v>12.478741451689991</v>
      </c>
      <c r="H5" t="s">
        <v>2</v>
      </c>
      <c r="I5">
        <f>SUM(ABS(TableMUN[[#This Row],[PP]]-TableMUN[[#This Row],[AP]]))</f>
        <v>12.478741451689991</v>
      </c>
    </row>
    <row r="6" spans="1:9" x14ac:dyDescent="0.2">
      <c r="A6" t="s">
        <v>126</v>
      </c>
      <c r="B6">
        <v>33.125000000000007</v>
      </c>
      <c r="C6">
        <v>31.010647139902961</v>
      </c>
      <c r="D6">
        <f>TableMUN[[#This Row],[ARIMAPP]]*$I$2+TableMUN[[#This Row],[LSTMPP]]*$I$3</f>
        <v>32.178491715862563</v>
      </c>
      <c r="E6">
        <v>20</v>
      </c>
      <c r="F6">
        <f>ABS(TableMUN[[#This Row],[PP]]-TableMUN[[#This Row],[AP]])</f>
        <v>12.178491715862563</v>
      </c>
    </row>
    <row r="7" spans="1:9" x14ac:dyDescent="0.2">
      <c r="A7" t="s">
        <v>127</v>
      </c>
      <c r="B7">
        <v>44.326291576340338</v>
      </c>
      <c r="C7">
        <v>36.18421052631578</v>
      </c>
      <c r="D7">
        <f>TableMUN[[#This Row],[ARIMAPP]]*$I$2+TableMUN[[#This Row],[LSTMPP]]*$I$3</f>
        <v>37.546888764144725</v>
      </c>
      <c r="E7">
        <v>37</v>
      </c>
      <c r="F7">
        <f>ABS(TableMUN[[#This Row],[PP]]-TableMUN[[#This Row],[AP]])</f>
        <v>0.54688876414472531</v>
      </c>
      <c r="H7" t="s">
        <v>3</v>
      </c>
      <c r="I7">
        <f>AVERAGE(TableMUN[DIFF])/10</f>
        <v>0.81212589105747046</v>
      </c>
    </row>
    <row r="8" spans="1:9" x14ac:dyDescent="0.2">
      <c r="A8" t="s">
        <v>128</v>
      </c>
      <c r="B8">
        <v>37.435897435897452</v>
      </c>
      <c r="C8">
        <v>31.29032258064516</v>
      </c>
      <c r="D8">
        <f>TableMUN[[#This Row],[ARIMAPP]]*$I$2+TableMUN[[#This Row],[LSTMPP]]*$I$3</f>
        <v>32.468699585838706</v>
      </c>
      <c r="E8">
        <v>28</v>
      </c>
      <c r="F8">
        <f>ABS(TableMUN[[#This Row],[PP]]-TableMUN[[#This Row],[AP]])</f>
        <v>4.4686995858387064</v>
      </c>
    </row>
    <row r="9" spans="1:9" x14ac:dyDescent="0.2">
      <c r="A9" t="s">
        <v>129</v>
      </c>
      <c r="B9">
        <v>16.980452052950518</v>
      </c>
      <c r="C9">
        <v>22.291666666666671</v>
      </c>
      <c r="D9">
        <f>TableMUN[[#This Row],[ARIMAPP]]*$I$2+TableMUN[[#This Row],[LSTMPP]]*$I$3</f>
        <v>23.131159047729174</v>
      </c>
      <c r="E9">
        <v>57</v>
      </c>
      <c r="F9">
        <f>ABS(TableMUN[[#This Row],[PP]]-TableMUN[[#This Row],[AP]])</f>
        <v>33.86884095227083</v>
      </c>
    </row>
    <row r="10" spans="1:9" x14ac:dyDescent="0.2">
      <c r="A10" t="s">
        <v>79</v>
      </c>
      <c r="B10">
        <v>40</v>
      </c>
      <c r="C10">
        <v>34.230769230769234</v>
      </c>
      <c r="D10">
        <f>TableMUN[[#This Row],[ARIMAPP]]*$I$2+TableMUN[[#This Row],[LSTMPP]]*$I$3</f>
        <v>35.51988190219231</v>
      </c>
      <c r="E10">
        <v>35</v>
      </c>
      <c r="F10">
        <f>ABS(TableMUN[[#This Row],[PP]]-TableMUN[[#This Row],[AP]])</f>
        <v>0.51988190219231001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130</v>
      </c>
      <c r="B2">
        <v>52.740069484684412</v>
      </c>
      <c r="C2">
        <v>38.283618236534963</v>
      </c>
      <c r="D2">
        <f>TableNEW[[#This Row],[ARIMAPP]]*$I$2+TableNEW[[#This Row],[LSTMPP]]*$I$3</f>
        <v>43.642091825938628</v>
      </c>
      <c r="E2">
        <v>26</v>
      </c>
      <c r="F2">
        <f>ABS(TableNEW[[#This Row],[PP]]-TableNEW[[#This Row],[AP]])</f>
        <v>17.642091825938628</v>
      </c>
      <c r="H2" t="s">
        <v>0</v>
      </c>
      <c r="I2">
        <v>1.4852310093E-8</v>
      </c>
    </row>
    <row r="3" spans="1:9" x14ac:dyDescent="0.2">
      <c r="A3" t="s">
        <v>131</v>
      </c>
      <c r="B3">
        <v>29.440755627878811</v>
      </c>
      <c r="C3">
        <v>30.596330275229349</v>
      </c>
      <c r="D3">
        <f>TableNEW[[#This Row],[ARIMAPP]]*$I$2+TableNEW[[#This Row],[LSTMPP]]*$I$3</f>
        <v>34.878830938387075</v>
      </c>
      <c r="E3">
        <v>43</v>
      </c>
      <c r="F3">
        <f>ABS(TableNEW[[#This Row],[PP]]-TableNEW[[#This Row],[AP]])</f>
        <v>8.1211690616129246</v>
      </c>
      <c r="H3" t="s">
        <v>1</v>
      </c>
      <c r="I3">
        <v>1.1399677735</v>
      </c>
    </row>
    <row r="4" spans="1:9" x14ac:dyDescent="0.2">
      <c r="A4" t="s">
        <v>132</v>
      </c>
      <c r="B4">
        <v>23.495934959349601</v>
      </c>
      <c r="C4">
        <v>25.81632653061224</v>
      </c>
      <c r="D4">
        <f>TableNEW[[#This Row],[ARIMAPP]]*$I$2+TableNEW[[#This Row],[LSTMPP]]*$I$3</f>
        <v>29.429780624019926</v>
      </c>
      <c r="E4">
        <v>34</v>
      </c>
      <c r="F4">
        <f>ABS(TableNEW[[#This Row],[PP]]-TableNEW[[#This Row],[AP]])</f>
        <v>4.5702193759800736</v>
      </c>
    </row>
    <row r="5" spans="1:9" x14ac:dyDescent="0.2">
      <c r="A5" t="s">
        <v>133</v>
      </c>
      <c r="B5">
        <v>49.477472951749377</v>
      </c>
      <c r="C5">
        <v>25.763888888888889</v>
      </c>
      <c r="D5">
        <f>TableNEW[[#This Row],[ARIMAPP]]*$I$2+TableNEW[[#This Row],[LSTMPP]]*$I$3</f>
        <v>29.370003788222828</v>
      </c>
      <c r="E5">
        <v>39</v>
      </c>
      <c r="F5">
        <f>ABS(TableNEW[[#This Row],[PP]]-TableNEW[[#This Row],[AP]])</f>
        <v>9.629996211777172</v>
      </c>
      <c r="H5" t="s">
        <v>2</v>
      </c>
      <c r="I5">
        <f>SUM(ABS(TableNEW[[#This Row],[PP]]-TableNEW[[#This Row],[AP]]))</f>
        <v>9.629996211777172</v>
      </c>
    </row>
    <row r="6" spans="1:9" x14ac:dyDescent="0.2">
      <c r="A6" t="s">
        <v>134</v>
      </c>
      <c r="B6">
        <v>32.220377309016882</v>
      </c>
      <c r="C6">
        <v>33.201477237552339</v>
      </c>
      <c r="D6">
        <f>TableNEW[[#This Row],[ARIMAPP]]*$I$2+TableNEW[[#This Row],[LSTMPP]]*$I$3</f>
        <v>37.848614561950505</v>
      </c>
      <c r="E6">
        <v>43</v>
      </c>
      <c r="F6">
        <f>ABS(TableNEW[[#This Row],[PP]]-TableNEW[[#This Row],[AP]])</f>
        <v>5.1513854380494948</v>
      </c>
    </row>
    <row r="7" spans="1:9" x14ac:dyDescent="0.2">
      <c r="A7" t="s">
        <v>135</v>
      </c>
      <c r="B7">
        <v>49.999999999999979</v>
      </c>
      <c r="C7">
        <v>38.478260869565233</v>
      </c>
      <c r="D7">
        <f>TableNEW[[#This Row],[ARIMAPP]]*$I$2+TableNEW[[#This Row],[LSTMPP]]*$I$3</f>
        <v>43.86397811424596</v>
      </c>
      <c r="E7">
        <v>41</v>
      </c>
      <c r="F7">
        <f>ABS(TableNEW[[#This Row],[PP]]-TableNEW[[#This Row],[AP]])</f>
        <v>2.8639781142459597</v>
      </c>
      <c r="H7" t="s">
        <v>3</v>
      </c>
      <c r="I7">
        <f>AVERAGE(TableNEW[DIFF])/10</f>
        <v>0.79964733379340414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136</v>
      </c>
      <c r="B2">
        <v>33.651897211966578</v>
      </c>
      <c r="C2">
        <v>37.078599229596442</v>
      </c>
      <c r="D2">
        <f>TableNFO[[#This Row],[ARIMAPP]]*$I$2+TableNFO[[#This Row],[LSTMPP]]*$I$3</f>
        <v>44.725595982012742</v>
      </c>
      <c r="E2">
        <v>46</v>
      </c>
      <c r="F2">
        <f>ABS(TableNFO[[#This Row],[PP]]-TableNFO[[#This Row],[AP]])</f>
        <v>1.2744040179872584</v>
      </c>
      <c r="H2" t="s">
        <v>0</v>
      </c>
      <c r="I2">
        <v>0.15152876711999999</v>
      </c>
    </row>
    <row r="3" spans="1:9" x14ac:dyDescent="0.2">
      <c r="A3" t="s">
        <v>137</v>
      </c>
      <c r="B3">
        <v>34.967825958783443</v>
      </c>
      <c r="C3">
        <v>26.948051948051951</v>
      </c>
      <c r="D3">
        <f>TableNFO[[#This Row],[ARIMAPP]]*$I$2+TableNFO[[#This Row],[LSTMPP]]*$I$3</f>
        <v>34.098353709420671</v>
      </c>
      <c r="E3">
        <v>29</v>
      </c>
      <c r="F3">
        <f>ABS(TableNFO[[#This Row],[PP]]-TableNFO[[#This Row],[AP]])</f>
        <v>5.098353709420671</v>
      </c>
      <c r="H3" t="s">
        <v>1</v>
      </c>
      <c r="I3">
        <v>1.0687125811</v>
      </c>
    </row>
    <row r="4" spans="1:9" x14ac:dyDescent="0.2">
      <c r="A4" t="s">
        <v>138</v>
      </c>
      <c r="B4">
        <v>25.178173915956339</v>
      </c>
      <c r="C4">
        <v>25.625</v>
      </c>
      <c r="D4">
        <f>TableNFO[[#This Row],[ARIMAPP]]*$I$2+TableNFO[[#This Row],[LSTMPP]]*$I$3</f>
        <v>31.200977542505306</v>
      </c>
      <c r="E4">
        <v>43</v>
      </c>
      <c r="F4">
        <f>ABS(TableNFO[[#This Row],[PP]]-TableNFO[[#This Row],[AP]])</f>
        <v>11.799022457494694</v>
      </c>
    </row>
    <row r="5" spans="1:9" x14ac:dyDescent="0.2">
      <c r="A5" t="s">
        <v>139</v>
      </c>
      <c r="B5">
        <v>20</v>
      </c>
      <c r="C5">
        <v>26.25</v>
      </c>
      <c r="D5">
        <f>TableNFO[[#This Row],[ARIMAPP]]*$I$2+TableNFO[[#This Row],[LSTMPP]]*$I$3</f>
        <v>31.084280596275001</v>
      </c>
      <c r="E5">
        <v>23</v>
      </c>
      <c r="F5">
        <f>ABS(TableNFO[[#This Row],[PP]]-TableNFO[[#This Row],[AP]])</f>
        <v>8.0842805962750006</v>
      </c>
      <c r="H5" t="s">
        <v>2</v>
      </c>
      <c r="I5">
        <f>SUM(ABS(TableNFO[[#This Row],[PP]]-TableNFO[[#This Row],[AP]]))</f>
        <v>8.0842805962750006</v>
      </c>
    </row>
    <row r="7" spans="1:9" x14ac:dyDescent="0.2">
      <c r="H7" t="s">
        <v>3</v>
      </c>
      <c r="I7">
        <f>AVERAGE(TableNFO[DIFF])/10</f>
        <v>0.65640151952944059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21.42857142857142</v>
      </c>
      <c r="C2">
        <v>23.75</v>
      </c>
      <c r="D2">
        <f>TableSHU[[#This Row],[ARIMAPP]]*$I$2+TableSHU[[#This Row],[LSTMPP]]*$I$3</f>
        <v>25.529636120456725</v>
      </c>
      <c r="E2">
        <v>30</v>
      </c>
      <c r="F2">
        <f>ABS(TableSHU[[#This Row],[PP]]-TableSHU[[#This Row],[AP]])</f>
        <v>4.4703638795432745</v>
      </c>
      <c r="H2" t="s">
        <v>0</v>
      </c>
      <c r="I2">
        <v>1.7830548053E-7</v>
      </c>
    </row>
    <row r="3" spans="1:9" x14ac:dyDescent="0.2">
      <c r="A3" t="s">
        <v>141</v>
      </c>
      <c r="B3">
        <v>28.66442920157769</v>
      </c>
      <c r="C3">
        <v>24.583333333333329</v>
      </c>
      <c r="D3">
        <f>TableSHU[[#This Row],[ARIMAPP]]*$I$2+TableSHU[[#This Row],[LSTMPP]]*$I$3</f>
        <v>26.425413982566482</v>
      </c>
      <c r="E3">
        <v>29</v>
      </c>
      <c r="F3">
        <f>ABS(TableSHU[[#This Row],[PP]]-TableSHU[[#This Row],[AP]])</f>
        <v>2.5745860174335178</v>
      </c>
      <c r="H3" t="s">
        <v>1</v>
      </c>
      <c r="I3">
        <v>1.0749318862999999</v>
      </c>
    </row>
    <row r="4" spans="1:9" x14ac:dyDescent="0.2">
      <c r="A4" t="s">
        <v>142</v>
      </c>
      <c r="B4">
        <v>17.499999992817241</v>
      </c>
      <c r="C4">
        <v>23.75</v>
      </c>
      <c r="D4">
        <f>TableSHU[[#This Row],[ARIMAPP]]*$I$2+TableSHU[[#This Row],[LSTMPP]]*$I$3</f>
        <v>25.529635419970909</v>
      </c>
      <c r="E4">
        <v>30</v>
      </c>
      <c r="F4">
        <f>ABS(TableSHU[[#This Row],[PP]]-TableSHU[[#This Row],[AP]])</f>
        <v>4.4703645800290914</v>
      </c>
    </row>
    <row r="5" spans="1:9" x14ac:dyDescent="0.2">
      <c r="A5" t="s">
        <v>143</v>
      </c>
      <c r="B5">
        <v>21.333333333333329</v>
      </c>
      <c r="C5">
        <v>26.25</v>
      </c>
      <c r="D5">
        <f>TableSHU[[#This Row],[ARIMAPP]]*$I$2+TableSHU[[#This Row],[LSTMPP]]*$I$3</f>
        <v>28.216965819225248</v>
      </c>
      <c r="E5">
        <v>26</v>
      </c>
      <c r="F5">
        <f>ABS(TableSHU[[#This Row],[PP]]-TableSHU[[#This Row],[AP]])</f>
        <v>2.2169658192252477</v>
      </c>
      <c r="H5" t="s">
        <v>2</v>
      </c>
      <c r="I5">
        <f>SUM(ABS(TableSHU[[#This Row],[PP]]-TableSHU[[#This Row],[AP]]))</f>
        <v>2.2169658192252477</v>
      </c>
    </row>
    <row r="6" spans="1:9" x14ac:dyDescent="0.2">
      <c r="A6" t="s">
        <v>144</v>
      </c>
      <c r="B6">
        <v>29.333333333333329</v>
      </c>
      <c r="C6">
        <v>30</v>
      </c>
      <c r="D6">
        <f>TableSHU[[#This Row],[ARIMAPP]]*$I$2+TableSHU[[#This Row],[LSTMPP]]*$I$3</f>
        <v>32.24796181929409</v>
      </c>
      <c r="E6">
        <v>25</v>
      </c>
      <c r="F6">
        <f>ABS(TableSHU[[#This Row],[PP]]-TableSHU[[#This Row],[AP]])</f>
        <v>7.2479618192940904</v>
      </c>
    </row>
    <row r="7" spans="1:9" x14ac:dyDescent="0.2">
      <c r="H7" t="s">
        <v>3</v>
      </c>
      <c r="I7">
        <f>AVERAGE(TableSHU[DIFF])/10</f>
        <v>0.41960484231050443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43.296121973396282</v>
      </c>
      <c r="C2">
        <v>41.839537931154283</v>
      </c>
      <c r="D2">
        <f>TableTOT[[#This Row],[ARIMAPP]]*$I$2+TableTOT[[#This Row],[LSTMPP]]*$I$3</f>
        <v>56.288156730469467</v>
      </c>
      <c r="E2">
        <v>51</v>
      </c>
      <c r="F2">
        <f>ABS(TableTOT[[#This Row],[PP]]-TableTOT[[#This Row],[AP]])</f>
        <v>5.288156730469467</v>
      </c>
      <c r="H2" t="s">
        <v>0</v>
      </c>
      <c r="I2">
        <v>0</v>
      </c>
    </row>
    <row r="3" spans="1:9" x14ac:dyDescent="0.2">
      <c r="A3" t="s">
        <v>146</v>
      </c>
      <c r="B3">
        <v>26.703666079022941</v>
      </c>
      <c r="C3">
        <v>40.127724321227461</v>
      </c>
      <c r="D3">
        <f>TableTOT[[#This Row],[ARIMAPP]]*$I$2+TableTOT[[#This Row],[LSTMPP]]*$I$3</f>
        <v>53.985195523597142</v>
      </c>
      <c r="E3">
        <v>75</v>
      </c>
      <c r="F3">
        <f>ABS(TableTOT[[#This Row],[PP]]-TableTOT[[#This Row],[AP]])</f>
        <v>21.014804476402858</v>
      </c>
      <c r="H3" t="s">
        <v>1</v>
      </c>
      <c r="I3">
        <v>1.345334091</v>
      </c>
    </row>
    <row r="4" spans="1:9" x14ac:dyDescent="0.2">
      <c r="A4" t="s">
        <v>147</v>
      </c>
      <c r="B4">
        <v>31.206896551724132</v>
      </c>
      <c r="C4">
        <v>27.282608695652179</v>
      </c>
      <c r="D4">
        <f>TableTOT[[#This Row],[ARIMAPP]]*$I$2+TableTOT[[#This Row],[LSTMPP]]*$I$3</f>
        <v>36.704223569673921</v>
      </c>
      <c r="E4">
        <v>33</v>
      </c>
      <c r="F4">
        <f>ABS(TableTOT[[#This Row],[PP]]-TableTOT[[#This Row],[AP]])</f>
        <v>3.7042235696739212</v>
      </c>
    </row>
    <row r="5" spans="1:9" x14ac:dyDescent="0.2">
      <c r="A5" t="s">
        <v>148</v>
      </c>
      <c r="B5">
        <v>39.183734781610902</v>
      </c>
      <c r="C5">
        <v>39.352896366965808</v>
      </c>
      <c r="D5">
        <f>TableTOT[[#This Row],[ARIMAPP]]*$I$2+TableTOT[[#This Row],[LSTMPP]]*$I$3</f>
        <v>52.94279306206915</v>
      </c>
      <c r="E5">
        <v>39</v>
      </c>
      <c r="F5">
        <f>ABS(TableTOT[[#This Row],[PP]]-TableTOT[[#This Row],[AP]])</f>
        <v>13.94279306206915</v>
      </c>
      <c r="H5" t="s">
        <v>2</v>
      </c>
      <c r="I5">
        <f>SUM(ABS(TableTOT[[#This Row],[PP]]-TableTOT[[#This Row],[AP]]))</f>
        <v>13.94279306206915</v>
      </c>
    </row>
    <row r="6" spans="1:9" x14ac:dyDescent="0.2">
      <c r="A6" t="s">
        <v>149</v>
      </c>
      <c r="B6">
        <v>29.6078431372549</v>
      </c>
      <c r="C6">
        <v>29.624999999999989</v>
      </c>
      <c r="D6">
        <f>TableTOT[[#This Row],[ARIMAPP]]*$I$2+TableTOT[[#This Row],[LSTMPP]]*$I$3</f>
        <v>39.855522445874989</v>
      </c>
      <c r="E6">
        <v>52</v>
      </c>
      <c r="F6">
        <f>ABS(TableTOT[[#This Row],[PP]]-TableTOT[[#This Row],[AP]])</f>
        <v>12.144477554125011</v>
      </c>
    </row>
    <row r="7" spans="1:9" x14ac:dyDescent="0.2">
      <c r="A7" t="s">
        <v>150</v>
      </c>
      <c r="B7">
        <v>49.795918367346921</v>
      </c>
      <c r="C7">
        <v>45.622339161509707</v>
      </c>
      <c r="D7">
        <f>TableTOT[[#This Row],[ARIMAPP]]*$I$2+TableTOT[[#This Row],[LSTMPP]]*$I$3</f>
        <v>61.377288185143364</v>
      </c>
      <c r="E7">
        <v>72</v>
      </c>
      <c r="F7">
        <f>ABS(TableTOT[[#This Row],[PP]]-TableTOT[[#This Row],[AP]])</f>
        <v>10.622711814856636</v>
      </c>
      <c r="H7" t="s">
        <v>3</v>
      </c>
      <c r="I7">
        <f>AVERAGE(TableTOT[DIFF])/10</f>
        <v>0.97466272926688757</v>
      </c>
    </row>
    <row r="8" spans="1:9" x14ac:dyDescent="0.2">
      <c r="A8" t="s">
        <v>151</v>
      </c>
      <c r="B8">
        <v>21.25</v>
      </c>
      <c r="C8">
        <v>23.684210526315791</v>
      </c>
      <c r="D8">
        <f>TableTOT[[#This Row],[ARIMAPP]]*$I$2+TableTOT[[#This Row],[LSTMPP]]*$I$3</f>
        <v>31.863175839473687</v>
      </c>
      <c r="E8">
        <v>33</v>
      </c>
      <c r="F8">
        <f>ABS(TableTOT[[#This Row],[PP]]-TableTOT[[#This Row],[AP]])</f>
        <v>1.136824160526313</v>
      </c>
    </row>
    <row r="9" spans="1:9" x14ac:dyDescent="0.2">
      <c r="A9" t="s">
        <v>152</v>
      </c>
      <c r="B9">
        <v>39.310344827586192</v>
      </c>
      <c r="C9">
        <v>36.016920432960461</v>
      </c>
      <c r="D9">
        <f>TableTOT[[#This Row],[ARIMAPP]]*$I$2+TableTOT[[#This Row],[LSTMPP]]*$I$3</f>
        <v>48.454790911296186</v>
      </c>
      <c r="E9">
        <v>39</v>
      </c>
      <c r="F9">
        <f>ABS(TableTOT[[#This Row],[PP]]-TableTOT[[#This Row],[AP]])</f>
        <v>9.4547909112961861</v>
      </c>
    </row>
    <row r="10" spans="1:9" x14ac:dyDescent="0.2">
      <c r="A10" t="s">
        <v>153</v>
      </c>
      <c r="B10">
        <v>24.83978261409441</v>
      </c>
      <c r="C10">
        <v>28.500000000000011</v>
      </c>
      <c r="D10">
        <f>TableTOT[[#This Row],[ARIMAPP]]*$I$2+TableTOT[[#This Row],[LSTMPP]]*$I$3</f>
        <v>38.342021593500014</v>
      </c>
      <c r="E10">
        <v>41</v>
      </c>
      <c r="F10">
        <f>ABS(TableTOT[[#This Row],[PP]]-TableTOT[[#This Row],[AP]])</f>
        <v>2.6579784064999856</v>
      </c>
    </row>
    <row r="11" spans="1:9" x14ac:dyDescent="0.2">
      <c r="A11" t="s">
        <v>154</v>
      </c>
      <c r="B11">
        <v>35.294117647058833</v>
      </c>
      <c r="C11">
        <v>33.076923076923073</v>
      </c>
      <c r="D11">
        <f>TableTOT[[#This Row],[ARIMAPP]]*$I$2+TableTOT[[#This Row],[LSTMPP]]*$I$3</f>
        <v>44.499512240769228</v>
      </c>
      <c r="E11">
        <v>27</v>
      </c>
      <c r="F11">
        <f>ABS(TableTOT[[#This Row],[PP]]-TableTOT[[#This Row],[AP]])</f>
        <v>17.499512240769228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155</v>
      </c>
      <c r="B2">
        <v>38.50843429028032</v>
      </c>
      <c r="C2">
        <v>33.445945945945958</v>
      </c>
      <c r="D2">
        <f>TableWHU[[#This Row],[ARIMAPP]]*$I$2+TableWHU[[#This Row],[LSTMPP]]*$I$3</f>
        <v>37.026907118613771</v>
      </c>
      <c r="E2">
        <v>43</v>
      </c>
      <c r="F2">
        <f>ABS(TableWHU[[#This Row],[PP]]-TableWHU[[#This Row],[AP]])</f>
        <v>5.9730928813862292</v>
      </c>
      <c r="H2" t="s">
        <v>0</v>
      </c>
      <c r="I2">
        <v>1.3401738863E-8</v>
      </c>
    </row>
    <row r="3" spans="1:9" x14ac:dyDescent="0.2">
      <c r="A3" t="s">
        <v>156</v>
      </c>
      <c r="B3">
        <v>31.52100119497295</v>
      </c>
      <c r="C3">
        <v>31.147761742223022</v>
      </c>
      <c r="D3">
        <f>TableWHU[[#This Row],[ARIMAPP]]*$I$2+TableWHU[[#This Row],[LSTMPP]]*$I$3</f>
        <v>34.482662888350468</v>
      </c>
      <c r="E3">
        <v>25</v>
      </c>
      <c r="F3">
        <f>ABS(TableWHU[[#This Row],[PP]]-TableWHU[[#This Row],[AP]])</f>
        <v>9.4826628883504682</v>
      </c>
      <c r="H3" t="s">
        <v>1</v>
      </c>
      <c r="I3">
        <v>1.1070671065</v>
      </c>
    </row>
    <row r="4" spans="1:9" x14ac:dyDescent="0.2">
      <c r="A4" t="s">
        <v>157</v>
      </c>
      <c r="B4">
        <v>17.142857142857139</v>
      </c>
      <c r="C4">
        <v>23.4</v>
      </c>
      <c r="D4">
        <f>TableWHU[[#This Row],[ARIMAPP]]*$I$2+TableWHU[[#This Row],[LSTMPP]]*$I$3</f>
        <v>25.905370521844095</v>
      </c>
      <c r="E4">
        <v>35</v>
      </c>
      <c r="F4">
        <f>ABS(TableWHU[[#This Row],[PP]]-TableWHU[[#This Row],[AP]])</f>
        <v>9.0946294781559054</v>
      </c>
    </row>
    <row r="5" spans="1:9" x14ac:dyDescent="0.2">
      <c r="A5" t="s">
        <v>158</v>
      </c>
      <c r="B5">
        <v>45.036496350364963</v>
      </c>
      <c r="C5">
        <v>42.662256125031647</v>
      </c>
      <c r="D5">
        <f>TableWHU[[#This Row],[ARIMAPP]]*$I$2+TableWHU[[#This Row],[LSTMPP]]*$I$3</f>
        <v>47.229981048668051</v>
      </c>
      <c r="E5">
        <v>33</v>
      </c>
      <c r="F5">
        <f>ABS(TableWHU[[#This Row],[PP]]-TableWHU[[#This Row],[AP]])</f>
        <v>14.229981048668051</v>
      </c>
      <c r="H5" t="s">
        <v>2</v>
      </c>
      <c r="I5">
        <f>SUM(ABS(TableWHU[[#This Row],[PP]]-TableWHU[[#This Row],[AP]]))</f>
        <v>14.229981048668051</v>
      </c>
    </row>
    <row r="6" spans="1:9" x14ac:dyDescent="0.2">
      <c r="A6" t="s">
        <v>159</v>
      </c>
      <c r="B6">
        <v>30.754716981132081</v>
      </c>
      <c r="C6">
        <v>31.428571428571431</v>
      </c>
      <c r="D6">
        <f>TableWHU[[#This Row],[ARIMAPP]]*$I$2+TableWHU[[#This Row],[LSTMPP]]*$I$3</f>
        <v>34.79353804502383</v>
      </c>
      <c r="E6">
        <v>54</v>
      </c>
      <c r="F6">
        <f>ABS(TableWHU[[#This Row],[PP]]-TableWHU[[#This Row],[AP]])</f>
        <v>19.20646195497617</v>
      </c>
    </row>
    <row r="7" spans="1:9" x14ac:dyDescent="0.2">
      <c r="A7" t="s">
        <v>160</v>
      </c>
      <c r="B7">
        <v>33.055555555555557</v>
      </c>
      <c r="C7">
        <v>31.785714285714281</v>
      </c>
      <c r="D7">
        <f>TableWHU[[#This Row],[ARIMAPP]]*$I$2+TableWHU[[#This Row],[LSTMPP]]*$I$3</f>
        <v>35.188919185323343</v>
      </c>
      <c r="E7">
        <v>45</v>
      </c>
      <c r="F7">
        <f>ABS(TableWHU[[#This Row],[PP]]-TableWHU[[#This Row],[AP]])</f>
        <v>9.8110808146766573</v>
      </c>
      <c r="H7" t="s">
        <v>3</v>
      </c>
      <c r="I7">
        <f>AVERAGE(TableWHU[DIFF])/10</f>
        <v>0.95290512097027347</v>
      </c>
    </row>
    <row r="8" spans="1:9" x14ac:dyDescent="0.2">
      <c r="A8" t="s">
        <v>161</v>
      </c>
      <c r="B8">
        <v>29.333333333333339</v>
      </c>
      <c r="C8">
        <v>30.077251861684651</v>
      </c>
      <c r="D8">
        <f>TableWHU[[#This Row],[ARIMAPP]]*$I$2+TableWHU[[#This Row],[LSTMPP]]*$I$3</f>
        <v>33.297536583104637</v>
      </c>
      <c r="E8">
        <v>20</v>
      </c>
      <c r="F8">
        <f>ABS(TableWHU[[#This Row],[PP]]-TableWHU[[#This Row],[AP]])</f>
        <v>13.297536583104637</v>
      </c>
    </row>
    <row r="9" spans="1:9" x14ac:dyDescent="0.2">
      <c r="A9" t="s">
        <v>162</v>
      </c>
      <c r="B9">
        <v>35.625000000000007</v>
      </c>
      <c r="C9">
        <v>34.583333333333329</v>
      </c>
      <c r="D9">
        <f>TableWHU[[#This Row],[ARIMAPP]]*$I$2+TableWHU[[#This Row],[LSTMPP]]*$I$3</f>
        <v>38.286071243895272</v>
      </c>
      <c r="E9">
        <v>31</v>
      </c>
      <c r="F9">
        <f>ABS(TableWHU[[#This Row],[PP]]-TableWHU[[#This Row],[AP]])</f>
        <v>7.2860712438952717</v>
      </c>
    </row>
    <row r="10" spans="1:9" x14ac:dyDescent="0.2">
      <c r="A10" t="s">
        <v>163</v>
      </c>
      <c r="B10">
        <v>16.92307692307693</v>
      </c>
      <c r="C10">
        <v>24</v>
      </c>
      <c r="D10">
        <f>TableWHU[[#This Row],[ARIMAPP]]*$I$2+TableWHU[[#This Row],[LSTMPP]]*$I$3</f>
        <v>26.569610782798659</v>
      </c>
      <c r="E10">
        <v>29</v>
      </c>
      <c r="F10">
        <f>ABS(TableWHU[[#This Row],[PP]]-TableWHU[[#This Row],[AP]])</f>
        <v>2.4303892172013413</v>
      </c>
    </row>
    <row r="11" spans="1:9" x14ac:dyDescent="0.2">
      <c r="A11" t="s">
        <v>164</v>
      </c>
      <c r="B11">
        <v>38.33333333333335</v>
      </c>
      <c r="C11">
        <v>37.505760270417767</v>
      </c>
      <c r="D11">
        <f>TableWHU[[#This Row],[ARIMAPP]]*$I$2+TableWHU[[#This Row],[LSTMPP]]*$I$3</f>
        <v>41.521394013387379</v>
      </c>
      <c r="E11">
        <v>46</v>
      </c>
      <c r="F11">
        <f>ABS(TableWHU[[#This Row],[PP]]-TableWHU[[#This Row],[AP]])</f>
        <v>4.4786059866126209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24.950205467281691</v>
      </c>
      <c r="C2">
        <v>34.768374980075542</v>
      </c>
      <c r="D2">
        <f>TableAVL[[#This Row],[ARIMAPP]]*$I$2+TableAVL[[#This Row],[LSTMPP]]*$I$3</f>
        <v>28.061314232208307</v>
      </c>
      <c r="E2">
        <v>30</v>
      </c>
      <c r="F2">
        <f>ABS(TableAVL[[#This Row],[PP]]-TableAVL[[#This Row],[AP]])</f>
        <v>1.9386857677916929</v>
      </c>
      <c r="H2" t="s">
        <v>0</v>
      </c>
      <c r="I2">
        <v>0.85827651498000002</v>
      </c>
    </row>
    <row r="3" spans="1:9" x14ac:dyDescent="0.2">
      <c r="A3" t="s">
        <v>23</v>
      </c>
      <c r="B3">
        <v>22.084237821859631</v>
      </c>
      <c r="C3">
        <v>35.343221125409613</v>
      </c>
      <c r="D3">
        <f>TableAVL[[#This Row],[ARIMAPP]]*$I$2+TableAVL[[#This Row],[LSTMPP]]*$I$3</f>
        <v>25.711422594542462</v>
      </c>
      <c r="E3">
        <v>28</v>
      </c>
      <c r="F3">
        <f>ABS(TableAVL[[#This Row],[PP]]-TableAVL[[#This Row],[AP]])</f>
        <v>2.2885774054575378</v>
      </c>
      <c r="H3" t="s">
        <v>1</v>
      </c>
      <c r="I3">
        <v>0.1911834775</v>
      </c>
    </row>
    <row r="4" spans="1:9" x14ac:dyDescent="0.2">
      <c r="A4" t="s">
        <v>24</v>
      </c>
      <c r="B4">
        <v>44.269117809889138</v>
      </c>
      <c r="C4">
        <v>27.478991596638661</v>
      </c>
      <c r="D4">
        <f>TableAVL[[#This Row],[ARIMAPP]]*$I$2+TableAVL[[#This Row],[LSTMPP]]*$I$3</f>
        <v>43.248673326749355</v>
      </c>
      <c r="E4">
        <v>47</v>
      </c>
      <c r="F4">
        <f>ABS(TableAVL[[#This Row],[PP]]-TableAVL[[#This Row],[AP]])</f>
        <v>3.7513266732506452</v>
      </c>
    </row>
    <row r="5" spans="1:9" x14ac:dyDescent="0.2">
      <c r="A5" t="s">
        <v>25</v>
      </c>
      <c r="B5">
        <v>30.555555555555529</v>
      </c>
      <c r="C5">
        <v>29.95652173913043</v>
      </c>
      <c r="D5">
        <f>TableAVL[[#This Row],[ARIMAPP]]*$I$2+TableAVL[[#This Row],[LSTMPP]]*$I$3</f>
        <v>31.95230773539128</v>
      </c>
      <c r="E5">
        <v>26</v>
      </c>
      <c r="F5">
        <f>ABS(TableAVL[[#This Row],[PP]]-TableAVL[[#This Row],[AP]])</f>
        <v>5.9523077353912797</v>
      </c>
      <c r="H5" t="s">
        <v>2</v>
      </c>
      <c r="I5">
        <f>SUM(ABS(TableAVL[[#This Row],[PP]]-TableAVL[[#This Row],[AP]]))</f>
        <v>5.9523077353912797</v>
      </c>
    </row>
    <row r="6" spans="1:9" x14ac:dyDescent="0.2">
      <c r="A6" t="s">
        <v>26</v>
      </c>
      <c r="B6">
        <v>45.750000000000021</v>
      </c>
      <c r="C6">
        <v>43.870231168248282</v>
      </c>
      <c r="D6">
        <f>TableAVL[[#This Row],[ARIMAPP]]*$I$2+TableAVL[[#This Row],[LSTMPP]]*$I$3</f>
        <v>47.653413913809615</v>
      </c>
      <c r="E6">
        <v>68</v>
      </c>
      <c r="F6">
        <f>ABS(TableAVL[[#This Row],[PP]]-TableAVL[[#This Row],[AP]])</f>
        <v>20.346586086190385</v>
      </c>
    </row>
    <row r="7" spans="1:9" x14ac:dyDescent="0.2">
      <c r="A7" t="s">
        <v>27</v>
      </c>
      <c r="B7">
        <v>30.46153846153846</v>
      </c>
      <c r="C7">
        <v>29.13461538461539</v>
      </c>
      <c r="D7">
        <f>TableAVL[[#This Row],[ARIMAPP]]*$I$2+TableAVL[[#This Row],[LSTMPP]]*$I$3</f>
        <v>31.714480156554231</v>
      </c>
      <c r="E7">
        <v>39</v>
      </c>
      <c r="F7">
        <f>ABS(TableAVL[[#This Row],[PP]]-TableAVL[[#This Row],[AP]])</f>
        <v>7.2855198434457691</v>
      </c>
      <c r="H7" t="s">
        <v>3</v>
      </c>
      <c r="I7">
        <f>AVERAGE(TableAVL[DIFF])/10</f>
        <v>0.89190502474694067</v>
      </c>
    </row>
    <row r="8" spans="1:9" x14ac:dyDescent="0.2">
      <c r="A8" t="s">
        <v>28</v>
      </c>
      <c r="B8">
        <v>35.294117647058812</v>
      </c>
      <c r="C8">
        <v>31.875</v>
      </c>
      <c r="D8">
        <f>TableAVL[[#This Row],[ARIMAPP]]*$I$2+TableAVL[[#This Row],[LSTMPP]]*$I$3</f>
        <v>36.386085638724253</v>
      </c>
      <c r="E8">
        <v>29</v>
      </c>
      <c r="F8">
        <f>ABS(TableAVL[[#This Row],[PP]]-TableAVL[[#This Row],[AP]])</f>
        <v>7.3860856387242535</v>
      </c>
    </row>
    <row r="9" spans="1:9" x14ac:dyDescent="0.2">
      <c r="A9" t="s">
        <v>29</v>
      </c>
      <c r="B9">
        <v>43.529411764705877</v>
      </c>
      <c r="C9">
        <v>42.069749468609388</v>
      </c>
      <c r="D9">
        <f>TableAVL[[#This Row],[ARIMAPP]]*$I$2+TableAVL[[#This Row],[LSTMPP]]*$I$3</f>
        <v>45.40331282950369</v>
      </c>
      <c r="E9">
        <v>23</v>
      </c>
      <c r="F9">
        <f>ABS(TableAVL[[#This Row],[PP]]-TableAVL[[#This Row],[AP]])</f>
        <v>22.40331282950369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165</v>
      </c>
      <c r="B2">
        <v>20.793245071703879</v>
      </c>
      <c r="C2">
        <v>25.158730158730162</v>
      </c>
      <c r="D2">
        <f>TableWOL[[#This Row],[ARIMAPP]]*$I$2+TableWOL[[#This Row],[LSTMPP]]*$I$3</f>
        <v>28.384933178516221</v>
      </c>
      <c r="E2">
        <v>34</v>
      </c>
      <c r="F2">
        <f>ABS(TableWOL[[#This Row],[PP]]-TableWOL[[#This Row],[AP]])</f>
        <v>5.6150668214837793</v>
      </c>
      <c r="H2" t="s">
        <v>0</v>
      </c>
      <c r="I2">
        <v>0.71088635621999996</v>
      </c>
    </row>
    <row r="3" spans="1:9" x14ac:dyDescent="0.2">
      <c r="A3" t="s">
        <v>166</v>
      </c>
      <c r="B3">
        <v>29.519230769230759</v>
      </c>
      <c r="C3">
        <v>31.048769262896851</v>
      </c>
      <c r="D3">
        <f>TableWOL[[#This Row],[ARIMAPP]]*$I$2+TableWOL[[#This Row],[LSTMPP]]*$I$3</f>
        <v>37.77285530876857</v>
      </c>
      <c r="E3">
        <v>34</v>
      </c>
      <c r="F3">
        <f>ABS(TableWOL[[#This Row],[PP]]-TableWOL[[#This Row],[AP]])</f>
        <v>3.7728553087685697</v>
      </c>
      <c r="H3" t="s">
        <v>1</v>
      </c>
      <c r="I3">
        <v>0.54069894902000004</v>
      </c>
    </row>
    <row r="4" spans="1:9" x14ac:dyDescent="0.2">
      <c r="A4" t="s">
        <v>167</v>
      </c>
      <c r="B4">
        <v>26.10188148996118</v>
      </c>
      <c r="C4">
        <v>28.072916666666671</v>
      </c>
      <c r="D4">
        <f>TableWOL[[#This Row],[ARIMAPP]]*$I$2+TableWOL[[#This Row],[LSTMPP]]*$I$3</f>
        <v>33.734467960477481</v>
      </c>
      <c r="E4">
        <v>36</v>
      </c>
      <c r="F4">
        <f>ABS(TableWOL[[#This Row],[PP]]-TableWOL[[#This Row],[AP]])</f>
        <v>2.2655320395225189</v>
      </c>
    </row>
    <row r="5" spans="1:9" x14ac:dyDescent="0.2">
      <c r="A5" t="s">
        <v>168</v>
      </c>
      <c r="B5">
        <v>39.047796815602908</v>
      </c>
      <c r="C5">
        <v>35.268241893356482</v>
      </c>
      <c r="D5">
        <f>TableWOL[[#This Row],[ARIMAPP]]*$I$2+TableWOL[[#This Row],[LSTMPP]]*$I$3</f>
        <v>46.828047322183849</v>
      </c>
      <c r="E5">
        <v>30</v>
      </c>
      <c r="F5">
        <f>ABS(TableWOL[[#This Row],[PP]]-TableWOL[[#This Row],[AP]])</f>
        <v>16.828047322183849</v>
      </c>
      <c r="H5" t="s">
        <v>2</v>
      </c>
      <c r="I5">
        <f>SUM(ABS(TableWOL[[#This Row],[PP]]-TableWOL[[#This Row],[AP]]))</f>
        <v>16.828047322183849</v>
      </c>
    </row>
    <row r="6" spans="1:9" x14ac:dyDescent="0.2">
      <c r="A6" t="s">
        <v>169</v>
      </c>
      <c r="B6">
        <v>22.571428571428569</v>
      </c>
      <c r="C6">
        <v>24.821428571428569</v>
      </c>
      <c r="D6">
        <f>TableWOL[[#This Row],[ARIMAPP]]*$I$2+TableWOL[[#This Row],[LSTMPP]]*$I$3</f>
        <v>29.466640953569282</v>
      </c>
      <c r="E6">
        <v>27</v>
      </c>
      <c r="F6">
        <f>ABS(TableWOL[[#This Row],[PP]]-TableWOL[[#This Row],[AP]])</f>
        <v>2.4666409535692821</v>
      </c>
    </row>
    <row r="7" spans="1:9" x14ac:dyDescent="0.2">
      <c r="A7" t="s">
        <v>170</v>
      </c>
      <c r="B7">
        <v>53.150715278886331</v>
      </c>
      <c r="C7">
        <v>25.833333333333329</v>
      </c>
      <c r="D7">
        <f>TableWOL[[#This Row],[ARIMAPP]]*$I$2+TableWOL[[#This Row],[LSTMPP]]*$I$3</f>
        <v>51.752174498110847</v>
      </c>
      <c r="E7">
        <v>48</v>
      </c>
      <c r="F7">
        <f>ABS(TableWOL[[#This Row],[PP]]-TableWOL[[#This Row],[AP]])</f>
        <v>3.7521744981108469</v>
      </c>
      <c r="H7" t="s">
        <v>3</v>
      </c>
      <c r="I7">
        <f>AVERAGE(TableWOL[DIFF])/10</f>
        <v>0.68329702265324932</v>
      </c>
    </row>
    <row r="8" spans="1:9" x14ac:dyDescent="0.2">
      <c r="A8" t="s">
        <v>171</v>
      </c>
      <c r="B8">
        <v>41.020070406774572</v>
      </c>
      <c r="C8">
        <v>26.458333333333329</v>
      </c>
      <c r="D8">
        <f>TableWOL[[#This Row],[ARIMAPP]]*$I$2+TableWOL[[#This Row],[LSTMPP]]*$I$3</f>
        <v>43.466601409513991</v>
      </c>
      <c r="E8">
        <v>57</v>
      </c>
      <c r="F8">
        <f>ABS(TableWOL[[#This Row],[PP]]-TableWOL[[#This Row],[AP]])</f>
        <v>13.533398590486009</v>
      </c>
    </row>
    <row r="9" spans="1:9" x14ac:dyDescent="0.2">
      <c r="A9" t="s">
        <v>172</v>
      </c>
      <c r="B9">
        <v>29.970242825987459</v>
      </c>
      <c r="C9">
        <v>21.176873620215162</v>
      </c>
      <c r="D9">
        <f>TableWOL[[#This Row],[ARIMAPP]]*$I$2+TableWOL[[#This Row],[LSTMPP]]*$I$3</f>
        <v>32.755750027574521</v>
      </c>
      <c r="E9">
        <v>37</v>
      </c>
      <c r="F9">
        <f>ABS(TableWOL[[#This Row],[PP]]-TableWOL[[#This Row],[AP]])</f>
        <v>4.2442499724254787</v>
      </c>
    </row>
    <row r="10" spans="1:9" x14ac:dyDescent="0.2">
      <c r="A10" t="s">
        <v>173</v>
      </c>
      <c r="B10">
        <v>18.333333333333339</v>
      </c>
      <c r="C10">
        <v>23.94736842105263</v>
      </c>
      <c r="D10">
        <f>TableWOL[[#This Row],[ARIMAPP]]*$I$2+TableWOL[[#This Row],[LSTMPP]]*$I$3</f>
        <v>25.981233467757896</v>
      </c>
      <c r="E10">
        <v>35</v>
      </c>
      <c r="F10">
        <f>ABS(TableWOL[[#This Row],[PP]]-TableWOL[[#This Row],[AP]])</f>
        <v>9.018766532242104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30</v>
      </c>
      <c r="B2">
        <v>22.500000000000011</v>
      </c>
      <c r="C2">
        <v>26.506849315068489</v>
      </c>
      <c r="D2">
        <f>TableBOU[[#This Row],[ARIMAPP]]*$I$2+TableBOU[[#This Row],[LSTMPP]]*$I$3</f>
        <v>29.074184628503435</v>
      </c>
      <c r="E2">
        <v>27</v>
      </c>
      <c r="F2">
        <f>ABS(TableBOU[[#This Row],[PP]]-TableBOU[[#This Row],[AP]])</f>
        <v>2.0741846285034349</v>
      </c>
      <c r="H2" t="s">
        <v>0</v>
      </c>
      <c r="I2">
        <v>1.0434043272</v>
      </c>
    </row>
    <row r="3" spans="1:9" x14ac:dyDescent="0.2">
      <c r="A3" t="s">
        <v>31</v>
      </c>
      <c r="B3">
        <v>17.131931470217019</v>
      </c>
      <c r="C3">
        <v>23.49206349206349</v>
      </c>
      <c r="D3">
        <f>TableBOU[[#This Row],[ARIMAPP]]*$I$2+TableBOU[[#This Row],[LSTMPP]]*$I$3</f>
        <v>22.836470917223053</v>
      </c>
      <c r="E3">
        <v>33</v>
      </c>
      <c r="F3">
        <f>ABS(TableBOU[[#This Row],[PP]]-TableBOU[[#This Row],[AP]])</f>
        <v>10.163529082776947</v>
      </c>
      <c r="H3" t="s">
        <v>1</v>
      </c>
      <c r="I3">
        <v>0.21117512685000001</v>
      </c>
    </row>
    <row r="4" spans="1:9" x14ac:dyDescent="0.2">
      <c r="A4" t="s">
        <v>32</v>
      </c>
      <c r="B4">
        <v>44.483880905697717</v>
      </c>
      <c r="C4">
        <v>28.263888888888889</v>
      </c>
      <c r="D4">
        <f>TableBOU[[#This Row],[ARIMAPP]]*$I$2+TableBOU[[#This Row],[LSTMPP]]*$I$3</f>
        <v>52.383304149039873</v>
      </c>
      <c r="E4">
        <v>63</v>
      </c>
      <c r="F4">
        <f>ABS(TableBOU[[#This Row],[PP]]-TableBOU[[#This Row],[AP]])</f>
        <v>10.616695850960127</v>
      </c>
    </row>
    <row r="5" spans="1:9" x14ac:dyDescent="0.2">
      <c r="A5" t="s">
        <v>33</v>
      </c>
      <c r="B5">
        <v>38.857142857142847</v>
      </c>
      <c r="C5">
        <v>35.704938971061488</v>
      </c>
      <c r="D5">
        <f>TableBOU[[#This Row],[ARIMAPP]]*$I$2+TableBOU[[#This Row],[LSTMPP]]*$I$3</f>
        <v>48.083706016156839</v>
      </c>
      <c r="E5">
        <v>23</v>
      </c>
      <c r="F5">
        <f>ABS(TableBOU[[#This Row],[PP]]-TableBOU[[#This Row],[AP]])</f>
        <v>25.083706016156839</v>
      </c>
      <c r="H5" t="s">
        <v>2</v>
      </c>
      <c r="I5">
        <f>SUM(ABS(TableBOU[[#This Row],[PP]]-TableBOU[[#This Row],[AP]]))</f>
        <v>25.083706016156839</v>
      </c>
    </row>
    <row r="6" spans="1:9" x14ac:dyDescent="0.2">
      <c r="A6" t="s">
        <v>34</v>
      </c>
      <c r="B6">
        <v>20.539512985232012</v>
      </c>
      <c r="C6">
        <v>26.060606060606059</v>
      </c>
      <c r="D6">
        <f>TableBOU[[#This Row],[ARIMAPP]]*$I$2+TableBOU[[#This Row],[LSTMPP]]*$I$3</f>
        <v>26.934368518008036</v>
      </c>
      <c r="E6">
        <v>52</v>
      </c>
      <c r="F6">
        <f>ABS(TableBOU[[#This Row],[PP]]-TableBOU[[#This Row],[AP]])</f>
        <v>25.065631481991964</v>
      </c>
    </row>
    <row r="7" spans="1:9" x14ac:dyDescent="0.2">
      <c r="A7" t="s">
        <v>35</v>
      </c>
      <c r="B7">
        <v>34.963988734121529</v>
      </c>
      <c r="C7">
        <v>44.290954162492802</v>
      </c>
      <c r="D7">
        <f>TableBOU[[#This Row],[ARIMAPP]]*$I$2+TableBOU[[#This Row],[LSTMPP]]*$I$3</f>
        <v>45.834725004926405</v>
      </c>
      <c r="E7">
        <v>31</v>
      </c>
      <c r="F7">
        <f>ABS(TableBOU[[#This Row],[PP]]-TableBOU[[#This Row],[AP]])</f>
        <v>14.834725004926405</v>
      </c>
      <c r="H7" t="s">
        <v>3</v>
      </c>
      <c r="I7">
        <f>AVERAGE(TableBOU[DIFF])/10</f>
        <v>1.15870067868782</v>
      </c>
    </row>
    <row r="8" spans="1:9" x14ac:dyDescent="0.2">
      <c r="A8" t="s">
        <v>36</v>
      </c>
      <c r="B8">
        <v>25.454545454545439</v>
      </c>
      <c r="C8">
        <v>27.64705882352942</v>
      </c>
      <c r="D8">
        <f>TableBOU[[#This Row],[ARIMAPP]]*$I$2+TableBOU[[#This Row],[LSTMPP]]*$I$3</f>
        <v>32.397754028270036</v>
      </c>
      <c r="E8">
        <v>40</v>
      </c>
      <c r="F8">
        <f>ABS(TableBOU[[#This Row],[PP]]-TableBOU[[#This Row],[AP]])</f>
        <v>7.602245971729964</v>
      </c>
    </row>
    <row r="9" spans="1:9" x14ac:dyDescent="0.2">
      <c r="A9" t="s">
        <v>37</v>
      </c>
      <c r="B9">
        <v>19.047619047619051</v>
      </c>
      <c r="C9">
        <v>20.697086089156478</v>
      </c>
      <c r="D9">
        <f>TableBOU[[#This Row],[ARIMAPP]]*$I$2+TableBOU[[#This Row],[LSTMPP]]*$I$3</f>
        <v>24.245077917445848</v>
      </c>
      <c r="E9">
        <v>27</v>
      </c>
      <c r="F9">
        <f>ABS(TableBOU[[#This Row],[PP]]-TableBOU[[#This Row],[AP]])</f>
        <v>2.7549220825541525</v>
      </c>
    </row>
    <row r="10" spans="1:9" x14ac:dyDescent="0.2">
      <c r="A10" t="s">
        <v>38</v>
      </c>
      <c r="B10">
        <v>21.818181818181809</v>
      </c>
      <c r="C10">
        <v>24.375</v>
      </c>
      <c r="D10">
        <f>TableBOU[[#This Row],[ARIMAPP]]*$I$2+TableBOU[[#This Row],[LSTMPP]]*$I$3</f>
        <v>27.912579037696013</v>
      </c>
      <c r="E10">
        <v>34</v>
      </c>
      <c r="F10">
        <f>ABS(TableBOU[[#This Row],[PP]]-TableBOU[[#This Row],[AP]])</f>
        <v>6.0874209623039874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39</v>
      </c>
      <c r="B2">
        <v>22.06982708177393</v>
      </c>
      <c r="C2">
        <v>30.22727272727273</v>
      </c>
      <c r="D2">
        <f>TableBRE[[#This Row],[ARIMAPP]]*$I$2+TableBRE[[#This Row],[LSTMPP]]*$I$3</f>
        <v>29.403493100468211</v>
      </c>
      <c r="E2">
        <v>29</v>
      </c>
      <c r="F2">
        <f>ABS(TableBRE[[#This Row],[PP]]-TableBRE[[#This Row],[AP]])</f>
        <v>0.40349310046821074</v>
      </c>
      <c r="H2" t="s">
        <v>0</v>
      </c>
      <c r="I2">
        <v>1.1205663156E-7</v>
      </c>
    </row>
    <row r="3" spans="1:9" x14ac:dyDescent="0.2">
      <c r="A3" t="s">
        <v>40</v>
      </c>
      <c r="B3">
        <v>30</v>
      </c>
      <c r="C3">
        <v>29.245283018867919</v>
      </c>
      <c r="D3">
        <f>TableBRE[[#This Row],[ARIMAPP]]*$I$2+TableBRE[[#This Row],[LSTMPP]]*$I$3</f>
        <v>28.448266388915922</v>
      </c>
      <c r="E3">
        <v>23</v>
      </c>
      <c r="F3">
        <f>ABS(TableBRE[[#This Row],[PP]]-TableBRE[[#This Row],[AP]])</f>
        <v>5.448266388915922</v>
      </c>
      <c r="H3" t="s">
        <v>1</v>
      </c>
      <c r="I3">
        <v>0.97274705834999997</v>
      </c>
    </row>
    <row r="4" spans="1:9" x14ac:dyDescent="0.2">
      <c r="A4" t="s">
        <v>41</v>
      </c>
      <c r="B4">
        <v>26.582278481012651</v>
      </c>
      <c r="C4">
        <v>27.142857142857149</v>
      </c>
      <c r="D4">
        <f>TableBRE[[#This Row],[ARIMAPP]]*$I$2+TableBRE[[#This Row],[LSTMPP]]*$I$3</f>
        <v>26.403137419649166</v>
      </c>
      <c r="E4">
        <v>21</v>
      </c>
      <c r="F4">
        <f>ABS(TableBRE[[#This Row],[PP]]-TableBRE[[#This Row],[AP]])</f>
        <v>5.4031374196491662</v>
      </c>
    </row>
    <row r="5" spans="1:9" x14ac:dyDescent="0.2">
      <c r="A5" t="s">
        <v>42</v>
      </c>
      <c r="B5">
        <v>31.215818894032601</v>
      </c>
      <c r="C5">
        <v>28.083333333333329</v>
      </c>
      <c r="D5">
        <f>TableBRE[[#This Row],[ARIMAPP]]*$I$2+TableBRE[[#This Row],[LSTMPP]]*$I$3</f>
        <v>27.317983386602013</v>
      </c>
      <c r="E5">
        <v>29</v>
      </c>
      <c r="F5">
        <f>ABS(TableBRE[[#This Row],[PP]]-TableBRE[[#This Row],[AP]])</f>
        <v>1.6820166133979875</v>
      </c>
      <c r="H5" t="s">
        <v>2</v>
      </c>
      <c r="I5">
        <f>SUM(ABS(TableBRE[[#This Row],[PP]]-TableBRE[[#This Row],[AP]]))</f>
        <v>1.6820166133979875</v>
      </c>
    </row>
    <row r="6" spans="1:9" x14ac:dyDescent="0.2">
      <c r="A6" t="s">
        <v>43</v>
      </c>
      <c r="B6">
        <v>18.03921568627451</v>
      </c>
      <c r="C6">
        <v>24.5</v>
      </c>
      <c r="D6">
        <f>TableBRE[[#This Row],[ARIMAPP]]*$I$2+TableBRE[[#This Row],[LSTMPP]]*$I$3</f>
        <v>23.832304950988746</v>
      </c>
      <c r="E6">
        <v>31</v>
      </c>
      <c r="F6">
        <f>ABS(TableBRE[[#This Row],[PP]]-TableBRE[[#This Row],[AP]])</f>
        <v>7.1676950490112539</v>
      </c>
    </row>
    <row r="7" spans="1:9" x14ac:dyDescent="0.2">
      <c r="A7" t="s">
        <v>44</v>
      </c>
      <c r="B7">
        <v>29.333333333333339</v>
      </c>
      <c r="C7">
        <v>29.583333333333329</v>
      </c>
      <c r="D7">
        <f>TableBRE[[#This Row],[ARIMAPP]]*$I$2+TableBRE[[#This Row],[LSTMPP]]*$I$3</f>
        <v>28.777103763182023</v>
      </c>
      <c r="E7">
        <v>32</v>
      </c>
      <c r="F7">
        <f>ABS(TableBRE[[#This Row],[PP]]-TableBRE[[#This Row],[AP]])</f>
        <v>3.2228962368179772</v>
      </c>
      <c r="H7" t="s">
        <v>3</v>
      </c>
      <c r="I7">
        <f>AVERAGE(TableBRE[DIFF])/10</f>
        <v>0.38879174680434192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45</v>
      </c>
      <c r="B2">
        <v>31.213872832369979</v>
      </c>
      <c r="C2">
        <v>31.268115942028981</v>
      </c>
      <c r="D2">
        <f>TableBHA[[#This Row],[ARIMAPP]]*$I$2+TableBHA[[#This Row],[LSTMPP]]*$I$3</f>
        <v>42.461216531813562</v>
      </c>
      <c r="E2">
        <v>37</v>
      </c>
      <c r="F2">
        <f>ABS(TableBHA[[#This Row],[PP]]-TableBHA[[#This Row],[AP]])</f>
        <v>5.4612165318135624</v>
      </c>
      <c r="H2" t="s">
        <v>0</v>
      </c>
      <c r="I2">
        <v>0.92608739106000004</v>
      </c>
    </row>
    <row r="3" spans="1:9" x14ac:dyDescent="0.2">
      <c r="A3" t="s">
        <v>46</v>
      </c>
      <c r="B3">
        <v>35.125</v>
      </c>
      <c r="C3">
        <v>33.830774820345759</v>
      </c>
      <c r="D3">
        <f>TableBHA[[#This Row],[ARIMAPP]]*$I$2+TableBHA[[#This Row],[LSTMPP]]*$I$3</f>
        <v>47.194151288071765</v>
      </c>
      <c r="E3">
        <v>55</v>
      </c>
      <c r="F3">
        <f>ABS(TableBHA[[#This Row],[PP]]-TableBHA[[#This Row],[AP]])</f>
        <v>7.8058487119282347</v>
      </c>
      <c r="H3" t="s">
        <v>1</v>
      </c>
      <c r="I3">
        <v>0.43349086016999999</v>
      </c>
    </row>
    <row r="4" spans="1:9" x14ac:dyDescent="0.2">
      <c r="A4" t="s">
        <v>47</v>
      </c>
      <c r="B4">
        <v>29.525151917421979</v>
      </c>
      <c r="C4">
        <v>30.476190476190471</v>
      </c>
      <c r="D4">
        <f>TableBHA[[#This Row],[ARIMAPP]]*$I$2+TableBHA[[#This Row],[LSTMPP]]*$I$3</f>
        <v>40.554020934084051</v>
      </c>
      <c r="E4">
        <v>35</v>
      </c>
      <c r="F4">
        <f>ABS(TableBHA[[#This Row],[PP]]-TableBHA[[#This Row],[AP]])</f>
        <v>5.5540209340840505</v>
      </c>
    </row>
    <row r="5" spans="1:9" x14ac:dyDescent="0.2">
      <c r="A5" t="s">
        <v>48</v>
      </c>
      <c r="B5">
        <v>19.197758164539131</v>
      </c>
      <c r="C5">
        <v>23.58695652173914</v>
      </c>
      <c r="D5">
        <f>TableBHA[[#This Row],[ARIMAPP]]*$I$2+TableBHA[[#This Row],[LSTMPP]]*$I$3</f>
        <v>28.003531844199948</v>
      </c>
      <c r="E5">
        <v>20</v>
      </c>
      <c r="F5">
        <f>ABS(TableBHA[[#This Row],[PP]]-TableBHA[[#This Row],[AP]])</f>
        <v>8.0035318441999479</v>
      </c>
      <c r="H5" t="s">
        <v>2</v>
      </c>
      <c r="I5">
        <f>SUM(ABS(TableBHA[[#This Row],[PP]]-TableBHA[[#This Row],[AP]]))</f>
        <v>8.0035318441999479</v>
      </c>
    </row>
    <row r="6" spans="1:9" x14ac:dyDescent="0.2">
      <c r="A6" t="s">
        <v>49</v>
      </c>
      <c r="B6">
        <v>19.920099083028251</v>
      </c>
      <c r="C6">
        <v>25</v>
      </c>
      <c r="D6">
        <f>TableBHA[[#This Row],[ARIMAPP]]*$I$2+TableBHA[[#This Row],[LSTMPP]]*$I$3</f>
        <v>29.28502409370833</v>
      </c>
      <c r="E6">
        <v>41</v>
      </c>
      <c r="F6">
        <f>ABS(TableBHA[[#This Row],[PP]]-TableBHA[[#This Row],[AP]])</f>
        <v>11.71497590629167</v>
      </c>
    </row>
    <row r="7" spans="1:9" x14ac:dyDescent="0.2">
      <c r="A7" t="s">
        <v>50</v>
      </c>
      <c r="B7">
        <v>15.086647067872811</v>
      </c>
      <c r="C7">
        <v>45.905123026174621</v>
      </c>
      <c r="D7">
        <f>TableBHA[[#This Row],[ARIMAPP]]*$I$2+TableBHA[[#This Row],[LSTMPP]]*$I$3</f>
        <v>33.87100488975544</v>
      </c>
      <c r="E7">
        <v>30</v>
      </c>
      <c r="F7">
        <f>ABS(TableBHA[[#This Row],[PP]]-TableBHA[[#This Row],[AP]])</f>
        <v>3.8710048897554401</v>
      </c>
      <c r="H7" t="s">
        <v>3</v>
      </c>
      <c r="I7">
        <f>AVERAGE(TableBHA[DIFF])/10</f>
        <v>0.74920215992207662</v>
      </c>
    </row>
    <row r="8" spans="1:9" x14ac:dyDescent="0.2">
      <c r="A8" t="s">
        <v>51</v>
      </c>
      <c r="B8">
        <v>12.10526312202896</v>
      </c>
      <c r="C8">
        <v>21.666666666666671</v>
      </c>
      <c r="D8">
        <f>TableBHA[[#This Row],[ARIMAPP]]*$I$2+TableBHA[[#This Row],[LSTMPP]]*$I$3</f>
        <v>20.602833513124629</v>
      </c>
      <c r="E8">
        <v>33</v>
      </c>
      <c r="F8">
        <f>ABS(TableBHA[[#This Row],[PP]]-TableBHA[[#This Row],[AP]])</f>
        <v>12.397166486875371</v>
      </c>
    </row>
    <row r="9" spans="1:9" x14ac:dyDescent="0.2">
      <c r="A9" t="s">
        <v>52</v>
      </c>
      <c r="B9">
        <v>21.666666666666661</v>
      </c>
      <c r="C9">
        <v>23.214285714285719</v>
      </c>
      <c r="D9">
        <f>TableBHA[[#This Row],[ARIMAPP]]*$I$2+TableBHA[[#This Row],[LSTMPP]]*$I$3</f>
        <v>30.128407488817857</v>
      </c>
      <c r="E9">
        <v>25</v>
      </c>
      <c r="F9">
        <f>ABS(TableBHA[[#This Row],[PP]]-TableBHA[[#This Row],[AP]])</f>
        <v>5.1284074888178566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53</v>
      </c>
      <c r="B2">
        <v>24.235294117647051</v>
      </c>
      <c r="C2">
        <v>26.32352941176471</v>
      </c>
      <c r="D2">
        <f>TableBUR[[#This Row],[ARIMAPP]]*$I$2+TableBUR[[#This Row],[LSTMPP]]*$I$3</f>
        <v>22.888274249792346</v>
      </c>
      <c r="E2">
        <v>22</v>
      </c>
      <c r="F2">
        <f>ABS(TableBUR[[#This Row],[PP]]-TableBUR[[#This Row],[AP]])</f>
        <v>0.88827424979234593</v>
      </c>
      <c r="H2" t="s">
        <v>0</v>
      </c>
      <c r="I2">
        <v>0.81465393930999996</v>
      </c>
    </row>
    <row r="3" spans="1:9" x14ac:dyDescent="0.2">
      <c r="A3" t="s">
        <v>54</v>
      </c>
      <c r="B3">
        <v>29.229490271682138</v>
      </c>
      <c r="C3">
        <v>21.666666666666671</v>
      </c>
      <c r="D3">
        <f>TableBUR[[#This Row],[ARIMAPP]]*$I$2+TableBUR[[#This Row],[LSTMPP]]*$I$3</f>
        <v>26.400456117349172</v>
      </c>
      <c r="E3">
        <v>25</v>
      </c>
      <c r="F3">
        <f>ABS(TableBUR[[#This Row],[PP]]-TableBUR[[#This Row],[AP]])</f>
        <v>1.4004561173491723</v>
      </c>
      <c r="H3" t="s">
        <v>1</v>
      </c>
      <c r="I3">
        <v>0.11947092569999999</v>
      </c>
    </row>
    <row r="4" spans="1:9" x14ac:dyDescent="0.2">
      <c r="A4" t="s">
        <v>55</v>
      </c>
      <c r="B4">
        <v>29.285714285714288</v>
      </c>
      <c r="C4">
        <v>25.189573561684089</v>
      </c>
      <c r="D4">
        <f>TableBUR[[#This Row],[ARIMAPP]]*$I$2+TableBUR[[#This Row],[LSTMPP]]*$I$3</f>
        <v>26.867144179766932</v>
      </c>
      <c r="E4">
        <v>29</v>
      </c>
      <c r="F4">
        <f>ABS(TableBUR[[#This Row],[PP]]-TableBUR[[#This Row],[AP]])</f>
        <v>2.1328558202330683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0.14738620624581955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56</v>
      </c>
      <c r="B2">
        <v>44.363318347283048</v>
      </c>
      <c r="C2">
        <v>57.688065321709381</v>
      </c>
      <c r="D2">
        <f>TableCHE[[#This Row],[ARIMAPP]]*$I$2+TableCHE[[#This Row],[LSTMPP]]*$I$3</f>
        <v>51.141083357569556</v>
      </c>
      <c r="E2">
        <v>32</v>
      </c>
      <c r="F2">
        <f>ABS(TableCHE[[#This Row],[PP]]-TableCHE[[#This Row],[AP]])</f>
        <v>19.141083357569556</v>
      </c>
      <c r="H2" t="s">
        <v>0</v>
      </c>
      <c r="I2">
        <v>0.92022433808000004</v>
      </c>
    </row>
    <row r="3" spans="1:9" x14ac:dyDescent="0.2">
      <c r="A3" t="s">
        <v>57</v>
      </c>
      <c r="B3">
        <v>28.141303826209111</v>
      </c>
      <c r="C3">
        <v>28.181818181818191</v>
      </c>
      <c r="D3">
        <f>TableCHE[[#This Row],[ARIMAPP]]*$I$2+TableCHE[[#This Row],[LSTMPP]]*$I$3</f>
        <v>30.936321934117817</v>
      </c>
      <c r="E3">
        <v>34</v>
      </c>
      <c r="F3">
        <f>ABS(TableCHE[[#This Row],[PP]]-TableCHE[[#This Row],[AP]])</f>
        <v>3.0636780658821827</v>
      </c>
      <c r="H3" t="s">
        <v>1</v>
      </c>
      <c r="I3">
        <v>0.17883903782999999</v>
      </c>
    </row>
    <row r="4" spans="1:9" x14ac:dyDescent="0.2">
      <c r="A4" t="s">
        <v>58</v>
      </c>
      <c r="B4">
        <v>20.057254789280019</v>
      </c>
      <c r="C4">
        <v>23.125</v>
      </c>
      <c r="D4">
        <f>TableCHE[[#This Row],[ARIMAPP]]*$I$2+TableCHE[[#This Row],[LSTMPP]]*$I$3</f>
        <v>22.592826761985865</v>
      </c>
      <c r="E4">
        <v>83</v>
      </c>
      <c r="F4">
        <f>ABS(TableCHE[[#This Row],[PP]]-TableCHE[[#This Row],[AP]])</f>
        <v>60.407173238014138</v>
      </c>
    </row>
    <row r="5" spans="1:9" x14ac:dyDescent="0.2">
      <c r="A5" t="s">
        <v>59</v>
      </c>
      <c r="B5">
        <v>27.998750921758528</v>
      </c>
      <c r="C5">
        <v>33.254021928326978</v>
      </c>
      <c r="D5">
        <f>TableCHE[[#This Row],[ARIMAPP]]*$I$2+TableCHE[[#This Row],[LSTMPP]]*$I$3</f>
        <v>31.712249319681749</v>
      </c>
      <c r="E5">
        <v>29</v>
      </c>
      <c r="F5">
        <f>ABS(TableCHE[[#This Row],[PP]]-TableCHE[[#This Row],[AP]])</f>
        <v>2.7122493196817494</v>
      </c>
      <c r="H5" t="s">
        <v>2</v>
      </c>
      <c r="I5">
        <f>SUM(ABS(TableCHE[[#This Row],[PP]]-TableCHE[[#This Row],[AP]]))</f>
        <v>2.7122493196817494</v>
      </c>
    </row>
    <row r="6" spans="1:9" x14ac:dyDescent="0.2">
      <c r="A6" t="s">
        <v>60</v>
      </c>
      <c r="B6">
        <v>28.275862068965509</v>
      </c>
      <c r="C6">
        <v>29.478705638710611</v>
      </c>
      <c r="D6">
        <f>TableCHE[[#This Row],[ARIMAPP]]*$I$2+TableCHE[[#This Row],[LSTMPP]]*$I$3</f>
        <v>31.292079808955968</v>
      </c>
      <c r="E6">
        <v>23</v>
      </c>
      <c r="F6">
        <f>ABS(TableCHE[[#This Row],[PP]]-TableCHE[[#This Row],[AP]])</f>
        <v>8.2920798089559682</v>
      </c>
    </row>
    <row r="7" spans="1:9" x14ac:dyDescent="0.2">
      <c r="A7" t="s">
        <v>61</v>
      </c>
      <c r="B7">
        <v>22.5</v>
      </c>
      <c r="C7">
        <v>24.21052631578948</v>
      </c>
      <c r="D7">
        <f>TableCHE[[#This Row],[ARIMAPP]]*$I$2+TableCHE[[#This Row],[LSTMPP]]*$I$3</f>
        <v>25.034834838473685</v>
      </c>
      <c r="E7">
        <v>36</v>
      </c>
      <c r="F7">
        <f>ABS(TableCHE[[#This Row],[PP]]-TableCHE[[#This Row],[AP]])</f>
        <v>10.965165161526315</v>
      </c>
      <c r="H7" t="s">
        <v>3</v>
      </c>
      <c r="I7">
        <f>AVERAGE(TableCHE[DIFF])/10</f>
        <v>1.4489417400077502</v>
      </c>
    </row>
    <row r="8" spans="1:9" x14ac:dyDescent="0.2">
      <c r="A8" t="s">
        <v>62</v>
      </c>
      <c r="B8">
        <v>34.081766413368612</v>
      </c>
      <c r="C8">
        <v>25.833333333333329</v>
      </c>
      <c r="D8">
        <f>TableCHE[[#This Row],[ARIMAPP]]*$I$2+TableCHE[[#This Row],[LSTMPP]]*$I$3</f>
        <v>35.982879415614306</v>
      </c>
      <c r="E8">
        <v>26</v>
      </c>
      <c r="F8">
        <f>ABS(TableCHE[[#This Row],[PP]]-TableCHE[[#This Row],[AP]])</f>
        <v>9.9828794156143061</v>
      </c>
    </row>
    <row r="9" spans="1:9" x14ac:dyDescent="0.2">
      <c r="A9" t="s">
        <v>63</v>
      </c>
      <c r="B9">
        <v>33.110080147233177</v>
      </c>
      <c r="C9">
        <v>38.483372140788319</v>
      </c>
      <c r="D9">
        <f>TableCHE[[#This Row],[ARIMAPP]]*$I$2+TableCHE[[#This Row],[LSTMPP]]*$I$3</f>
        <v>37.351030833375809</v>
      </c>
      <c r="E9">
        <v>36</v>
      </c>
      <c r="F9">
        <f>ABS(TableCHE[[#This Row],[PP]]-TableCHE[[#This Row],[AP]])</f>
        <v>1.351030833375809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64</v>
      </c>
      <c r="B2">
        <v>25.280000000000019</v>
      </c>
      <c r="C2">
        <v>27.45000000000001</v>
      </c>
      <c r="D2">
        <f>TableCRY[[#This Row],[ARIMAPP]]*$I$2+TableCRY[[#This Row],[LSTMPP]]*$I$3</f>
        <v>25.687461220181312</v>
      </c>
      <c r="E2">
        <v>21</v>
      </c>
      <c r="F2">
        <f>ABS(TableCRY[[#This Row],[PP]]-TableCRY[[#This Row],[AP]])</f>
        <v>4.6874612201813122</v>
      </c>
      <c r="H2" t="s">
        <v>0</v>
      </c>
      <c r="I2">
        <v>0.38715372916000002</v>
      </c>
    </row>
    <row r="3" spans="1:9" x14ac:dyDescent="0.2">
      <c r="A3" t="s">
        <v>65</v>
      </c>
      <c r="B3">
        <v>27.396449704142011</v>
      </c>
      <c r="C3">
        <v>28.481481481481481</v>
      </c>
      <c r="D3">
        <f>TableCRY[[#This Row],[ARIMAPP]]*$I$2+TableCRY[[#This Row],[LSTMPP]]*$I$3</f>
        <v>27.104330840470737</v>
      </c>
      <c r="E3">
        <v>35</v>
      </c>
      <c r="F3">
        <f>ABS(TableCRY[[#This Row],[PP]]-TableCRY[[#This Row],[AP]])</f>
        <v>7.8956691595292625</v>
      </c>
      <c r="H3" t="s">
        <v>1</v>
      </c>
      <c r="I3">
        <v>0.57924280316999999</v>
      </c>
    </row>
    <row r="4" spans="1:9" x14ac:dyDescent="0.2">
      <c r="A4" t="s">
        <v>66</v>
      </c>
      <c r="B4">
        <v>36.70454545454546</v>
      </c>
      <c r="C4">
        <v>31.142857142857139</v>
      </c>
      <c r="D4">
        <f>TableCRY[[#This Row],[ARIMAPP]]*$I$2+TableCRY[[#This Row],[LSTMPP]]*$I$3</f>
        <v>32.249577520001424</v>
      </c>
      <c r="E4">
        <v>45</v>
      </c>
      <c r="F4">
        <f>ABS(TableCRY[[#This Row],[PP]]-TableCRY[[#This Row],[AP]])</f>
        <v>12.750422479998576</v>
      </c>
    </row>
    <row r="5" spans="1:9" x14ac:dyDescent="0.2">
      <c r="A5" t="s">
        <v>67</v>
      </c>
      <c r="B5">
        <v>37.962962962962969</v>
      </c>
      <c r="C5">
        <v>33.255813953488371</v>
      </c>
      <c r="D5">
        <f>TableCRY[[#This Row],[ARIMAPP]]*$I$2+TableCRY[[#This Row],[LSTMPP]]*$I$3</f>
        <v>33.960693577192686</v>
      </c>
      <c r="E5">
        <v>23</v>
      </c>
      <c r="F5">
        <f>ABS(TableCRY[[#This Row],[PP]]-TableCRY[[#This Row],[AP]])</f>
        <v>10.960693577192686</v>
      </c>
      <c r="H5" t="s">
        <v>2</v>
      </c>
      <c r="I5">
        <f>SUM(ABS(TableCRY[[#This Row],[PP]]-TableCRY[[#This Row],[AP]]))</f>
        <v>10.960693577192686</v>
      </c>
    </row>
    <row r="6" spans="1:9" x14ac:dyDescent="0.2">
      <c r="A6" t="s">
        <v>68</v>
      </c>
      <c r="B6">
        <v>22.60869565217391</v>
      </c>
      <c r="C6">
        <v>24.18181818181818</v>
      </c>
      <c r="D6">
        <f>TableCRY[[#This Row],[ARIMAPP]]*$I$2+TableCRY[[#This Row],[LSTMPP]]*$I$3</f>
        <v>22.760184982566244</v>
      </c>
      <c r="E6">
        <v>32</v>
      </c>
      <c r="F6">
        <f>ABS(TableCRY[[#This Row],[PP]]-TableCRY[[#This Row],[AP]])</f>
        <v>9.2398150174337559</v>
      </c>
    </row>
    <row r="7" spans="1:9" x14ac:dyDescent="0.2">
      <c r="A7" t="s">
        <v>69</v>
      </c>
      <c r="B7">
        <v>29.583333333333321</v>
      </c>
      <c r="C7">
        <v>27.98245614035088</v>
      </c>
      <c r="D7">
        <f>TableCRY[[#This Row],[ARIMAPP]]*$I$2+TableCRY[[#This Row],[LSTMPP]]*$I$3</f>
        <v>27.661934155301751</v>
      </c>
      <c r="E7">
        <v>20</v>
      </c>
      <c r="F7">
        <f>ABS(TableCRY[[#This Row],[PP]]-TableCRY[[#This Row],[AP]])</f>
        <v>7.6619341553017506</v>
      </c>
      <c r="H7" t="s">
        <v>3</v>
      </c>
      <c r="I7">
        <f>AVERAGE(TableCRY[DIFF])/10</f>
        <v>0.82954118778238184</v>
      </c>
    </row>
    <row r="8" spans="1:9" x14ac:dyDescent="0.2">
      <c r="A8" t="s">
        <v>70</v>
      </c>
      <c r="B8">
        <v>27.08333333333335</v>
      </c>
      <c r="C8">
        <v>28.28947368421052</v>
      </c>
      <c r="D8">
        <f>TableCRY[[#This Row],[ARIMAPP]]*$I$2+TableCRY[[#This Row],[LSTMPP]]*$I$3</f>
        <v>26.871887535129389</v>
      </c>
      <c r="E8">
        <v>22</v>
      </c>
      <c r="F8">
        <f>ABS(TableCRY[[#This Row],[PP]]-TableCRY[[#This Row],[AP]])</f>
        <v>4.8718875351293889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71</v>
      </c>
      <c r="B2">
        <v>31.726681195722652</v>
      </c>
      <c r="C2">
        <v>30.254909568604301</v>
      </c>
      <c r="D2">
        <f>TableEVE[[#This Row],[ARIMAPP]]*$I$2+TableEVE[[#This Row],[LSTMPP]]*$I$3</f>
        <v>29.638636352734917</v>
      </c>
      <c r="E2">
        <v>43</v>
      </c>
      <c r="F2">
        <f>ABS(TableEVE[[#This Row],[PP]]-TableEVE[[#This Row],[AP]])</f>
        <v>13.361363647265083</v>
      </c>
      <c r="H2" t="s">
        <v>0</v>
      </c>
      <c r="I2">
        <v>0</v>
      </c>
    </row>
    <row r="3" spans="1:9" x14ac:dyDescent="0.2">
      <c r="A3" t="s">
        <v>72</v>
      </c>
      <c r="B3">
        <v>35.396825396825463</v>
      </c>
      <c r="C3">
        <v>32.582781456953647</v>
      </c>
      <c r="D3">
        <f>TableEVE[[#This Row],[ARIMAPP]]*$I$2+TableEVE[[#This Row],[LSTMPP]]*$I$3</f>
        <v>31.9190909750861</v>
      </c>
      <c r="E3">
        <v>34</v>
      </c>
      <c r="F3">
        <f>ABS(TableEVE[[#This Row],[PP]]-TableEVE[[#This Row],[AP]])</f>
        <v>2.0809090249139004</v>
      </c>
      <c r="H3" t="s">
        <v>1</v>
      </c>
      <c r="I3">
        <v>0.97963063765000002</v>
      </c>
    </row>
    <row r="4" spans="1:9" x14ac:dyDescent="0.2">
      <c r="A4" t="s">
        <v>73</v>
      </c>
      <c r="B4">
        <v>34.278560220967393</v>
      </c>
      <c r="C4">
        <v>34.846173716600198</v>
      </c>
      <c r="D4">
        <f>TableEVE[[#This Row],[ARIMAPP]]*$I$2+TableEVE[[#This Row],[LSTMPP]]*$I$3</f>
        <v>34.136379377655722</v>
      </c>
      <c r="E4">
        <v>20</v>
      </c>
      <c r="F4">
        <f>ABS(TableEVE[[#This Row],[PP]]-TableEVE[[#This Row],[AP]])</f>
        <v>14.136379377655722</v>
      </c>
    </row>
    <row r="5" spans="1:9" x14ac:dyDescent="0.2">
      <c r="A5" t="s">
        <v>74</v>
      </c>
      <c r="B5">
        <v>31.849710982658991</v>
      </c>
      <c r="C5">
        <v>29.166666666666671</v>
      </c>
      <c r="D5">
        <f>TableEVE[[#This Row],[ARIMAPP]]*$I$2+TableEVE[[#This Row],[LSTMPP]]*$I$3</f>
        <v>28.572560264791672</v>
      </c>
      <c r="E5">
        <v>28</v>
      </c>
      <c r="F5">
        <f>ABS(TableEVE[[#This Row],[PP]]-TableEVE[[#This Row],[AP]])</f>
        <v>0.57256026479167232</v>
      </c>
      <c r="H5" t="s">
        <v>2</v>
      </c>
      <c r="I5">
        <f>SUM(ABS(TableEVE[[#This Row],[PP]]-TableEVE[[#This Row],[AP]]))</f>
        <v>0.57256026479167232</v>
      </c>
    </row>
    <row r="6" spans="1:9" x14ac:dyDescent="0.2">
      <c r="A6" t="s">
        <v>75</v>
      </c>
      <c r="B6">
        <v>20.949870326836098</v>
      </c>
      <c r="C6">
        <v>24.444444444444439</v>
      </c>
      <c r="D6">
        <f>TableEVE[[#This Row],[ARIMAPP]]*$I$2+TableEVE[[#This Row],[LSTMPP]]*$I$3</f>
        <v>23.946526698111107</v>
      </c>
      <c r="E6">
        <v>24</v>
      </c>
      <c r="F6">
        <f>ABS(TableEVE[[#This Row],[PP]]-TableEVE[[#This Row],[AP]])</f>
        <v>5.3473301888892877E-2</v>
      </c>
    </row>
    <row r="7" spans="1:9" x14ac:dyDescent="0.2">
      <c r="A7" t="s">
        <v>76</v>
      </c>
      <c r="B7">
        <v>25.416666666666671</v>
      </c>
      <c r="C7">
        <v>25.93373400153046</v>
      </c>
      <c r="D7">
        <f>TableEVE[[#This Row],[ARIMAPP]]*$I$2+TableEVE[[#This Row],[LSTMPP]]*$I$3</f>
        <v>25.405480376564771</v>
      </c>
      <c r="E7">
        <v>26</v>
      </c>
      <c r="F7">
        <f>ABS(TableEVE[[#This Row],[PP]]-TableEVE[[#This Row],[AP]])</f>
        <v>0.59451962343522879</v>
      </c>
      <c r="H7" t="s">
        <v>3</v>
      </c>
      <c r="I7">
        <f>AVERAGE(TableEVE[DIFF])/10</f>
        <v>0.47351423984963709</v>
      </c>
    </row>
    <row r="8" spans="1:9" x14ac:dyDescent="0.2">
      <c r="A8" t="s">
        <v>77</v>
      </c>
      <c r="B8">
        <v>39.553571428571423</v>
      </c>
      <c r="C8">
        <v>33.426966292134843</v>
      </c>
      <c r="D8">
        <f>TableEVE[[#This Row],[ARIMAPP]]*$I$2+TableEVE[[#This Row],[LSTMPP]]*$I$3</f>
        <v>32.746080303469114</v>
      </c>
      <c r="E8">
        <v>33</v>
      </c>
      <c r="F8">
        <f>ABS(TableEVE[[#This Row],[PP]]-TableEVE[[#This Row],[AP]])</f>
        <v>0.25391969653088609</v>
      </c>
    </row>
    <row r="9" spans="1:9" x14ac:dyDescent="0.2">
      <c r="A9" t="s">
        <v>78</v>
      </c>
      <c r="B9">
        <v>31.56022513752902</v>
      </c>
      <c r="C9">
        <v>27.04545454545454</v>
      </c>
      <c r="D9">
        <f>TableEVE[[#This Row],[ARIMAPP]]*$I$2+TableEVE[[#This Row],[LSTMPP]]*$I$3</f>
        <v>26.494555881897721</v>
      </c>
      <c r="E9">
        <v>21</v>
      </c>
      <c r="F9">
        <f>ABS(TableEVE[[#This Row],[PP]]-TableEVE[[#This Row],[AP]])</f>
        <v>5.4945558818977212</v>
      </c>
    </row>
    <row r="10" spans="1:9" x14ac:dyDescent="0.2">
      <c r="A10" t="s">
        <v>79</v>
      </c>
      <c r="B10">
        <v>23.489888844286579</v>
      </c>
      <c r="C10">
        <v>26.47058823529412</v>
      </c>
      <c r="D10">
        <f>TableEVE[[#This Row],[ARIMAPP]]*$I$2+TableEVE[[#This Row],[LSTMPP]]*$I$3</f>
        <v>25.931399231911769</v>
      </c>
      <c r="E10">
        <v>32</v>
      </c>
      <c r="F10">
        <f>ABS(TableEVE[[#This Row],[PP]]-TableEVE[[#This Row],[AP]])</f>
        <v>6.0686007680882312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2024-03-15T15:21:47Z</dcterms:created>
  <dcterms:modified xsi:type="dcterms:W3CDTF">2024-03-15T15:29:56Z</dcterms:modified>
</cp:coreProperties>
</file>